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230172_PacifiCorp_2023_MYRP_GRC\1_Filings\Testimony_Direct_Response\PC\Dismukes\Excel versions\"/>
    </mc:Choice>
  </mc:AlternateContent>
  <bookViews>
    <workbookView xWindow="0" yWindow="500" windowWidth="28800" windowHeight="15640" tabRatio="854"/>
  </bookViews>
  <sheets>
    <sheet name="Exhibit DED-6" sheetId="12837" r:id="rId1"/>
    <sheet name="Summary" sheetId="12834" r:id="rId2"/>
    <sheet name="Sch.16 Bill Comparisons wRiders" sheetId="12835" state="hidden" r:id="rId3"/>
    <sheet name="Sch.16,17,19" sheetId="12820" state="hidden" r:id="rId4"/>
    <sheet name="Sch.24" sheetId="12821" state="hidden" r:id="rId5"/>
    <sheet name="Sch.29,36" sheetId="12822" state="hidden" r:id="rId6"/>
    <sheet name="Sch.48T" sheetId="12825" state="hidden" r:id="rId7"/>
    <sheet name="Sch.48T-DF" sheetId="12826" state="hidden" r:id="rId8"/>
    <sheet name="Sch.47T" sheetId="12824" state="hidden" r:id="rId9"/>
    <sheet name="Sch.40" sheetId="12823" state="hidden" r:id="rId10"/>
    <sheet name="Sch.15,51,53,54" sheetId="12827" state="hidden" r:id="rId11"/>
    <sheet name="Cost of Service and Proposed $" sheetId="12833" state="hidden" r:id="rId12"/>
    <sheet name="Normalized Units" sheetId="12817" state="hidden" r:id="rId13"/>
    <sheet name="AutoPay&amp;Paperless" sheetId="12831" state="hidden" r:id="rId14"/>
    <sheet name="Unbilled" sheetId="12830" state="hidden" r:id="rId15"/>
    <sheet name="Normalized Summary" sheetId="12818" state="hidden" r:id="rId16"/>
    <sheet name="Sch.24,29,36,40 Customers" sheetId="12816" state="hidden" r:id="rId17"/>
    <sheet name="Sch.40 Bills" sheetId="12819" state="hidden" r:id="rId18"/>
    <sheet name="RVN" sheetId="12811" state="hidden" r:id="rId19"/>
    <sheet name="Code" sheetId="12799" state="hidden" r:id="rId20"/>
    <sheet name="Jan - Mar Monthly 305 Revenue" sheetId="12764" state="hidden" r:id="rId21"/>
    <sheet name="SBC (Old)" sheetId="12761" state="hidden" r:id="rId22"/>
    <sheet name="Hydro Deferral" sheetId="12763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>[6]Jan!#REF!</definedName>
    <definedName name="\A">#REF!</definedName>
    <definedName name="\B">#REF!</definedName>
    <definedName name="\BACK1" localSheetId="22">#REF!</definedName>
    <definedName name="\BACK1" localSheetId="20">#REF!</definedName>
    <definedName name="\BACK1">#REF!</definedName>
    <definedName name="\BLOCK" localSheetId="22">#REF!</definedName>
    <definedName name="\BLOCK" localSheetId="20">#REF!</definedName>
    <definedName name="\BLOCK">#REF!</definedName>
    <definedName name="\BLOCKT" localSheetId="22">#REF!</definedName>
    <definedName name="\BLOCKT" localSheetId="20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[7]Actual!#REF!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 localSheetId="22">#REF!</definedName>
    <definedName name="\Z" localSheetId="20">#REF!</definedName>
    <definedName name="\Z">#REF!</definedName>
    <definedName name="__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1" hidden="1">{#N/A,#N/A,FALSE,"CRPT";#N/A,#N/A,FALSE,"TREND";#N/A,#N/A,FALSE,"%Curve"}</definedName>
    <definedName name="__________________six6" localSheetId="16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1" hidden="1">{#N/A,#N/A,FALSE,"schA"}</definedName>
    <definedName name="__________________www1" localSheetId="16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1" hidden="1">{#N/A,#N/A,FALSE,"CRPT";#N/A,#N/A,FALSE,"TREND";#N/A,#N/A,FALSE,"%Curve"}</definedName>
    <definedName name="_________________six6" localSheetId="16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1" hidden="1">{#N/A,#N/A,FALSE,"schA"}</definedName>
    <definedName name="_________________www1" localSheetId="16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1" hidden="1">{#N/A,#N/A,FALSE,"CRPT";#N/A,#N/A,FALSE,"TREND";#N/A,#N/A,FALSE,"%Curve"}</definedName>
    <definedName name="________________six6" localSheetId="16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1" hidden="1">{#N/A,#N/A,FALSE,"schA"}</definedName>
    <definedName name="________________www1" localSheetId="16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1" hidden="1">{#N/A,#N/A,FALSE,"CRPT";#N/A,#N/A,FALSE,"TREND";#N/A,#N/A,FALSE,"%Curve"}</definedName>
    <definedName name="_______________six6" localSheetId="16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1" hidden="1">{#N/A,#N/A,FALSE,"schA"}</definedName>
    <definedName name="_______________www1" localSheetId="16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1" hidden="1">{#N/A,#N/A,FALSE,"CRPT";#N/A,#N/A,FALSE,"TREND";#N/A,#N/A,FALSE,"%Curve"}</definedName>
    <definedName name="______________six6" localSheetId="16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1" hidden="1">{#N/A,#N/A,FALSE,"schA"}</definedName>
    <definedName name="______________www1" localSheetId="16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11" hidden="1">{#N/A,#N/A,FALSE,"CRPT";#N/A,#N/A,FALSE,"TREND";#N/A,#N/A,FALSE,"%Curve"}</definedName>
    <definedName name="_____________six6" localSheetId="16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1" hidden="1">{#N/A,#N/A,FALSE,"schA"}</definedName>
    <definedName name="_____________www1" localSheetId="16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1" hidden="1">{#N/A,#N/A,FALSE,"CRPT";#N/A,#N/A,FALSE,"TREND";#N/A,#N/A,FALSE,"%Curve"}</definedName>
    <definedName name="____________six6" localSheetId="16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1" hidden="1">{#N/A,#N/A,FALSE,"schA"}</definedName>
    <definedName name="____________www1" localSheetId="16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11" hidden="1">{#N/A,#N/A,FALSE,"Summary";#N/A,#N/A,FALSE,"SmPlants";#N/A,#N/A,FALSE,"Utah";#N/A,#N/A,FALSE,"Idaho";#N/A,#N/A,FALSE,"Lewis River";#N/A,#N/A,FALSE,"NrthUmpq";#N/A,#N/A,FALSE,"KlamRog"}</definedName>
    <definedName name="___________OM1" localSheetId="16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1" hidden="1">{#N/A,#N/A,FALSE,"CRPT";#N/A,#N/A,FALSE,"TREND";#N/A,#N/A,FALSE,"%Curve"}</definedName>
    <definedName name="___________six6" localSheetId="16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1" hidden="1">{#N/A,#N/A,FALSE,"schA"}</definedName>
    <definedName name="___________www1" localSheetId="16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11" hidden="1">{#N/A,#N/A,FALSE,"CRPT";#N/A,#N/A,FALSE,"TREND";#N/A,#N/A,FALSE,"%Curve"}</definedName>
    <definedName name="__________six6" localSheetId="16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1" hidden="1">{#N/A,#N/A,FALSE,"schA"}</definedName>
    <definedName name="__________www1" localSheetId="16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1" hidden="1">{#N/A,#N/A,FALSE,"Summary";#N/A,#N/A,FALSE,"SmPlants";#N/A,#N/A,FALSE,"Utah";#N/A,#N/A,FALSE,"Idaho";#N/A,#N/A,FALSE,"Lewis River";#N/A,#N/A,FALSE,"NrthUmpq";#N/A,#N/A,FALSE,"KlamRog"}</definedName>
    <definedName name="_________OM1" localSheetId="16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1" hidden="1">{#N/A,#N/A,FALSE,"CRPT";#N/A,#N/A,FALSE,"TREND";#N/A,#N/A,FALSE,"%Curve"}</definedName>
    <definedName name="_________six6" localSheetId="16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1" hidden="1">{#N/A,#N/A,FALSE,"schA"}</definedName>
    <definedName name="_________www1" localSheetId="16" hidden="1">{#N/A,#N/A,FALSE,"schA"}</definedName>
    <definedName name="_________www1" localSheetId="1" hidden="1">{#N/A,#N/A,FALSE,"schA"}</definedName>
    <definedName name="_________www1" hidden="1">{#N/A,#N/A,FALSE,"schA"}</definedName>
    <definedName name="_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1" hidden="1">{#N/A,#N/A,FALSE,"CRPT";#N/A,#N/A,FALSE,"TREND";#N/A,#N/A,FALSE,"%Curve"}</definedName>
    <definedName name="________six6" localSheetId="16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1" hidden="1">{#N/A,#N/A,FALSE,"schA"}</definedName>
    <definedName name="________www1" localSheetId="16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1" hidden="1">{#N/A,#N/A,FALSE,"Summary";#N/A,#N/A,FALSE,"SmPlants";#N/A,#N/A,FALSE,"Utah";#N/A,#N/A,FALSE,"Idaho";#N/A,#N/A,FALSE,"Lewis River";#N/A,#N/A,FALSE,"NrthUmpq";#N/A,#N/A,FALSE,"KlamRog"}</definedName>
    <definedName name="_______OM1" localSheetId="16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1" hidden="1">{#N/A,#N/A,FALSE,"CRPT";#N/A,#N/A,FALSE,"TREND";#N/A,#N/A,FALSE,"%Curve"}</definedName>
    <definedName name="_______six6" localSheetId="16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1" hidden="1">{#N/A,#N/A,FALSE,"schA"}</definedName>
    <definedName name="_______www1" localSheetId="16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1" hidden="1">{#N/A,#N/A,FALSE,"Summary";#N/A,#N/A,FALSE,"SmPlants";#N/A,#N/A,FALSE,"Utah";#N/A,#N/A,FALSE,"Idaho";#N/A,#N/A,FALSE,"Lewis River";#N/A,#N/A,FALSE,"NrthUmpq";#N/A,#N/A,FALSE,"KlamRog"}</definedName>
    <definedName name="______OM1" localSheetId="16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1" hidden="1">{#N/A,#N/A,FALSE,"CRPT";#N/A,#N/A,FALSE,"TREND";#N/A,#N/A,FALSE,"%Curve"}</definedName>
    <definedName name="______six6" localSheetId="16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1" hidden="1">{#N/A,#N/A,FALSE,"schA"}</definedName>
    <definedName name="______www1" localSheetId="16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1" hidden="1">{#N/A,#N/A,FALSE,"Summary";#N/A,#N/A,FALSE,"SmPlants";#N/A,#N/A,FALSE,"Utah";#N/A,#N/A,FALSE,"Idaho";#N/A,#N/A,FALSE,"Lewis River";#N/A,#N/A,FALSE,"NrthUmpq";#N/A,#N/A,FALSE,"KlamRog"}</definedName>
    <definedName name="_____OM1" localSheetId="16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1" hidden="1">{#N/A,#N/A,FALSE,"CRPT";#N/A,#N/A,FALSE,"TREND";#N/A,#N/A,FALSE,"%Curve"}</definedName>
    <definedName name="_____six6" localSheetId="16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1" hidden="1">{#N/A,#N/A,FALSE,"schA"}</definedName>
    <definedName name="_____www1" localSheetId="16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1" hidden="1">{#N/A,#N/A,FALSE,"Summary";#N/A,#N/A,FALSE,"SmPlants";#N/A,#N/A,FALSE,"Utah";#N/A,#N/A,FALSE,"Idaho";#N/A,#N/A,FALSE,"Lewis River";#N/A,#N/A,FALSE,"NrthUmpq";#N/A,#N/A,FALSE,"KlamRog"}</definedName>
    <definedName name="____OM1" localSheetId="16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1" hidden="1">{#N/A,#N/A,FALSE,"CRPT";#N/A,#N/A,FALSE,"TREND";#N/A,#N/A,FALSE,"%Curve"}</definedName>
    <definedName name="____six6" localSheetId="16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1" hidden="1">{#N/A,#N/A,FALSE,"schA"}</definedName>
    <definedName name="____www1" localSheetId="16" hidden="1">{#N/A,#N/A,FALSE,"schA"}</definedName>
    <definedName name="____www1" localSheetId="1" hidden="1">{#N/A,#N/A,FALSE,"schA"}</definedName>
    <definedName name="____www1" hidden="1">{#N/A,#N/A,FALSE,"schA"}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localSheetId="16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1" hidden="1">{#N/A,#N/A,FALSE,"CRPT";#N/A,#N/A,FALSE,"TREND";#N/A,#N/A,FALSE,"%Curve"}</definedName>
    <definedName name="___six6" localSheetId="16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1" hidden="1">{#N/A,#N/A,FALSE,"schA"}</definedName>
    <definedName name="___www1" localSheetId="16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22" hidden="1">[1]Inputs!#REF!</definedName>
    <definedName name="__123Graph_A" localSheetId="20" hidden="1">[1]Inputs!#REF!</definedName>
    <definedName name="__123Graph_A" hidden="1">[1]Inputs!#REF!</definedName>
    <definedName name="__123Graph_B" localSheetId="22" hidden="1">[1]Inputs!#REF!</definedName>
    <definedName name="__123Graph_B" localSheetId="20" hidden="1">[1]Inputs!#REF!</definedName>
    <definedName name="__123Graph_B" hidden="1">[1]Inputs!#REF!</definedName>
    <definedName name="__123Graph_D" localSheetId="22" hidden="1">[1]Inputs!#REF!</definedName>
    <definedName name="__123Graph_D" localSheetId="20" hidden="1">[1]Inputs!#REF!</definedName>
    <definedName name="__123Graph_D" hidden="1">[1]Inputs!#REF!</definedName>
    <definedName name="__123Graph_E" hidden="1">[2]Input!$E$22:$E$37</definedName>
    <definedName name="__123Graph_ECURRENT" localSheetId="11" hidden="1">[3]ConsolidatingPL!#REF!</definedName>
    <definedName name="__123Graph_ECURRENT" localSheetId="16" hidden="1">[3]ConsolidatingPL!#REF!</definedName>
    <definedName name="__123Graph_ECURRENT" localSheetId="1" hidden="1">[3]ConsolidatingPL!#REF!</definedName>
    <definedName name="__123Graph_ECURRENT" hidden="1">[3]ConsolidatingPL!#REF!</definedName>
    <definedName name="__123Graph_F" hidden="1">[2]Input!$D$22:$D$37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1" hidden="1">{#N/A,#N/A,FALSE,"Summary";#N/A,#N/A,FALSE,"SmPlants";#N/A,#N/A,FALSE,"Utah";#N/A,#N/A,FALSE,"Idaho";#N/A,#N/A,FALSE,"Lewis River";#N/A,#N/A,FALSE,"NrthUmpq";#N/A,#N/A,FALSE,"KlamRog"}</definedName>
    <definedName name="__OM1" localSheetId="16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1" hidden="1">{#N/A,#N/A,FALSE,"CRPT";#N/A,#N/A,FALSE,"TREND";#N/A,#N/A,FALSE,"%Curve"}</definedName>
    <definedName name="__six6" localSheetId="16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1" hidden="1">{#N/A,#N/A,FALSE,"schA"}</definedName>
    <definedName name="__www1" localSheetId="16" hidden="1">{#N/A,#N/A,FALSE,"schA"}</definedName>
    <definedName name="__www1" localSheetId="1" hidden="1">{#N/A,#N/A,FALSE,"schA"}</definedName>
    <definedName name="__www1" hidden="1">{#N/A,#N/A,FALSE,"schA"}</definedName>
    <definedName name="_1Price_Ta" localSheetId="22">#REF!</definedName>
    <definedName name="_1Price_Ta" localSheetId="20">#REF!</definedName>
    <definedName name="_1Price_Ta">#REF!</definedName>
    <definedName name="_2Price_Ta">#REF!</definedName>
    <definedName name="_B" localSheetId="22">'[4]Rate Design'!#REF!</definedName>
    <definedName name="_B" localSheetId="20">'[4]Rate Design'!#REF!</definedName>
    <definedName name="_B">'[5]Rate Design'!#REF!</definedName>
    <definedName name="_ex1" localSheetId="11" hidden="1">{#N/A,#N/A,FALSE,"Summ";#N/A,#N/A,FALSE,"General"}</definedName>
    <definedName name="_ex1" localSheetId="16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1" hidden="1">#REF!</definedName>
    <definedName name="_Fill" localSheetId="16" hidden="1">#REF!</definedName>
    <definedName name="_Fill" localSheetId="1" hidden="1">#REF!</definedName>
    <definedName name="_Fill" hidden="1">#REF!</definedName>
    <definedName name="_xlnm._FilterDatabase" localSheetId="19" hidden="1">Code!$A$1:$B$79</definedName>
    <definedName name="_xlnm._FilterDatabase" localSheetId="11" hidden="1">#REF!</definedName>
    <definedName name="_xlnm._FilterDatabase" localSheetId="20" hidden="1">'Jan - Mar Monthly 305 Revenue'!$A$6:$D$110</definedName>
    <definedName name="_xlnm._FilterDatabase" localSheetId="18" hidden="1">RVN!$A$2:$J$151</definedName>
    <definedName name="_xlnm._FilterDatabase" localSheetId="16" hidden="1">#REF!</definedName>
    <definedName name="_xlnm._FilterDatabase" localSheetId="1" hidden="1">#REF!</definedName>
    <definedName name="_xlnm._FilterDatabase" hidden="1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localSheetId="16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localSheetId="16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localSheetId="16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localSheetId="16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localSheetId="16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1" hidden="1">#REF!</definedName>
    <definedName name="_Key1" localSheetId="22" hidden="1">#REF!</definedName>
    <definedName name="_Key1" localSheetId="20" hidden="1">#REF!</definedName>
    <definedName name="_Key1" localSheetId="16" hidden="1">#REF!</definedName>
    <definedName name="_Key1" localSheetId="1" hidden="1">#REF!</definedName>
    <definedName name="_Key1" hidden="1">#REF!</definedName>
    <definedName name="_Key2" localSheetId="11" hidden="1">#REF!</definedName>
    <definedName name="_Key2" localSheetId="22" hidden="1">#REF!</definedName>
    <definedName name="_Key2" localSheetId="20" hidden="1">#REF!</definedName>
    <definedName name="_Key2" localSheetId="1" hidden="1">#REF!</definedName>
    <definedName name="_Key2" hidden="1">#REF!</definedName>
    <definedName name="_MEN2">[6]Jan!#REF!</definedName>
    <definedName name="_MEN3">[6]Jan!#REF!</definedName>
    <definedName name="_new1" localSheetId="11" hidden="1">{#N/A,#N/A,FALSE,"Summ";#N/A,#N/A,FALSE,"General"}</definedName>
    <definedName name="_new1" localSheetId="16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localSheetId="16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_P" localSheetId="22">#REF!</definedName>
    <definedName name="_P" localSheetId="20">#REF!</definedName>
    <definedName name="_P">#REF!</definedName>
    <definedName name="_Regression_Int" hidden="1">1</definedName>
    <definedName name="_Regression_Out" localSheetId="11" hidden="1">#REF!</definedName>
    <definedName name="_Regression_Out" localSheetId="1" hidden="1">#REF!</definedName>
    <definedName name="_Regression_Out" hidden="1">#REF!</definedName>
    <definedName name="_Regression_X" localSheetId="11" hidden="1">#REF!</definedName>
    <definedName name="_Regression_X" localSheetId="1" hidden="1">#REF!</definedName>
    <definedName name="_Regression_X" hidden="1">#REF!</definedName>
    <definedName name="_Regression_Y" localSheetId="11" hidden="1">#REF!</definedName>
    <definedName name="_Regression_Y" localSheetId="1" hidden="1">#REF!</definedName>
    <definedName name="_Regression_Y" hidden="1">#REF!</definedName>
    <definedName name="_six6" localSheetId="11" hidden="1">{#N/A,#N/A,FALSE,"CRPT";#N/A,#N/A,FALSE,"TREND";#N/A,#N/A,FALSE,"%Curve"}</definedName>
    <definedName name="_six6" localSheetId="16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localSheetId="22" hidden="1">#REF!</definedName>
    <definedName name="_Sort" localSheetId="20" hidden="1">#REF!</definedName>
    <definedName name="_Sort" localSheetId="16" hidden="1">#REF!</definedName>
    <definedName name="_Sort" localSheetId="1" hidden="1">#REF!</definedName>
    <definedName name="_Sort" hidden="1">#REF!</definedName>
    <definedName name="_TOP1">[6]Jan!#REF!</definedName>
    <definedName name="_www1" localSheetId="11" hidden="1">{#N/A,#N/A,FALSE,"schA"}</definedName>
    <definedName name="_www1" localSheetId="16" hidden="1">{#N/A,#N/A,FALSE,"schA"}</definedName>
    <definedName name="_www1" localSheetId="1" hidden="1">{#N/A,#N/A,FALSE,"schA"}</definedName>
    <definedName name="_www1" hidden="1">{#N/A,#N/A,FALSE,"schA"}</definedName>
    <definedName name="_x1" localSheetId="11" hidden="1">{"PRINT",#N/A,TRUE,"APPA";"PRINT",#N/A,TRUE,"APS";"PRINT",#N/A,TRUE,"BHPL";"PRINT",#N/A,TRUE,"BHPL2";"PRINT",#N/A,TRUE,"CDWR";"PRINT",#N/A,TRUE,"EWEB";"PRINT",#N/A,TRUE,"LADWP";"PRINT",#N/A,TRUE,"NEVBASE"}</definedName>
    <definedName name="_x1" localSheetId="16" hidden="1">{"PRINT",#N/A,TRUE,"APPA";"PRINT",#N/A,TRUE,"APS";"PRINT",#N/A,TRUE,"BHPL";"PRINT",#N/A,TRUE,"BHPL2";"PRINT",#N/A,TRUE,"CDWR";"PRINT",#N/A,TRUE,"EWEB";"PRINT",#N/A,TRUE,"LADWP";"PRINT",#N/A,TRUE,"NEVBASE"}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1" hidden="1">{"PRINT",#N/A,TRUE,"APPA";"PRINT",#N/A,TRUE,"APS";"PRINT",#N/A,TRUE,"BHPL";"PRINT",#N/A,TRUE,"BHPL2";"PRINT",#N/A,TRUE,"CDWR";"PRINT",#N/A,TRUE,"EWEB";"PRINT",#N/A,TRUE,"LADWP";"PRINT",#N/A,TRUE,"NEVBASE"}</definedName>
    <definedName name="_x2" localSheetId="16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1" hidden="1">{"PRINT",#N/A,TRUE,"APPA";"PRINT",#N/A,TRUE,"APS";"PRINT",#N/A,TRUE,"BHPL";"PRINT",#N/A,TRUE,"BHPL2";"PRINT",#N/A,TRUE,"CDWR";"PRINT",#N/A,TRUE,"EWEB";"PRINT",#N/A,TRUE,"LADWP";"PRINT",#N/A,TRUE,"NEVBASE"}</definedName>
    <definedName name="_x3" localSheetId="16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1" hidden="1">{"PRINT",#N/A,TRUE,"APPA";"PRINT",#N/A,TRUE,"APS";"PRINT",#N/A,TRUE,"BHPL";"PRINT",#N/A,TRUE,"BHPL2";"PRINT",#N/A,TRUE,"CDWR";"PRINT",#N/A,TRUE,"EWEB";"PRINT",#N/A,TRUE,"LADWP";"PRINT",#N/A,TRUE,"NEVBASE"}</definedName>
    <definedName name="_x4" localSheetId="16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1" hidden="1">{"PRINT",#N/A,TRUE,"APPA";"PRINT",#N/A,TRUE,"APS";"PRINT",#N/A,TRUE,"BHPL";"PRINT",#N/A,TRUE,"BHPL2";"PRINT",#N/A,TRUE,"CDWR";"PRINT",#N/A,TRUE,"EWEB";"PRINT",#N/A,TRUE,"LADWP";"PRINT",#N/A,TRUE,"NEVBASE"}</definedName>
    <definedName name="_x5" localSheetId="16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6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 localSheetId="22">[16]Backup!#REF!</definedName>
    <definedName name="APR" localSheetId="20">[16]Backup!#REF!</definedName>
    <definedName name="APR">[16]Backup!#REF!</definedName>
    <definedName name="APRT" localSheetId="22">#REF!</definedName>
    <definedName name="APRT" localSheetId="20">#REF!</definedName>
    <definedName name="APRT">#REF!</definedName>
    <definedName name="AS2DocOpenMode" hidden="1">"AS2DocumentEdit"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localSheetId="16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22">[16]Backup!#REF!</definedName>
    <definedName name="AUG" localSheetId="20">[16]Backup!#REF!</definedName>
    <definedName name="AUG">[16]Backup!#REF!</definedName>
    <definedName name="AUGT" localSheetId="22">#REF!</definedName>
    <definedName name="AUGT" localSheetId="20">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11" hidden="1">{#N/A,#N/A,FALSE,"Coversheet";#N/A,#N/A,FALSE,"QA"}</definedName>
    <definedName name="b" localSheetId="16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 localSheetId="22">#REF!</definedName>
    <definedName name="BACK1" localSheetId="20">#REF!</definedName>
    <definedName name="BACK1">#REF!</definedName>
    <definedName name="BACK2" localSheetId="22">#REF!</definedName>
    <definedName name="BACK2" localSheetId="20">#REF!</definedName>
    <definedName name="BACK2">#REF!</definedName>
    <definedName name="BACK3" localSheetId="22">#REF!</definedName>
    <definedName name="BACK3" localSheetId="20">#REF!</definedName>
    <definedName name="BACK3">#REF!</definedName>
    <definedName name="BACKUP1">#REF!</definedName>
    <definedName name="BEx0017DGUEDPCFJUPUZOOLJCS2B" localSheetId="11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1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1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1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1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1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1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1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1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1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1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1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1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1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1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1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1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1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1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1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1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1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1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1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1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1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1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1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1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1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1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1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1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1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1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1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1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1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1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1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1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1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1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1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1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1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1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1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1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1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1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1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1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1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1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1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1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1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1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1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1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1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1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1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1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1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1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1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1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1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1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1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1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1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1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1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1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1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1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1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1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1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1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1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1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1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1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1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1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1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1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1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1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1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1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1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1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1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1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1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1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1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1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1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1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1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1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1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1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1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1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1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1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1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1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1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1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1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1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1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1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1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1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1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1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1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1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1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1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1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1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1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1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1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1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1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1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1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1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1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1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1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1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1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1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1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1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1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1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1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1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1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1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1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1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1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1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1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1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1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1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1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1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1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1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1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1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1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1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1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1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1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1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1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1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1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1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1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1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1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1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1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1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1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1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1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1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1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1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1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1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1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1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1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1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1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1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1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1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1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1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1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1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1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1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1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1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1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1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1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1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1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1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1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1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1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1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1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1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1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1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1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1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1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1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1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1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1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1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1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1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1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1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1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1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1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1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1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1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1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1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1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1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1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1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1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1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1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1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1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1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1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1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1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1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1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1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1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1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1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1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1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1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1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1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1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1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1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1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1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1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1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1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1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1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1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1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1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1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1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1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1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1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1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1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1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1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1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1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1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1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1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1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1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1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1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1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1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1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1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1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1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1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1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1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1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1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1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1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1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1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1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1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1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1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1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1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1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1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1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1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1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1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1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1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1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1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1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1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1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1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1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1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1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1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1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1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1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1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1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1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1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1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1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1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1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1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1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1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1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1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1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1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1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1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1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1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1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1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1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1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1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1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1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1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1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1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1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1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1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1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1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1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1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1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1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1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1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1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1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1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1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1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1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1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1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1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1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1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1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1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1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1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1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1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1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1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1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1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1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1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1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1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1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1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1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1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1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1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1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1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1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1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1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1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1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1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1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1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1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1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1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1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1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1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1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1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1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1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1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1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1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1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1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1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1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1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1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1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1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1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1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1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1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1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1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1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1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1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1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1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1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1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1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1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1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1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1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1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1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1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1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1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1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1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1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1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1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1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1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1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1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1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1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1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1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1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1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1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1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1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1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1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1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1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1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1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1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1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1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1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1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1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1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1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1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1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1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1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1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1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1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1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1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1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1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1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1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1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1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1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1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1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1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1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1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1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1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1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1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1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1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1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1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1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1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1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1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1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1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1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1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1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1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1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1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1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1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1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1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1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1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1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1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1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1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1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1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1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1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1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1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1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1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1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1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1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1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1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1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1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1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1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1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1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1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1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1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1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1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1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1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1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1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1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1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1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1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1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1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1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1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1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1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1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1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1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1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1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1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1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1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1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1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1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1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1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1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1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1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1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1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1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1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1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1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1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1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1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1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1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1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1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1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1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1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1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1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1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1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1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1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1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1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1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1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1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1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1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1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1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1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1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1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1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1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1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1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1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1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1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1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1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1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1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1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1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1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1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1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1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1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1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1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1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1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1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1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1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1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1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1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1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1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1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1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1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1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1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1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1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1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1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1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1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1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1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1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1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1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1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1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1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1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1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1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1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1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1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1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1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1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1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1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1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1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1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1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1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1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1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1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1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1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1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1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1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1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1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1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1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1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1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1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1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1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1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1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1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1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1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1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1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1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1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1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1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1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1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1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1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1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1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1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1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1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1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1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1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1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1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1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1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1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1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1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1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1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1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1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1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1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1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1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1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1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1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1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1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1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1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1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1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1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1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1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1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1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1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1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1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1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1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1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1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1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1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1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1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1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1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1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1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1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1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1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1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1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1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1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1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1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1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1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1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1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1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1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1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1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1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1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1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1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1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1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1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1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1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1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1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1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1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1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1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1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1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1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1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1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1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1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1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1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1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1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1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1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1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1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1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1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1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1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1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1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1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1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1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1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1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1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1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1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1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1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1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1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1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1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1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1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1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1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1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1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1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1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1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1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1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1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1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1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1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1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1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1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1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1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1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1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1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1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1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1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1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1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1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1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1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1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1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1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1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1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1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1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1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1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1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1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1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1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1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1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1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1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1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1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1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1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1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1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1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1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1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1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1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1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1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1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1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1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1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1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1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1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1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1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1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1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1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1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1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1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1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1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1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1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1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1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1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1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1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1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1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1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1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1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1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1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1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1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1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1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1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1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1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1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1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1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1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1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1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1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1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1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1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1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1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1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1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1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1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1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1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1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1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1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1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1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1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1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1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1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1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1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1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1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1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1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1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1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1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1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1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1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1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1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1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1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1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1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1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1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1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1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1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1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1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1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1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1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1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1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1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1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1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1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1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1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1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1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1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1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1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1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1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1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1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1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1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1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1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1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1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1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1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1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1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1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1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1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1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1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1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1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1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1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1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1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1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1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1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1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1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1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1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1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1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1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1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1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1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1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1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1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1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1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1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1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1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1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1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1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1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1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1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1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1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1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1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1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1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1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1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1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1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1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1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1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1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1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1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1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1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1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1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1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1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1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1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1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1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1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1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1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1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1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1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1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1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1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1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1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1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1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1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1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1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1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1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1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1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1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1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1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1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1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1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1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1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1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1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1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1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1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1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1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1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1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1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1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1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1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1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1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1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1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1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1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1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1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1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1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1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1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1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1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1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1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1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1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1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1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1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1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1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1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1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1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1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1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1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1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1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1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1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1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1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1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1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1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1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1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1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1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1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1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1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1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1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1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1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1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1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1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1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1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1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1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1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1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1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1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1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1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1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1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1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1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1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1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1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1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1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1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1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1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1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1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1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1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1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1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1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1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1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1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1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1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1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1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1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1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1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1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1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1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1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1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1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1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1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1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1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1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1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1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1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1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1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1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1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1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1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1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1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1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1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1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1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1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1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1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1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1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1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1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1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1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1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1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1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1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1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1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1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1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1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1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1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1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1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1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1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1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1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1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1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1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1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1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1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1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1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1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1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1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1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1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1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1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1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1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1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1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1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1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1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1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1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1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1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1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1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1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1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1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1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1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1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1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1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1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1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1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1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1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1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1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1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1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1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1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1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1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1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1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1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1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1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1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1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1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1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1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1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1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1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1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1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1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1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1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1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1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1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1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1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1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1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1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1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1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1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1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1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1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1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1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1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1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1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1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1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1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1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1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1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1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1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1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1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1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1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1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1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1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1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1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1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1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1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1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1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1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1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1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1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1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1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1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1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1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1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1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1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1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1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1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1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1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1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1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1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1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1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1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1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1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1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1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1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1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1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1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1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1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1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1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1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1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1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1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1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1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1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1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1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1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1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1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1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1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1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1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1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1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1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1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1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1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1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1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1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1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1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1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1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1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1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1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1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1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1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1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1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1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1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1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1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1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1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1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1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1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1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1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1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1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1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1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1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1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1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1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1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1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1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1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1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1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1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1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1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1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1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1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1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1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1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1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1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1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1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1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1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1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1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1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1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1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1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1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1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1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1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1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1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1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1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1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1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1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1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1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1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1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1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1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1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1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1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1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1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1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1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1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1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1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1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1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1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1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1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1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1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1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1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1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1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1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1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1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1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1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1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1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1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1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1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1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1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1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1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1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1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1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1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1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1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1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1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1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1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1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1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1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1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1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1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1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1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1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1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1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1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1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1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1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1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1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1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1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1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1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1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1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1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1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1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1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1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1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1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1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1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1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1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1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1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1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1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1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1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1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1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1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1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1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1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1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1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1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1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1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1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1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1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1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1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1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1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1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1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1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1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1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1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1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1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1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1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1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1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1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1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1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1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1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1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1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1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1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1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1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1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1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1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1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1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1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1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1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1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1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1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1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1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1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1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1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1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1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1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1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1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1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1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1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1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1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1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1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1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1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1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1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1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1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1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1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1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1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1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1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1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1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1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1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1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1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1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1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1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1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1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1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1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1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1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1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1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1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1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1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1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1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1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1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1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1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1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1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1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1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1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1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1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1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1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1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1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1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1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1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1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1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1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1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1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1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1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1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1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1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1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1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1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1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1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1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1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1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1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1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1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1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1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1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1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1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1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1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1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1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1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1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1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1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1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1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1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1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1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1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1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1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1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1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1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1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1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1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1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1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1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1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1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1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1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1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1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1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1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1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1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1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1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1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1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1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1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1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1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1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1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1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1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1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1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1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1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1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1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1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1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1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1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1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1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1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1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1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1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1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1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1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1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1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1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1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1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1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1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1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1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1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1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1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1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1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1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1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1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1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1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1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1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1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1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1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1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1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1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1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1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1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1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1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1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1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1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1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1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1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1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1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1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1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1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1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1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1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1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1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1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1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1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1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1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1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1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1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1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1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1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1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1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1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1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1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1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1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1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1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1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1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1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1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1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1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1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1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1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1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1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1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1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1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1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1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1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1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1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1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1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1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1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1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1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1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1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1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1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1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1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1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1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1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1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1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1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1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1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1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1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1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1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1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1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1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1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1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1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1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1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1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1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1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1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1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1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1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1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1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1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1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1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1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1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1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1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1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1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1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1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1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1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1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1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1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1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1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1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1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1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1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1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1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1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1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1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1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1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1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1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1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1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1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1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1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1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1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1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1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1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1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1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1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1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1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1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1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1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1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1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1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1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1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1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1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1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1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1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1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1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1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1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1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1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1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1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1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1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1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1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1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1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1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1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1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1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1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1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1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1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1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1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1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1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1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1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1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1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1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1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1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1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1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1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1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1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1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1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1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1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1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1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1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1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1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1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1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1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1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1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1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1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1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1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1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1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1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1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1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1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1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1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1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1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1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1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1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1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1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1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1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1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1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1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1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1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1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1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1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1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1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1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1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1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1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1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1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1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1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1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1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1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1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1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1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1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1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1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1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1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1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1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1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1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1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1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1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1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1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1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1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1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1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1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1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1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1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1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1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1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1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1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1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1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1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1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1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1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1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1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1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1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1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1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1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1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1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1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1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1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1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1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1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1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1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1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1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1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1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1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1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1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1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1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1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1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1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1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1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1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1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1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1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1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1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1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1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1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1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1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1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1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1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1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1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1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1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1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1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1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1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1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1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1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1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1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1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1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1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1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1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1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1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1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1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1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1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1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1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1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1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1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1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1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1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1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1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1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1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1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1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1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1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1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1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1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1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1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1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1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1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1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1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1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1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1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1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1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1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1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1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1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1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1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1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1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1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1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1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1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1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1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1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1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1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1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1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1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1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1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1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1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1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1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1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1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1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1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1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1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1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1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1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1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1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1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1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1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1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1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1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1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1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1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1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1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1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1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1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1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1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1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1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1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1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1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1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1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1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1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1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1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1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1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1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1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1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1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1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1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1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1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1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1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1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1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1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1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1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1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1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1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1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1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1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1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1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1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1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1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1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1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1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1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1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1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1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1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1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1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1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1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1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1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1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1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1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1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1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1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1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1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1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1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1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1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1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1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1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1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1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1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1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1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1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1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1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1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1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1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1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1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1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1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1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1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1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1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1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1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1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1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1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1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1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1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1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1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1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1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1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1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1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1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1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1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1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1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1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1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1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1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1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1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1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1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1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1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1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1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1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1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1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1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1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1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1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1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1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1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1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1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1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1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1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1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1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1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1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1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1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1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1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1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1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1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1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1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1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1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1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1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1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1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1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1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1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1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1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1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1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1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1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1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1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1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1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1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1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1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1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1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1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1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1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1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1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1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1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1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1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1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1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1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1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1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1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1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1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1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1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1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1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1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1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1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1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1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1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1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1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1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1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1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1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1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1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1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1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1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1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1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1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1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1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1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1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1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1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1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1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1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1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1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1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1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1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1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1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1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1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1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1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1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1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1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1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1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1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1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1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1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1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1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1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1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1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1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1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1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1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1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1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1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1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1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1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1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1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1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1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1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1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1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1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1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1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1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1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1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1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1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1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1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1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1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1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1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1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1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1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1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1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1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1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1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1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1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1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1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1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1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1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1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1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1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1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1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1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1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1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1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1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1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1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1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1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1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1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1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1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1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1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1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1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1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1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1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1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1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1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1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1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1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1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1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1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1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1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1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1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1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1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1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1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1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1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1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1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1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1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1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1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1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1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1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1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1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1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1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1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1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1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1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1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1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1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1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1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1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1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1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1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1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1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1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1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1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1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1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1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1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1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1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1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1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1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1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1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1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1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1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1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1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1" hidden="1">#REF!</definedName>
    <definedName name="BExZZZEMIIFKMLLV4DJKX5TB9R5V" localSheetId="1" hidden="1">#REF!</definedName>
    <definedName name="BExZZZEMIIFKMLLV4DJKX5TB9R5V" hidden="1">#REF!</definedName>
    <definedName name="BOOKADJ">#REF!</definedName>
    <definedName name="Camas" localSheetId="11" hidden="1">{#N/A,#N/A,FALSE,"Summary";#N/A,#N/A,FALSE,"SmPlants";#N/A,#N/A,FALSE,"Utah";#N/A,#N/A,FALSE,"Idaho";#N/A,#N/A,FALSE,"Lewis River";#N/A,#N/A,FALSE,"NrthUmpq";#N/A,#N/A,FALSE,"KlamRog"}</definedName>
    <definedName name="Camas" localSheetId="16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ase">[18]Inputs!$F$22</definedName>
    <definedName name="CBWorkbookPriority" hidden="1">-2060790043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localSheetId="16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1" hidden="1">{"YTD-Total",#N/A,TRUE,"Provision";"YTD-Utility",#N/A,TRUE,"Prov Utility";"YTD-NonUtility",#N/A,TRUE,"Prov NonUtility"}</definedName>
    <definedName name="combined1" localSheetId="16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2">#REF!</definedName>
    <definedName name="COMP" localSheetId="20">#REF!</definedName>
    <definedName name="COMP">#REF!</definedName>
    <definedName name="COMPACTUAL">#REF!</definedName>
    <definedName name="COMPT" localSheetId="22">#REF!</definedName>
    <definedName name="COMPT" localSheetId="20">#REF!</definedName>
    <definedName name="COMPT">#REF!</definedName>
    <definedName name="COMPWEATHER">#REF!</definedName>
    <definedName name="copy" localSheetId="11" hidden="1">#REF!</definedName>
    <definedName name="copy" localSheetId="1" hidden="1">#REF!</definedName>
    <definedName name="copy" hidden="1">#REF!</definedName>
    <definedName name="COSFacVal">[10]Inputs!$R$5</definedName>
    <definedName name="cst">[18]Inputs!$I$24</definedName>
    <definedName name="dad">[19]Variables!$H$2</definedName>
    <definedName name="dana" localSheetId="11" hidden="1">{#N/A,#N/A,FALSE,"Summary EPS";#N/A,#N/A,FALSE,"1st Qtr Electric";#N/A,#N/A,FALSE,"1st Qtr Australia";#N/A,#N/A,FALSE,"1st Qtr Telecom";#N/A,#N/A,FALSE,"1st QTR Other"}</definedName>
    <definedName name="dana" localSheetId="16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1" hidden="1">{#N/A,#N/A,FALSE,"Summary 1";#N/A,#N/A,FALSE,"Domestic";#N/A,#N/A,FALSE,"Australia";#N/A,#N/A,FALSE,"Other"}</definedName>
    <definedName name="dana1" localSheetId="16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2">[20]Invoice!#REF!</definedName>
    <definedName name="_xlnm.Database" localSheetId="20">[20]Invoice!#REF!</definedName>
    <definedName name="_xlnm.Database">#REF!</definedName>
    <definedName name="date" localSheetId="0">[18]Inputs!$F$24</definedName>
    <definedName name="DATE">[21]Jan!#REF!</definedName>
    <definedName name="DEC" localSheetId="22">[16]Backup!#REF!</definedName>
    <definedName name="DEC" localSheetId="20">[16]Backup!#REF!</definedName>
    <definedName name="DEC">[16]Backup!#REF!</definedName>
    <definedName name="DECT" localSheetId="22">#REF!</definedName>
    <definedName name="DECT" localSheetId="20">#REF!</definedName>
    <definedName name="DECT">#REF!</definedName>
    <definedName name="DELETE01" localSheetId="11" hidden="1">{#N/A,#N/A,FALSE,"Coversheet";#N/A,#N/A,FALSE,"QA"}</definedName>
    <definedName name="DELETE01" localSheetId="16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6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6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6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6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[22]Inputs!$D$11</definedName>
    <definedName name="DFIT" localSheetId="11" hidden="1">{#N/A,#N/A,FALSE,"Coversheet";#N/A,#N/A,FALSE,"QA"}</definedName>
    <definedName name="DFIT" localSheetId="16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md">[18]Inputs!$I$23</definedName>
    <definedName name="dsd" localSheetId="11" hidden="1">[1]Inputs!#REF!</definedName>
    <definedName name="dsd" hidden="1">[1]Inputs!#REF!</definedName>
    <definedName name="DUDE" localSheetId="11" hidden="1">#REF!</definedName>
    <definedName name="DUDE" localSheetId="22" hidden="1">#REF!</definedName>
    <definedName name="DUDE" localSheetId="20" hidden="1">#REF!</definedName>
    <definedName name="DUDE" localSheetId="16" hidden="1">#REF!</definedName>
    <definedName name="DUDE" localSheetId="1" hidden="1">#REF!</definedName>
    <definedName name="DUDE" hidden="1">#REF!</definedName>
    <definedName name="ee" localSheetId="11" hidden="1">{#N/A,#N/A,FALSE,"Month ";#N/A,#N/A,FALSE,"YTD";#N/A,#N/A,FALSE,"12 mo ended"}</definedName>
    <definedName name="ee" localSheetId="16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 localSheetId="0">[18]Inputs!$I$22</definedName>
    <definedName name="Engy">[9]Inputs!$D$9</definedName>
    <definedName name="Engy2">[22]Inputs!$D$12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1" hidden="1">{#N/A,#N/A,FALSE,"Coversheet";#N/A,#N/A,FALSE,"QA"}</definedName>
    <definedName name="error" localSheetId="16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1" hidden="1">{#N/A,#N/A,FALSE,"Summ";#N/A,#N/A,FALSE,"General"}</definedName>
    <definedName name="Estimate" localSheetId="16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6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1" hidden="1">{#N/A,#N/A,FALSE,"Loans";#N/A,#N/A,FALSE,"Program Costs";#N/A,#N/A,FALSE,"Measures";#N/A,#N/A,FALSE,"Net Lost Rev";#N/A,#N/A,FALSE,"Incentive"}</definedName>
    <definedName name="extra2" localSheetId="16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localSheetId="16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localSheetId="16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localSheetId="16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6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2">[16]Backup!#REF!</definedName>
    <definedName name="FEB" localSheetId="20">[16]Backup!#REF!</definedName>
    <definedName name="FEB">[16]Backup!#REF!</definedName>
    <definedName name="FEBT" localSheetId="22">#REF!</definedName>
    <definedName name="FEBT" localSheetId="20">#REF!</definedName>
    <definedName name="FEBT">#REF!</definedName>
    <definedName name="ffff" localSheetId="11" hidden="1">{#N/A,#N/A,FALSE,"Coversheet";#N/A,#N/A,FALSE,"QA"}</definedName>
    <definedName name="ffff" localSheetId="16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1" hidden="1">{#N/A,#N/A,FALSE,"Coversheet";#N/A,#N/A,FALSE,"QA"}</definedName>
    <definedName name="fffgf" localSheetId="16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localSheetId="16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 localSheetId="22">#REF!</definedName>
    <definedName name="Func_Ftrs" localSheetId="20">#REF!</definedName>
    <definedName name="Func_Ftrs">#REF!</definedName>
    <definedName name="Func_GTD_Percents" localSheetId="22">#REF!</definedName>
    <definedName name="Func_GTD_Percents" localSheetId="20">#REF!</definedName>
    <definedName name="Func_GTD_Percents">#REF!</definedName>
    <definedName name="Func_MC" localSheetId="22">#REF!</definedName>
    <definedName name="Func_MC" localSheetId="20">#REF!</definedName>
    <definedName name="Func_MC">#REF!</definedName>
    <definedName name="Func_Percents" localSheetId="22">#REF!</definedName>
    <definedName name="Func_Percents" localSheetId="20">#REF!</definedName>
    <definedName name="Func_Percents">#REF!</definedName>
    <definedName name="Func_Rev_Req1" localSheetId="22">#REF!</definedName>
    <definedName name="Func_Rev_Req1" localSheetId="20">#REF!</definedName>
    <definedName name="Func_Rev_Req1">#REF!</definedName>
    <definedName name="Func_Rev_Req2" localSheetId="22">#REF!</definedName>
    <definedName name="Func_Rev_Req2" localSheetId="20">#REF!</definedName>
    <definedName name="Func_Rev_Req2">#REF!</definedName>
    <definedName name="Func_Revenue" localSheetId="22">#REF!</definedName>
    <definedName name="Func_Revenue" localSheetId="20">#REF!</definedName>
    <definedName name="Func_Revenue">#REF!</definedName>
    <definedName name="Function">'[10]Func Study'!$AB$250</definedName>
    <definedName name="GREATER10MW">#REF!</definedName>
    <definedName name="GTD_Percents" localSheetId="22">#REF!</definedName>
    <definedName name="GTD_Percents" localSheetId="20">#REF!</definedName>
    <definedName name="GTD_Percents">#REF!</definedName>
    <definedName name="HEIGHT" localSheetId="22">#REF!</definedName>
    <definedName name="HEIGHT" localSheetId="20">#REF!</definedName>
    <definedName name="HEIGHT">#REF!</definedName>
    <definedName name="helllo" localSheetId="11" hidden="1">{#N/A,#N/A,FALSE,"Pg 6b CustCount_Gas";#N/A,#N/A,FALSE,"QA";#N/A,#N/A,FALSE,"Report";#N/A,#N/A,FALSE,"forecast"}</definedName>
    <definedName name="helllo" localSheetId="16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1" hidden="1">{#N/A,#N/A,FALSE,"Coversheet";#N/A,#N/A,FALSE,"QA"}</definedName>
    <definedName name="HELP" localSheetId="16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localSheetId="16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1" hidden="1">{"'Sheet1'!$A$1:$J$121"}</definedName>
    <definedName name="HTML_Control" localSheetId="16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localSheetId="0" hidden="1">""</definedName>
    <definedName name="HTML_Header" hidden="1">"Sheet1"</definedName>
    <definedName name="HTML_LastUpdate" localSheetId="0" hidden="1">"6/2/98"</definedName>
    <definedName name="HTML_LastUpdate" hidden="1">"10/21/99"</definedName>
    <definedName name="HTML_LineAfter" hidden="1">FALSE</definedName>
    <definedName name="HTML_LineBefore" hidden="1">FALSE</definedName>
    <definedName name="HTML_Name" localSheetId="0" hidden="1">"Arti Choxi -"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localSheetId="0" hidden="1">"H:\PRJ\STEO_NEW\5TABB.htm"</definedName>
    <definedName name="HTML_PathFile" hidden="1">"\\Bhincres01\groups\Mkt_Dev\EXECMKTR\RIGS\RigBible\Web NA.htm"</definedName>
    <definedName name="HTML_Title" localSheetId="0" hidden="1">""</definedName>
    <definedName name="HTML_Title" hidden="1">"Total North America"</definedName>
    <definedName name="ID_0303_RVN_data" localSheetId="22">#REF!</definedName>
    <definedName name="ID_0303_RVN_data" localSheetId="20">#REF!</definedName>
    <definedName name="ID_0303_RVN_data">#REF!</definedName>
    <definedName name="IDcontractsRVN" localSheetId="22">#REF!</definedName>
    <definedName name="IDcontractsRVN" localSheetId="20">#REF!</definedName>
    <definedName name="IDcontractsRVN">#REF!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[23]Summary!#REF!</definedName>
    <definedName name="Instructions">#REF!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localSheetId="16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2">[16]Backup!#REF!</definedName>
    <definedName name="JAN" localSheetId="20">[16]Backup!#REF!</definedName>
    <definedName name="JAN">[16]Backup!#REF!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2">#REF!</definedName>
    <definedName name="JANT" localSheetId="20">#REF!</definedName>
    <definedName name="JANT">#REF!</definedName>
    <definedName name="jfkljsdkljiejgr" localSheetId="11" hidden="1">{#N/A,#N/A,FALSE,"Summ";#N/A,#N/A,FALSE,"General"}</definedName>
    <definedName name="jfkljsdkljiejgr" localSheetId="16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[24]Inputs!$N$18</definedName>
    <definedName name="JUL" localSheetId="22">[16]Backup!#REF!</definedName>
    <definedName name="JUL" localSheetId="20">[16]Backup!#REF!</definedName>
    <definedName name="JUL">[16]Backup!#REF!</definedName>
    <definedName name="JULT" localSheetId="22">#REF!</definedName>
    <definedName name="JULT" localSheetId="20">#REF!</definedName>
    <definedName name="JULT">#REF!</definedName>
    <definedName name="JUN" localSheetId="22">[16]Backup!#REF!</definedName>
    <definedName name="JUN" localSheetId="20">[16]Backup!#REF!</definedName>
    <definedName name="JUN">[16]Backup!#REF!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localSheetId="16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1" hidden="1">{"PRINT",#N/A,TRUE,"APPA";"PRINT",#N/A,TRUE,"APS";"PRINT",#N/A,TRUE,"BHPL";"PRINT",#N/A,TRUE,"BHPL2";"PRINT",#N/A,TRUE,"CDWR";"PRINT",#N/A,TRUE,"EWEB";"PRINT",#N/A,TRUE,"LADWP";"PRINT",#N/A,TRUE,"NEVBASE"}</definedName>
    <definedName name="junk1" localSheetId="16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localSheetId="16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localSheetId="16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localSheetId="16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1" hidden="1">{"PRINT",#N/A,TRUE,"APPA";"PRINT",#N/A,TRUE,"APS";"PRINT",#N/A,TRUE,"BHPL";"PRINT",#N/A,TRUE,"BHPL2";"PRINT",#N/A,TRUE,"CDWR";"PRINT",#N/A,TRUE,"EWEB";"PRINT",#N/A,TRUE,"LADWP";"PRINT",#N/A,TRUE,"NEVBASE"}</definedName>
    <definedName name="junk5" localSheetId="16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2">#REF!</definedName>
    <definedName name="JUNT" localSheetId="20">#REF!</definedName>
    <definedName name="JUNT">#REF!</definedName>
    <definedName name="Jurisdiction">[13]Variables!$AK$15</definedName>
    <definedName name="JurisNumber">[13]Variables!$AL$15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localSheetId="16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localSheetId="16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2">#REF!</definedName>
    <definedName name="LABORMOD" localSheetId="20">#REF!</definedName>
    <definedName name="LABORMOD">#REF!</definedName>
    <definedName name="LABORROLL" localSheetId="22">#REF!</definedName>
    <definedName name="LABORROLL" localSheetId="20">#REF!</definedName>
    <definedName name="LABORROLL">#REF!</definedName>
    <definedName name="limcount" hidden="1">1</definedName>
    <definedName name="Line_Ext_Credit" localSheetId="22">#REF!</definedName>
    <definedName name="Line_Ext_Credit" localSheetId="20">#REF!</definedName>
    <definedName name="Line_Ext_Credit">#REF!</definedName>
    <definedName name="LinkCos">'[10]JAM Download'!$K$4</definedName>
    <definedName name="ListOffset" hidden="1">1</definedName>
    <definedName name="LOG" localSheetId="22">[16]Backup!#REF!</definedName>
    <definedName name="LOG" localSheetId="20">[16]Backup!#REF!</definedName>
    <definedName name="LOG">[16]Backup!#REF!</definedName>
    <definedName name="lookup" localSheetId="11" hidden="1">{#N/A,#N/A,FALSE,"Coversheet";#N/A,#N/A,FALSE,"QA"}</definedName>
    <definedName name="lookup" localSheetId="16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 localSheetId="22">[16]Backup!#REF!</definedName>
    <definedName name="LOSS" localSheetId="20">[16]Backup!#REF!</definedName>
    <definedName name="LOSS">[16]Backup!#REF!</definedName>
    <definedName name="MACTIT">#REF!</definedName>
    <definedName name="MAR" localSheetId="22">[16]Backup!#REF!</definedName>
    <definedName name="MAR" localSheetId="20">[16]Backup!#REF!</definedName>
    <definedName name="MAR">[16]Backup!#REF!</definedName>
    <definedName name="MART" localSheetId="22">#REF!</definedName>
    <definedName name="MART" localSheetId="20">#REF!</definedName>
    <definedName name="MART">#REF!</definedName>
    <definedName name="Master" localSheetId="11" hidden="1">{#N/A,#N/A,FALSE,"Actual";#N/A,#N/A,FALSE,"Normalized";#N/A,#N/A,FALSE,"Electric Actual";#N/A,#N/A,FALSE,"Electric Normalized"}</definedName>
    <definedName name="Master" localSheetId="16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22">[16]Backup!#REF!</definedName>
    <definedName name="MAY" localSheetId="20">[16]Backup!#REF!</definedName>
    <definedName name="MAY">[16]Backup!#REF!</definedName>
    <definedName name="MAYT" localSheetId="22">#REF!</definedName>
    <definedName name="MAYT" localSheetId="20">#REF!</definedName>
    <definedName name="MAYT">#REF!</definedName>
    <definedName name="MCtoREV" localSheetId="22">#REF!</definedName>
    <definedName name="MCtoREV" localSheetId="20">#REF!</definedName>
    <definedName name="MCtoREV">#REF!</definedName>
    <definedName name="MEN">[6]Jan!#REF!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11" hidden="1">{#N/A,#N/A,FALSE,"Expenditures";#N/A,#N/A,FALSE,"Property Placed In-Service";#N/A,#N/A,FALSE,"CWIP Balances"}</definedName>
    <definedName name="Miller" localSheetId="16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localSheetId="16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22">[16]Backup!#REF!</definedName>
    <definedName name="MONTH" localSheetId="20">[16]Backup!#REF!</definedName>
    <definedName name="MONTH">[16]Backup!#REF!</definedName>
    <definedName name="monthlist">[25]Table!$R$2:$S$13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[26]Variables!$E$14</definedName>
    <definedName name="MTREV">#REF!</definedName>
    <definedName name="MULT" localSheetId="22">#REF!</definedName>
    <definedName name="MULT" localSheetId="20">#REF!</definedName>
    <definedName name="MULT">#REF!</definedName>
    <definedName name="Net_to_Gross_Factor">[10]Inputs!$G$8</definedName>
    <definedName name="NetToGross">[14]Variables!$D$23</definedName>
    <definedName name="new" localSheetId="11" hidden="1">{#N/A,#N/A,TRUE,"Section6";#N/A,#N/A,TRUE,"OHcycles";#N/A,#N/A,TRUE,"OHtiming";#N/A,#N/A,TRUE,"OHcosts";#N/A,#N/A,TRUE,"GTdegradation";#N/A,#N/A,TRUE,"GTperformance";#N/A,#N/A,TRUE,"GraphEquip"}</definedName>
    <definedName name="new" localSheetId="16" hidden="1">{#N/A,#N/A,FALSE,"Summ";#N/A,#N/A,FALSE,"General"}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[6]Jan!#REF!</definedName>
    <definedName name="NEWMO2">[6]Jan!#REF!</definedName>
    <definedName name="NEWMONTH">[6]Jan!#REF!</definedName>
    <definedName name="NORMALIZE" localSheetId="22">#REF!</definedName>
    <definedName name="NORMALIZE" localSheetId="20">#REF!</definedName>
    <definedName name="NORMALIZE">#REF!</definedName>
    <definedName name="NOV" localSheetId="22">[16]Backup!#REF!</definedName>
    <definedName name="NOV" localSheetId="20">[16]Backup!#REF!</definedName>
    <definedName name="NOV">[16]Backup!#REF!</definedName>
    <definedName name="NOVT" localSheetId="22">#REF!</definedName>
    <definedName name="NOVT" localSheetId="20">#REF!</definedName>
    <definedName name="NOVT">#REF!</definedName>
    <definedName name="NPC">[12]Inputs!$N$18</definedName>
    <definedName name="NUM">#REF!</definedName>
    <definedName name="OCT" localSheetId="22">[16]Backup!#REF!</definedName>
    <definedName name="OCT" localSheetId="20">[16]Backup!#REF!</definedName>
    <definedName name="OCT">[16]Backup!#REF!</definedName>
    <definedName name="OCTT" localSheetId="22">#REF!</definedName>
    <definedName name="OCTT" localSheetId="20">#REF!</definedName>
    <definedName name="OCTT">#REF!</definedName>
    <definedName name="OHSch10YR" localSheetId="11" hidden="1">{#N/A,#N/A,FALSE,"Summary";#N/A,#N/A,FALSE,"SmPlants";#N/A,#N/A,FALSE,"Utah";#N/A,#N/A,FALSE,"Idaho";#N/A,#N/A,FALSE,"Lewis River";#N/A,#N/A,FALSE,"NrthUmpq";#N/A,#N/A,FALSE,"KlamRog"}</definedName>
    <definedName name="OHSch10YR" localSheetId="16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1" hidden="1">{#N/A,#N/A,FALSE,"Summary";#N/A,#N/A,FALSE,"SmPlants";#N/A,#N/A,FALSE,"Utah";#N/A,#N/A,FALSE,"Idaho";#N/A,#N/A,FALSE,"Lewis River";#N/A,#N/A,FALSE,"NrthUmpq";#N/A,#N/A,FALSE,"KlamRog"}</definedName>
    <definedName name="om" localSheetId="16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[6]Jan!#REF!</definedName>
    <definedName name="option">'[27]Dist Misc'!$F$120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localSheetId="16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 localSheetId="22">#REF!</definedName>
    <definedName name="PAGE3" localSheetId="20">#REF!</definedName>
    <definedName name="PAGE3">#REF!</definedName>
    <definedName name="Page4">#REF!</definedName>
    <definedName name="Page5">#REF!</definedName>
    <definedName name="Page6">#REF!</definedName>
    <definedName name="Page62">[28]TransInvest!#REF!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22">[16]Backup!#REF!</definedName>
    <definedName name="PMAC" localSheetId="20">[16]Backup!#REF!</definedName>
    <definedName name="PMAC">[16]Backup!#REF!</definedName>
    <definedName name="PRESENT" localSheetId="22">#REF!</definedName>
    <definedName name="PRESENT" localSheetId="20">#REF!</definedName>
    <definedName name="PRESENT">#REF!</definedName>
    <definedName name="PRICCHNG">#REF!</definedName>
    <definedName name="PricingInfo" localSheetId="11" hidden="1">[29]Inputs!#REF!</definedName>
    <definedName name="PricingInfo" localSheetId="16" hidden="1">[30]Inputs!#REF!</definedName>
    <definedName name="PricingInfo" localSheetId="1" hidden="1">[29]Inputs!#REF!</definedName>
    <definedName name="PricingInfo" hidden="1">[29]Inputs!#REF!</definedName>
    <definedName name="_xlnm.Print_Area" localSheetId="13">'AutoPay&amp;Paperless'!$A$1:$G$23</definedName>
    <definedName name="_xlnm.Print_Area" localSheetId="0">'Exhibit DED-6'!$A$1:$AA$32</definedName>
    <definedName name="_xlnm.Print_Area" localSheetId="15">'Normalized Summary'!$A$1:$S$118</definedName>
    <definedName name="_xlnm.Print_Area" localSheetId="12">'Normalized Units'!$A$2:$V$257</definedName>
    <definedName name="_xlnm.Print_Area" localSheetId="10">'Sch.15,51,53,54'!$A$1:$G$183</definedName>
    <definedName name="_xlnm.Print_Area" localSheetId="3">'Sch.16,17,19'!$A$1:$K$157,'Sch.16,17,19'!$L$4:$Q$81</definedName>
    <definedName name="_xlnm.Print_Area" localSheetId="4">Sch.24!$A$1:$M$115,Sch.24!$N$4:$S$257</definedName>
    <definedName name="_xlnm.Print_Area" localSheetId="16">'Sch.24,29,36,40 Customers'!$A$2:$T$67</definedName>
    <definedName name="_xlnm.Print_Area" localSheetId="5">'Sch.29,36'!$A$1:$L$29,'Sch.29,36'!$M$4:$S$215</definedName>
    <definedName name="_xlnm.Print_Area" localSheetId="9">Sch.40!$A$43:$M$68,Sch.40!$N$1:$S$129</definedName>
    <definedName name="_xlnm.Print_Area" localSheetId="17">'Sch.40 Bills'!$A$1:$O$5</definedName>
    <definedName name="_xlnm.Print_Area" localSheetId="8">Sch.47T!$A$1:$F$51</definedName>
    <definedName name="_xlnm.Print_Area" localSheetId="6">Sch.48T!$A$1:$M$46,Sch.48T!$N$4:$T$213</definedName>
    <definedName name="_xlnm.Print_Area" localSheetId="7">'Sch.48T-DF'!$A$27:$K$46,'Sch.48T-DF'!$L$1:$O$69</definedName>
    <definedName name="_xlnm.Print_Area" localSheetId="1">Summary!$B$1:$O$25,Summary!$A$26:$O$73</definedName>
    <definedName name="_xlnm.Print_Area" localSheetId="14">Unbilled!$A$1:$E$22</definedName>
    <definedName name="_xlnm.Print_Titles" localSheetId="13">'AutoPay&amp;Paperless'!$1:$4</definedName>
    <definedName name="_xlnm.Print_Titles" localSheetId="15">'Normalized Summary'!$1:$7</definedName>
    <definedName name="_xlnm.Print_Titles" localSheetId="12">'Normalized Units'!$2:$2</definedName>
    <definedName name="_xlnm.Print_Titles" localSheetId="10">'Sch.15,51,53,54'!$1:$6</definedName>
    <definedName name="_xlnm.Print_Titles" localSheetId="3">'Sch.16,17,19'!$1:$7</definedName>
    <definedName name="_xlnm.Print_Titles" localSheetId="4">Sch.24!$1:$7</definedName>
    <definedName name="_xlnm.Print_Titles" localSheetId="5">'Sch.29,36'!$1:$7</definedName>
    <definedName name="_xlnm.Print_Titles" localSheetId="9">Sch.40!$1:$4</definedName>
    <definedName name="_xlnm.Print_Titles" localSheetId="8">Sch.47T!$1:$4</definedName>
    <definedName name="_xlnm.Print_Titles" localSheetId="6">Sch.48T!$1:$7</definedName>
    <definedName name="_xlnm.Print_Titles" localSheetId="7">'Sch.48T-DF'!$1:$4</definedName>
    <definedName name="_xlnm.Print_Titles" localSheetId="14">Unbilled!$1:$3</definedName>
    <definedName name="pscr0">[18]Inputs!$C$22</definedName>
    <definedName name="pscr1">[18]Inputs!$C$23</definedName>
    <definedName name="PTABLES">#REF!</definedName>
    <definedName name="PTDMOD" localSheetId="22">#REF!</definedName>
    <definedName name="PTDMOD" localSheetId="20">#REF!</definedName>
    <definedName name="PTDMOD">#REF!</definedName>
    <definedName name="PTDROLL" localSheetId="22">#REF!</definedName>
    <definedName name="PTDROLL" localSheetId="20">#REF!</definedName>
    <definedName name="PTDROLL">#REF!</definedName>
    <definedName name="PTMOD" localSheetId="22">#REF!</definedName>
    <definedName name="PTMOD" localSheetId="20">#REF!</definedName>
    <definedName name="PTMOD">#REF!</definedName>
    <definedName name="PTROLL" localSheetId="22">#REF!</definedName>
    <definedName name="PTROLL" localSheetId="20">#REF!</definedName>
    <definedName name="PTROLL">#REF!</definedName>
    <definedName name="PWORKBACK">#REF!</definedName>
    <definedName name="q" localSheetId="11" hidden="1">{#N/A,#N/A,FALSE,"Coversheet";#N/A,#N/A,FALSE,"QA"}</definedName>
    <definedName name="q" localSheetId="16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1" hidden="1">{#N/A,#N/A,FALSE,"schA"}</definedName>
    <definedName name="qqq" localSheetId="16" hidden="1">{#N/A,#N/A,FALSE,"schA"}</definedName>
    <definedName name="qqq" localSheetId="1" hidden="1">{#N/A,#N/A,FALSE,"schA"}</definedName>
    <definedName name="qqq" hidden="1">{#N/A,#N/A,FALSE,"schA"}</definedName>
    <definedName name="Query1" localSheetId="22">#REF!</definedName>
    <definedName name="Query1" localSheetId="20">#REF!</definedName>
    <definedName name="Query1">#REF!</definedName>
    <definedName name="rates" localSheetId="0">[18]Inputs!$A$30:$F$452</definedName>
    <definedName name="Rates">[31]Codes!$A$1:$C$497</definedName>
    <definedName name="RC_ADJ">#REF!</definedName>
    <definedName name="RESADJ">#REF!</definedName>
    <definedName name="ResourceSupplier">[14]Variables!$D$28</definedName>
    <definedName name="retail" localSheetId="11" hidden="1">{#N/A,#N/A,FALSE,"Loans";#N/A,#N/A,FALSE,"Program Costs";#N/A,#N/A,FALSE,"Measures";#N/A,#N/A,FALSE,"Net Lost Rev";#N/A,#N/A,FALSE,"Incentive"}</definedName>
    <definedName name="retail" localSheetId="16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6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6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[31]Codes!$F$2:$G$10</definedName>
    <definedName name="Revenue_by_month_take_2" localSheetId="22">#REF!</definedName>
    <definedName name="Revenue_by_month_take_2" localSheetId="20">#REF!</definedName>
    <definedName name="Revenue_by_month_take_2">#REF!</definedName>
    <definedName name="RevenueCheck" localSheetId="22">#REF!</definedName>
    <definedName name="RevenueCheck" localSheetId="20">#REF!</definedName>
    <definedName name="RevenueCheck">#REF!</definedName>
    <definedName name="RevReqSettle">#REF!</definedName>
    <definedName name="REVVSTRS">#REF!</definedName>
    <definedName name="RISFORM" localSheetId="22">#REF!</definedName>
    <definedName name="RISFORM" localSheetId="20">#REF!</definedName>
    <definedName name="RISFORM">#REF!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localSheetId="16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11" hidden="1">{#N/A,#N/A,FALSE,"Summ";#N/A,#N/A,FALSE,"General"}</definedName>
    <definedName name="sdlfhsdlhfkl" localSheetId="16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 localSheetId="22">#REF!</definedName>
    <definedName name="se" localSheetId="20">#REF!</definedName>
    <definedName name="se">#REF!</definedName>
    <definedName name="SECOND">[6]Jan!#REF!</definedName>
    <definedName name="SEP" localSheetId="22">[16]Backup!#REF!</definedName>
    <definedName name="SEP" localSheetId="20">[16]Backup!#REF!</definedName>
    <definedName name="SEP">[16]Backup!#REF!</definedName>
    <definedName name="SEPT" localSheetId="22">#REF!</definedName>
    <definedName name="SEPT" localSheetId="20">#REF!</definedName>
    <definedName name="SEPT">#REF!</definedName>
    <definedName name="SERVICES_3" localSheetId="22">#REF!</definedName>
    <definedName name="SERVICES_3" localSheetId="20">#REF!</definedName>
    <definedName name="SERVICES_3">#REF!</definedName>
    <definedName name="seven" localSheetId="11" hidden="1">{#N/A,#N/A,FALSE,"CRPT";#N/A,#N/A,FALSE,"TREND";#N/A,#N/A,FALSE,"%Curve"}</definedName>
    <definedName name="seven" localSheetId="16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 localSheetId="22">#REF!</definedName>
    <definedName name="sg" localSheetId="20">#REF!</definedName>
    <definedName name="sg">#REF!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localSheetId="16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11" hidden="1">{#N/A,#N/A,FALSE,"Drill Sites";"WP 212",#N/A,FALSE,"MWAG EOR";"WP 213",#N/A,FALSE,"MWAG EOR";#N/A,#N/A,FALSE,"Misc. Facility";#N/A,#N/A,FALSE,"WWTP"}</definedName>
    <definedName name="six" localSheetId="16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1" hidden="1">{#N/A,#N/A,FALSE,"Summary";#N/A,#N/A,FALSE,"SmPlants";#N/A,#N/A,FALSE,"Utah";#N/A,#N/A,FALSE,"Idaho";#N/A,#N/A,FALSE,"Lewis River";#N/A,#N/A,FALSE,"NrthUmpq";#N/A,#N/A,FALSE,"KlamRog"}</definedName>
    <definedName name="SpecMaint" localSheetId="16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1" hidden="1">{#N/A,#N/A,FALSE,"Actual";#N/A,#N/A,FALSE,"Normalized";#N/A,#N/A,FALSE,"Electric Actual";#N/A,#N/A,FALSE,"Electric Normalized"}</definedName>
    <definedName name="spippw" localSheetId="16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1" hidden="1">{"PRINT",#N/A,TRUE,"APPA";"PRINT",#N/A,TRUE,"APS";"PRINT",#N/A,TRUE,"BHPL";"PRINT",#N/A,TRUE,"BHPL2";"PRINT",#N/A,TRUE,"CDWR";"PRINT",#N/A,TRUE,"EWEB";"PRINT",#N/A,TRUE,"LADWP";"PRINT",#N/A,TRUE,"NEVBASE"}</definedName>
    <definedName name="ss" localSheetId="16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1" hidden="1">{"YTD-Total",#N/A,FALSE,"Provision"}</definedName>
    <definedName name="standard1" localSheetId="16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>[6]Jan!#REF!</definedName>
    <definedName name="SUM_TAB1">#REF!</definedName>
    <definedName name="SUM_TAB2">#REF!</definedName>
    <definedName name="SUM_TAB3">#REF!</definedName>
    <definedName name="t" localSheetId="11" hidden="1">{#N/A,#N/A,FALSE,"CESTSUM";#N/A,#N/A,FALSE,"est sum A";#N/A,#N/A,FALSE,"est detail A"}</definedName>
    <definedName name="t" localSheetId="16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2">#REF!</definedName>
    <definedName name="TABLE_1" localSheetId="20">#REF!</definedName>
    <definedName name="TABLE_1">#REF!</definedName>
    <definedName name="TABLE_2" localSheetId="22">#REF!</definedName>
    <definedName name="TABLE_2" localSheetId="20">#REF!</definedName>
    <definedName name="TABLE_2">#REF!</definedName>
    <definedName name="TABLE_3" localSheetId="22">#REF!</definedName>
    <definedName name="TABLE_3" localSheetId="20">#REF!</definedName>
    <definedName name="TABLE_3">#REF!</definedName>
    <definedName name="TABLE_4" localSheetId="22">#REF!</definedName>
    <definedName name="TABLE_4" localSheetId="20">#REF!</definedName>
    <definedName name="TABLE_4">#REF!</definedName>
    <definedName name="TABLE_4_A" localSheetId="22">#REF!</definedName>
    <definedName name="TABLE_4_A" localSheetId="20">#REF!</definedName>
    <definedName name="TABLE_4_A">#REF!</definedName>
    <definedName name="TABLE_5" localSheetId="22">#REF!</definedName>
    <definedName name="TABLE_5" localSheetId="20">#REF!</definedName>
    <definedName name="TABLE_5">#REF!</definedName>
    <definedName name="TABLE_6" localSheetId="22">#REF!</definedName>
    <definedName name="TABLE_6" localSheetId="20">#REF!</definedName>
    <definedName name="TABLE_6">#REF!</definedName>
    <definedName name="TABLE_7" localSheetId="22">#REF!</definedName>
    <definedName name="TABLE_7" localSheetId="20">#REF!</definedName>
    <definedName name="TABLE_7">#REF!</definedName>
    <definedName name="TABLE1">#REF!</definedName>
    <definedName name="TABLE2">#REF!</definedName>
    <definedName name="TABLEA">#REF!</definedName>
    <definedName name="TABLEONE" localSheetId="22">#REF!</definedName>
    <definedName name="TABLEONE" localSheetId="20">#REF!</definedName>
    <definedName name="TABLEONE">#REF!</definedName>
    <definedName name="TargetROR">[9]Inputs!$G$29</definedName>
    <definedName name="TDMOD" localSheetId="22">#REF!</definedName>
    <definedName name="TDMOD" localSheetId="20">#REF!</definedName>
    <definedName name="TDMOD">#REF!</definedName>
    <definedName name="TDROLL" localSheetId="22">#REF!</definedName>
    <definedName name="TDROLL" localSheetId="20">#REF!</definedName>
    <definedName name="TDROLL">#REF!</definedName>
    <definedName name="tem" localSheetId="11" hidden="1">{#N/A,#N/A,FALSE,"Summ";#N/A,#N/A,FALSE,"General"}</definedName>
    <definedName name="tem" localSheetId="16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1" hidden="1">{#N/A,#N/A,FALSE,"Summ";#N/A,#N/A,FALSE,"General"}</definedName>
    <definedName name="TEMP" localSheetId="16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6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1" hidden="1">{#N/A,#N/A,FALSE,"CESTSUM";#N/A,#N/A,FALSE,"est sum A";#N/A,#N/A,FALSE,"est detail A"}</definedName>
    <definedName name="temp2" localSheetId="16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11" hidden="1">{#N/A,#N/A,FALSE,"CESTSUM";#N/A,#N/A,FALSE,"est sum A";#N/A,#N/A,FALSE,"est detail A"}</definedName>
    <definedName name="tr" localSheetId="16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1" hidden="1">#REF!</definedName>
    <definedName name="Transfer" localSheetId="16" hidden="1">#REF!</definedName>
    <definedName name="Transfer" localSheetId="1" hidden="1">#REF!</definedName>
    <definedName name="Transfer" hidden="1">#REF!</definedName>
    <definedName name="Transfers" localSheetId="11" hidden="1">#REF!</definedName>
    <definedName name="Transfers" localSheetId="1" hidden="1">#REF!</definedName>
    <definedName name="Transfers" hidden="1">#REF!</definedName>
    <definedName name="TRANSM_2">[32]Transm2!$A$1:$M$461:'[32]10 Yr FC'!$M$47</definedName>
    <definedName name="u" localSheetId="11" hidden="1">{#N/A,#N/A,FALSE,"Summ";#N/A,#N/A,FALSE,"General"}</definedName>
    <definedName name="u" localSheetId="16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11" hidden="1">{#N/A,#N/A,FALSE,"Coversheet";#N/A,#N/A,FALSE,"QA"}</definedName>
    <definedName name="v" localSheetId="16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11" hidden="1">{#N/A,#N/A,FALSE,"Summ";#N/A,#N/A,FALSE,"General"}</definedName>
    <definedName name="Value" localSheetId="16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 localSheetId="22">[16]Backup!#REF!</definedName>
    <definedName name="VAR" localSheetId="20">[16]Backup!#REF!</definedName>
    <definedName name="VAR">[16]Backup!#REF!</definedName>
    <definedName name="VARIABLE">[23]Summary!#REF!</definedName>
    <definedName name="VOUCHER" localSheetId="22">#REF!</definedName>
    <definedName name="VOUCHER" localSheetId="20">#REF!</definedName>
    <definedName name="VOUCHER">#REF!</definedName>
    <definedName name="w" localSheetId="11" hidden="1">[33]Inputs!#REF!</definedName>
    <definedName name="w" localSheetId="16" hidden="1">[34]Inputs!#REF!</definedName>
    <definedName name="w" localSheetId="1" hidden="1">[33]Inputs!#REF!</definedName>
    <definedName name="w" hidden="1">[33]Inputs!#REF!</definedName>
    <definedName name="WaRevenueTax">[14]Variables!$D$27</definedName>
    <definedName name="we" localSheetId="11" hidden="1">{#N/A,#N/A,FALSE,"Pg 6b CustCount_Gas";#N/A,#N/A,FALSE,"QA";#N/A,#N/A,FALSE,"Report";#N/A,#N/A,FALSE,"forecast"}</definedName>
    <definedName name="we" localSheetId="16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1" hidden="1">{#N/A,#N/A,FALSE,"Coversheet";#N/A,#N/A,FALSE,"QA"}</definedName>
    <definedName name="WH" localSheetId="16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 localSheetId="22">#REF!</definedName>
    <definedName name="WIDTH" localSheetId="20">#REF!</definedName>
    <definedName name="WIDTH">#REF!</definedName>
    <definedName name="WinterPeak">'[35]Load Data'!$D$9:$H$12,'[35]Load Data'!$D$20:$H$22</definedName>
    <definedName name="witness">[18]Inputs!$F$23</definedName>
    <definedName name="WORK1" localSheetId="22">#REF!</definedName>
    <definedName name="WORK1" localSheetId="20">#REF!</definedName>
    <definedName name="WORK1">#REF!</definedName>
    <definedName name="WORK2" localSheetId="22">#REF!</definedName>
    <definedName name="WORK2" localSheetId="20">#REF!</definedName>
    <definedName name="WORK2">#REF!</definedName>
    <definedName name="WORK3" localSheetId="22">#REF!</definedName>
    <definedName name="WORK3" localSheetId="20">#REF!</definedName>
    <definedName name="WORK3">#REF!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6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1" hidden="1">{#N/A,#N/A,FALSE,"CRPT";#N/A,#N/A,FALSE,"TREND";#N/A,#N/A,FALSE,"%Curve"}</definedName>
    <definedName name="wrn.AAI." localSheetId="16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6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1" hidden="1">{"Page 3.4.1",#N/A,FALSE,"Totals";"Page 3.4.2",#N/A,FALSE,"Totals"}</definedName>
    <definedName name="wrn.Adj._.Back_Up." localSheetId="16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localSheetId="16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sheet";#N/A,#N/A,FALSE,"Adj backup";#N/A,#N/A,FALSE,"t Accounts"}</definedName>
    <definedName name="wrn.All._.Pages." localSheetId="16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localSheetId="16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localSheetId="16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1" hidden="1">{#N/A,#N/A,TRUE,"Cover";#N/A,#N/A,TRUE,"Contents"}</definedName>
    <definedName name="wrn.Cover." localSheetId="16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1" hidden="1">{#N/A,#N/A,FALSE,"Cover";#N/A,#N/A,FALSE,"Contents"}</definedName>
    <definedName name="wrn.CoverContents." localSheetId="16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6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1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1" hidden="1">{#N/A,#N/A,FALSE,"CESTSUM";#N/A,#N/A,FALSE,"est sum A";#N/A,#N/A,FALSE,"est detail A"}</definedName>
    <definedName name="wrn.ESTIMATE." localSheetId="16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1" hidden="1">{#N/A,#N/A,FALSE,"Output Ass";#N/A,#N/A,FALSE,"Sum Tot";#N/A,#N/A,FALSE,"Ex Sum Year";#N/A,#N/A,FALSE,"Sum Qtr"}</definedName>
    <definedName name="wrn.Exec._.Summary." localSheetId="16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1" hidden="1">{"FullView",#N/A,FALSE,"Consltd-For contngcy"}</definedName>
    <definedName name="wrn.Full._.View." localSheetId="16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11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1" hidden="1">{#N/A,#N/A,TRUE,"CoverPage";#N/A,#N/A,TRUE,"Gas";#N/A,#N/A,TRUE,"Power";#N/A,#N/A,TRUE,"Historical DJ Mthly Prices"}</definedName>
    <definedName name="wrn.Fundamental2" localSheetId="16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1" hidden="1">{#N/A,#N/A,FALSE,"SUMMARY";#N/A,#N/A,FALSE,"AE7616";#N/A,#N/A,FALSE,"AE7617";#N/A,#N/A,FALSE,"AE7618";#N/A,#N/A,FALSE,"AE7619"}</definedName>
    <definedName name="wrn.IEO." localSheetId="16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1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1" hidden="1">{#N/A,#N/A,TRUE,"Filing Back-Up Pages_4.8.4-7";#N/A,#N/A,TRUE,"GI Back-up Page_4.8.8"}</definedName>
    <definedName name="wrn.new." localSheetId="16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1" hidden="1">{#N/A,#N/A,TRUE,"Detail Lead Sheet_4.8.1-3";#N/A,#N/A,TRUE,"Filing Back-Up Pages_4.8.4-7";#N/A,#N/A,TRUE,"GI Back-up Page_4.8.8"}</definedName>
    <definedName name="wrn.om." localSheetId="16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1" hidden="1">{"Open issues Only",#N/A,FALSE,"TIMELINE"}</definedName>
    <definedName name="wrn.Open._.Issues._.Only." localSheetId="16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6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6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1" hidden="1">{#N/A,#N/A,FALSE,"Consltd-For contngcy";"PaymentView",#N/A,FALSE,"Consltd-For contngcy"}</definedName>
    <definedName name="wrn.Payment._.View." localSheetId="16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localSheetId="16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localSheetId="16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localSheetId="16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localSheetId="16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localSheetId="16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localSheetId="16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localSheetId="16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1" hidden="1">{"DATA_SET",#N/A,FALSE,"HOURLY SPREAD"}</definedName>
    <definedName name="wrn.PRINT._.SOURCE._.DATA." localSheetId="16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1" hidden="1">{#N/A,#N/A,FALSE,"BASE";#N/A,#N/A,FALSE,"LOOPS";#N/A,#N/A,FALSE,"PLC"}</definedName>
    <definedName name="wrn.Project._.Services." localSheetId="16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1" hidden="1">{"Electric Only",#N/A,FALSE,"Hyperion Proof"}</definedName>
    <definedName name="wrn.ProofElectricOnly." localSheetId="16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localSheetId="16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localSheetId="16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1" hidden="1">{#N/A,#N/A,FALSE,"7617 Fab";#N/A,#N/A,FALSE,"7617 NSK"}</definedName>
    <definedName name="wrn.SCHEDULE." localSheetId="16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1" hidden="1">{#N/A,#N/A,TRUE,"Section1";#N/A,#N/A,TRUE,"SumF";#N/A,#N/A,TRUE,"FigExchange";#N/A,#N/A,TRUE,"Escalation";#N/A,#N/A,TRUE,"GraphEscalate";#N/A,#N/A,TRUE,"Scenarios"}</definedName>
    <definedName name="wrn.Section1Summaries." localSheetId="16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1" hidden="1">{#N/A,#N/A,TRUE,"Section4";#N/A,#N/A,TRUE,"PPAtable";#N/A,#N/A,TRUE,"RFPtable";#N/A,#N/A,TRUE,"RevCap";#N/A,#N/A,TRUE,"RevOther";#N/A,#N/A,TRUE,"RevGas";#N/A,#N/A,TRUE,"GraphRev"}</definedName>
    <definedName name="wrn.Section4Revenue." localSheetId="16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1" hidden="1">{#N/A,#N/A,TRUE,"Section7";#N/A,#N/A,TRUE,"DebtService";#N/A,#N/A,TRUE,"LoanSchedules";#N/A,#N/A,TRUE,"GraphDebt"}</definedName>
    <definedName name="wrn.Section7DebtService." localSheetId="16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6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1" hidden="1">{"YTD-Total",#N/A,FALSE,"Provision"}</definedName>
    <definedName name="wrn.Standard." localSheetId="16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localSheetId="16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localSheetId="16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1" hidden="1">{#N/A,#N/A,FALSE,"Sum Qtr";#N/A,#N/A,FALSE,"Oper Sum";#N/A,#N/A,FALSE,"Land Sales";#N/A,#N/A,FALSE,"Finance";#N/A,#N/A,FALSE,"Oper Ass"}</definedName>
    <definedName name="wrn.Summary." localSheetId="16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1" hidden="1">{#N/A,#N/A,FALSE,"Consltd-For contngcy"}</definedName>
    <definedName name="wrn.Summary._.View." localSheetId="16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11" hidden="1">{"Total Summary",#N/A,FALSE,"Summary"}</definedName>
    <definedName name="wrn.Total._.Summary." localSheetId="16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1" hidden="1">{#N/A,#N/A,FALSE,"Dec 1999 UK Continuing Ops"}</definedName>
    <definedName name="wrn.UK._.Conversion._.Only." localSheetId="16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6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1" hidden="1">{#N/A,#N/A,FALSE,"schA"}</definedName>
    <definedName name="www" localSheetId="16" hidden="1">{#N/A,#N/A,FALSE,"schA"}</definedName>
    <definedName name="www" localSheetId="1" hidden="1">{#N/A,#N/A,FALSE,"schA"}</definedName>
    <definedName name="www" hidden="1">{#N/A,#N/A,FALSE,"schA"}</definedName>
    <definedName name="x">'[36]Weather Present'!$K$7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xx" localSheetId="16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6" hidden="1">#REF!</definedName>
    <definedName name="y" hidden="1">'[1]DSM Output'!$B$21:$B$23</definedName>
    <definedName name="Year" localSheetId="22">#REF!</definedName>
    <definedName name="Year" localSheetId="20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11" hidden="1">{#N/A,#N/A,FALSE,"Summ";#N/A,#N/A,FALSE,"General"}</definedName>
    <definedName name="yuf" localSheetId="16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6" hidden="1">#REF!</definedName>
    <definedName name="z" hidden="1">'[1]DSM Output'!$G$21:$G$23</definedName>
    <definedName name="Z_01844156_6462_4A28_9785_1A86F4D0C834_.wvu.PrintTitles" localSheetId="11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_42E97926_E608_454B_8BAC_0CDB06A413D8_.wvu.PrintTitles" localSheetId="15" hidden="1">'Normalized Summary'!$B$2:$S$7</definedName>
    <definedName name="ZA">'[37] annual balance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12837" l="1"/>
  <c r="T24" i="12837"/>
  <c r="O25" i="12837"/>
  <c r="V25" i="12837" s="1"/>
  <c r="H25" i="12837"/>
  <c r="G25" i="12837" s="1"/>
  <c r="J25" i="12837" s="1"/>
  <c r="F25" i="12837"/>
  <c r="T25" i="12837" s="1"/>
  <c r="F24" i="12837"/>
  <c r="E24" i="12837"/>
  <c r="D24" i="12837"/>
  <c r="F23" i="12837"/>
  <c r="E23" i="12837"/>
  <c r="D23" i="12837"/>
  <c r="F22" i="12837"/>
  <c r="T22" i="12837" s="1"/>
  <c r="E22" i="12837"/>
  <c r="D22" i="12837"/>
  <c r="F21" i="12837"/>
  <c r="T21" i="12837" s="1"/>
  <c r="E21" i="12837"/>
  <c r="D21" i="12837"/>
  <c r="F20" i="12837"/>
  <c r="T20" i="12837" s="1"/>
  <c r="E20" i="12837"/>
  <c r="D20" i="12837"/>
  <c r="U25" i="12837" l="1"/>
  <c r="X25" i="12837" s="1"/>
  <c r="M25" i="12837"/>
  <c r="N25" i="12837" s="1"/>
  <c r="Q25" i="12837" s="1"/>
  <c r="F14" i="12837" l="1"/>
  <c r="T14" i="12837" s="1"/>
  <c r="F15" i="12837" l="1"/>
  <c r="T15" i="12837" s="1"/>
  <c r="F16" i="12837"/>
  <c r="T16" i="12837" s="1"/>
  <c r="F17" i="12837"/>
  <c r="T17" i="12837" s="1"/>
  <c r="F18" i="12837"/>
  <c r="T18" i="12837" s="1"/>
  <c r="F19" i="12837"/>
  <c r="T19" i="12837" s="1"/>
  <c r="D15" i="12837"/>
  <c r="E15" i="12837"/>
  <c r="D16" i="12837"/>
  <c r="E16" i="12837"/>
  <c r="D17" i="12837"/>
  <c r="E17" i="12837"/>
  <c r="D18" i="12837"/>
  <c r="E18" i="12837"/>
  <c r="D19" i="12837"/>
  <c r="E19" i="12837"/>
  <c r="E14" i="12837"/>
  <c r="D14" i="12837"/>
  <c r="F27" i="12837" l="1"/>
  <c r="E11" i="12835"/>
  <c r="E10" i="12835"/>
  <c r="E9" i="12835"/>
  <c r="E8" i="12835"/>
  <c r="D31" i="12835"/>
  <c r="D30" i="12835"/>
  <c r="C11" i="12835"/>
  <c r="C10" i="12835"/>
  <c r="C9" i="12835"/>
  <c r="C8" i="12835"/>
  <c r="J7" i="12835"/>
  <c r="L7" i="12835" s="1"/>
  <c r="E14" i="12835"/>
  <c r="E15" i="12835"/>
  <c r="E16" i="12835"/>
  <c r="E17" i="12835"/>
  <c r="E18" i="12835"/>
  <c r="E19" i="12835"/>
  <c r="E13" i="12835"/>
  <c r="E12" i="12835"/>
  <c r="D13" i="12835"/>
  <c r="I13" i="12835" s="1"/>
  <c r="D14" i="12835"/>
  <c r="I14" i="12835" s="1"/>
  <c r="D15" i="12835"/>
  <c r="F15" i="12835" s="1"/>
  <c r="D16" i="12835"/>
  <c r="F16" i="12835" s="1"/>
  <c r="D17" i="12835"/>
  <c r="I17" i="12835" s="1"/>
  <c r="D18" i="12835"/>
  <c r="F18" i="12835" s="1"/>
  <c r="D19" i="12835"/>
  <c r="I19" i="12835" s="1"/>
  <c r="D12" i="12835"/>
  <c r="I12" i="12835" s="1"/>
  <c r="J12" i="12835" s="1"/>
  <c r="L12" i="12835" s="1"/>
  <c r="D7" i="12835"/>
  <c r="F7" i="12835" s="1"/>
  <c r="G16" i="12835" l="1"/>
  <c r="H16" i="12835" s="1"/>
  <c r="I16" i="12835"/>
  <c r="K16" i="12835" s="1"/>
  <c r="G15" i="12835"/>
  <c r="H15" i="12835" s="1"/>
  <c r="I7" i="12835"/>
  <c r="K7" i="12835" s="1"/>
  <c r="M7" i="12835" s="1"/>
  <c r="N7" i="12835" s="1"/>
  <c r="F17" i="12835"/>
  <c r="G17" i="12835" s="1"/>
  <c r="H17" i="12835" s="1"/>
  <c r="I15" i="12835"/>
  <c r="K15" i="12835" s="1"/>
  <c r="F12" i="12835"/>
  <c r="G12" i="12835" s="1"/>
  <c r="H12" i="12835" s="1"/>
  <c r="F13" i="12835"/>
  <c r="G13" i="12835" s="1"/>
  <c r="H13" i="12835" s="1"/>
  <c r="J13" i="12835"/>
  <c r="L13" i="12835" s="1"/>
  <c r="K13" i="12835"/>
  <c r="J14" i="12835"/>
  <c r="L14" i="12835" s="1"/>
  <c r="K14" i="12835"/>
  <c r="J19" i="12835"/>
  <c r="L19" i="12835" s="1"/>
  <c r="K19" i="12835"/>
  <c r="K17" i="12835"/>
  <c r="J17" i="12835"/>
  <c r="L17" i="12835" s="1"/>
  <c r="G18" i="12835"/>
  <c r="H18" i="12835" s="1"/>
  <c r="I18" i="12835"/>
  <c r="F19" i="12835"/>
  <c r="G19" i="12835" s="1"/>
  <c r="H19" i="12835" s="1"/>
  <c r="F14" i="12835"/>
  <c r="G14" i="12835" s="1"/>
  <c r="H14" i="12835" s="1"/>
  <c r="O12" i="12835"/>
  <c r="P12" i="12835" s="1"/>
  <c r="K12" i="12835"/>
  <c r="M12" i="12835" s="1"/>
  <c r="N12" i="12835" s="1"/>
  <c r="J16" i="12835" l="1"/>
  <c r="L16" i="12835" s="1"/>
  <c r="M16" i="12835" s="1"/>
  <c r="N16" i="12835" s="1"/>
  <c r="J15" i="12835"/>
  <c r="L15" i="12835" s="1"/>
  <c r="M15" i="12835" s="1"/>
  <c r="N15" i="12835" s="1"/>
  <c r="K18" i="12835"/>
  <c r="J18" i="12835"/>
  <c r="L18" i="12835" s="1"/>
  <c r="M19" i="12835"/>
  <c r="N19" i="12835" s="1"/>
  <c r="O19" i="12835"/>
  <c r="P19" i="12835" s="1"/>
  <c r="M14" i="12835"/>
  <c r="N14" i="12835" s="1"/>
  <c r="O14" i="12835"/>
  <c r="P14" i="12835" s="1"/>
  <c r="M13" i="12835"/>
  <c r="N13" i="12835" s="1"/>
  <c r="O13" i="12835"/>
  <c r="P13" i="12835" s="1"/>
  <c r="M17" i="12835"/>
  <c r="N17" i="12835" s="1"/>
  <c r="O17" i="12835"/>
  <c r="P17" i="12835" s="1"/>
  <c r="O16" i="12835" l="1"/>
  <c r="P16" i="12835" s="1"/>
  <c r="O15" i="12835"/>
  <c r="P15" i="12835" s="1"/>
  <c r="M18" i="12835"/>
  <c r="N18" i="12835" s="1"/>
  <c r="O18" i="12835"/>
  <c r="P18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8" i="12826"/>
  <c r="P59" i="12826"/>
  <c r="P60" i="12826"/>
  <c r="P61" i="12826"/>
  <c r="P62" i="12826"/>
  <c r="P57" i="12826"/>
  <c r="P35" i="12826"/>
  <c r="P36" i="12826"/>
  <c r="P37" i="12826"/>
  <c r="P38" i="12826"/>
  <c r="P39" i="12826"/>
  <c r="P34" i="12826"/>
  <c r="U179" i="12825"/>
  <c r="U178" i="12825"/>
  <c r="U177" i="12825"/>
  <c r="U176" i="12825"/>
  <c r="U175" i="12825"/>
  <c r="U159" i="12825"/>
  <c r="U160" i="12825"/>
  <c r="U161" i="12825"/>
  <c r="U162" i="12825"/>
  <c r="U163" i="12825"/>
  <c r="U164" i="12825"/>
  <c r="U165" i="12825"/>
  <c r="U166" i="12825"/>
  <c r="U167" i="12825"/>
  <c r="U168" i="12825"/>
  <c r="U169" i="12825"/>
  <c r="U170" i="12825"/>
  <c r="U171" i="12825"/>
  <c r="U172" i="12825"/>
  <c r="U173" i="12825"/>
  <c r="U158" i="12825"/>
  <c r="U113" i="12825"/>
  <c r="U112" i="12825"/>
  <c r="U111" i="12825"/>
  <c r="U110" i="12825"/>
  <c r="U109" i="12825"/>
  <c r="U93" i="12825"/>
  <c r="U94" i="12825"/>
  <c r="U95" i="12825"/>
  <c r="U96" i="12825"/>
  <c r="U97" i="12825"/>
  <c r="U98" i="12825"/>
  <c r="U99" i="12825"/>
  <c r="U100" i="12825"/>
  <c r="U101" i="12825"/>
  <c r="U102" i="12825"/>
  <c r="U103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0" i="12826"/>
  <c r="P31" i="12826"/>
  <c r="P32" i="12826"/>
  <c r="P33" i="12826"/>
  <c r="P29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R24" i="12834"/>
  <c r="G7" i="12835" l="1"/>
  <c r="H7" i="12835" s="1"/>
  <c r="O7" i="12835"/>
  <c r="P7" i="12835" s="1"/>
  <c r="E55" i="12834" a="1"/>
  <c r="E55" i="12834" s="1"/>
  <c r="E45" i="12834" a="1"/>
  <c r="E45" i="12834" s="1"/>
  <c r="D55" i="12834"/>
  <c r="D45" i="12834"/>
  <c r="O41" i="12834" l="1"/>
  <c r="O51" i="12834"/>
  <c r="O61" i="12834"/>
  <c r="O67" i="12834"/>
  <c r="O72" i="12834"/>
  <c r="K70" i="12834"/>
  <c r="K65" i="12834"/>
  <c r="K59" i="12834"/>
  <c r="K49" i="12834"/>
  <c r="K39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E70" i="12834"/>
  <c r="D63" i="12834" a="1"/>
  <c r="D63" i="12834" s="1"/>
  <c r="E63" i="12834"/>
  <c r="D64" i="12834" a="1"/>
  <c r="D64" i="12834" s="1"/>
  <c r="E64" i="12834"/>
  <c r="D65" i="12834" a="1"/>
  <c r="D65" i="12834" s="1"/>
  <c r="E65" i="12834"/>
  <c r="D57" i="12834" a="1"/>
  <c r="D57" i="12834" s="1"/>
  <c r="E57" i="12834"/>
  <c r="D58" i="12834" a="1"/>
  <c r="D58" i="12834" s="1"/>
  <c r="E58" i="12834"/>
  <c r="D59" i="12834" a="1"/>
  <c r="D59" i="12834" s="1"/>
  <c r="E59" i="12834"/>
  <c r="D47" i="12834" a="1"/>
  <c r="D47" i="12834" s="1"/>
  <c r="E47" i="12834"/>
  <c r="D48" i="12834" a="1"/>
  <c r="D48" i="12834" s="1"/>
  <c r="E48" i="12834"/>
  <c r="D49" i="12834" a="1"/>
  <c r="D49" i="12834" s="1"/>
  <c r="E49" i="12834"/>
  <c r="D37" i="12834" a="1"/>
  <c r="D37" i="12834" s="1"/>
  <c r="E37" i="12834"/>
  <c r="D38" i="12834" a="1"/>
  <c r="D38" i="12834" s="1"/>
  <c r="E38" i="12834"/>
  <c r="D39" i="12834" a="1"/>
  <c r="D39" i="12834" s="1"/>
  <c r="E39" i="12834"/>
  <c r="F3" i="12834"/>
  <c r="F28" i="12834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F13" i="12821" l="1"/>
  <c r="F11" i="12821"/>
  <c r="F21" i="12821"/>
  <c r="F12" i="12821"/>
  <c r="F19" i="12821"/>
  <c r="F10" i="12821"/>
  <c r="F17" i="12821"/>
  <c r="F9" i="12821"/>
  <c r="F20" i="12821"/>
  <c r="F8" i="12821"/>
  <c r="F15" i="12821"/>
  <c r="F18" i="12821"/>
  <c r="F16" i="12821"/>
  <c r="F22" i="12821"/>
  <c r="F14" i="12821"/>
  <c r="F29" i="12821"/>
  <c r="F38" i="12821"/>
  <c r="F39" i="12821"/>
  <c r="F37" i="12821"/>
  <c r="F32" i="12821"/>
  <c r="F33" i="12821"/>
  <c r="F40" i="12821"/>
  <c r="F26" i="12821"/>
  <c r="F34" i="12821"/>
  <c r="F30" i="12821"/>
  <c r="F27" i="12821"/>
  <c r="F35" i="12821"/>
  <c r="F31" i="12821"/>
  <c r="F28" i="12821"/>
  <c r="F36" i="12821"/>
  <c r="F56" i="12821"/>
  <c r="F52" i="12821"/>
  <c r="F57" i="12821"/>
  <c r="F50" i="12821"/>
  <c r="F44" i="12821"/>
  <c r="F45" i="12821"/>
  <c r="F53" i="12821"/>
  <c r="F49" i="12821"/>
  <c r="F58" i="12821"/>
  <c r="F46" i="12821"/>
  <c r="F54" i="12821"/>
  <c r="F48" i="12821"/>
  <c r="F51" i="12821"/>
  <c r="F47" i="12821"/>
  <c r="F55" i="12821"/>
  <c r="F76" i="12821"/>
  <c r="F70" i="12821"/>
  <c r="F67" i="12821"/>
  <c r="F63" i="12821"/>
  <c r="F71" i="12821"/>
  <c r="F69" i="12821"/>
  <c r="F64" i="12821"/>
  <c r="F75" i="12821"/>
  <c r="F68" i="12821"/>
  <c r="F65" i="12821"/>
  <c r="F73" i="12821"/>
  <c r="F62" i="12821"/>
  <c r="F72" i="12821"/>
  <c r="F66" i="12821"/>
  <c r="F74" i="12821"/>
  <c r="F87" i="12821"/>
  <c r="F88" i="12821"/>
  <c r="F81" i="12821"/>
  <c r="F89" i="12821"/>
  <c r="F80" i="12821"/>
  <c r="F90" i="12821"/>
  <c r="F83" i="12821"/>
  <c r="F91" i="12821"/>
  <c r="F94" i="12821"/>
  <c r="F84" i="12821"/>
  <c r="F92" i="12821"/>
  <c r="F86" i="12821"/>
  <c r="F82" i="12821"/>
  <c r="F85" i="12821"/>
  <c r="F93" i="12821"/>
  <c r="F105" i="12821"/>
  <c r="F98" i="12821"/>
  <c r="F106" i="12821"/>
  <c r="F99" i="12821"/>
  <c r="F107" i="12821"/>
  <c r="F100" i="12821"/>
  <c r="F108" i="12821"/>
  <c r="F101" i="12821"/>
  <c r="F109" i="12821"/>
  <c r="F102" i="12821"/>
  <c r="F110" i="12821"/>
  <c r="F103" i="12821"/>
  <c r="F111" i="12821"/>
  <c r="F104" i="12821"/>
  <c r="F112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Q36" i="12820" l="1"/>
  <c r="Q35" i="12820"/>
  <c r="T39" i="12820"/>
  <c r="Q39" i="12820" l="1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AA10" i="12833" l="1"/>
  <c r="AA82" i="12833" s="1"/>
  <c r="AA107" i="12833" s="1"/>
  <c r="V10" i="12833"/>
  <c r="V46" i="12833" s="1"/>
  <c r="V102" i="12833" s="1"/>
  <c r="W10" i="12833"/>
  <c r="W58" i="12833" s="1"/>
  <c r="W103" i="12833" s="1"/>
  <c r="X10" i="12833"/>
  <c r="X64" i="12833" s="1"/>
  <c r="X104" i="12833" s="1"/>
  <c r="Y10" i="12833"/>
  <c r="Y70" i="12833" s="1"/>
  <c r="Y105" i="12833" s="1"/>
  <c r="Z10" i="12833"/>
  <c r="Z76" i="12833" s="1"/>
  <c r="Z106" i="12833" s="1"/>
  <c r="U10" i="12833"/>
  <c r="U94" i="12833" s="1"/>
  <c r="U109" i="12833" l="1"/>
  <c r="U28" i="12833"/>
  <c r="V40" i="12833"/>
  <c r="V101" i="12833" s="1"/>
  <c r="W46" i="12833"/>
  <c r="W102" i="12833" s="1"/>
  <c r="X58" i="12833"/>
  <c r="X103" i="12833" s="1"/>
  <c r="Y64" i="12833"/>
  <c r="Y104" i="12833" s="1"/>
  <c r="Z70" i="12833"/>
  <c r="Z105" i="12833" s="1"/>
  <c r="AA76" i="12833"/>
  <c r="AA106" i="12833" s="1"/>
  <c r="U88" i="12833"/>
  <c r="U108" i="12833" s="1"/>
  <c r="V94" i="12833"/>
  <c r="V109" i="12833" s="1"/>
  <c r="U22" i="12833"/>
  <c r="U99" i="12833" s="1"/>
  <c r="V28" i="12833"/>
  <c r="V100" i="12833" s="1"/>
  <c r="W40" i="12833"/>
  <c r="W101" i="12833" s="1"/>
  <c r="X46" i="12833"/>
  <c r="X102" i="12833" s="1"/>
  <c r="Y58" i="12833"/>
  <c r="Y103" i="12833" s="1"/>
  <c r="Z64" i="12833"/>
  <c r="Z104" i="12833" s="1"/>
  <c r="AA70" i="12833"/>
  <c r="AA105" i="12833" s="1"/>
  <c r="U82" i="12833"/>
  <c r="V88" i="12833"/>
  <c r="V108" i="12833" s="1"/>
  <c r="W94" i="12833"/>
  <c r="W109" i="12833" s="1"/>
  <c r="AA22" i="12833"/>
  <c r="AA99" i="12833" s="1"/>
  <c r="W28" i="12833"/>
  <c r="W100" i="12833" s="1"/>
  <c r="X40" i="12833"/>
  <c r="X101" i="12833" s="1"/>
  <c r="Y46" i="12833"/>
  <c r="Y102" i="12833" s="1"/>
  <c r="Z58" i="12833"/>
  <c r="Z103" i="12833" s="1"/>
  <c r="AA64" i="12833"/>
  <c r="AA104" i="12833" s="1"/>
  <c r="U76" i="12833"/>
  <c r="V82" i="12833"/>
  <c r="V107" i="12833" s="1"/>
  <c r="W88" i="12833"/>
  <c r="X94" i="12833"/>
  <c r="X109" i="12833" s="1"/>
  <c r="Z22" i="12833"/>
  <c r="Z99" i="12833" s="1"/>
  <c r="X28" i="12833"/>
  <c r="X100" i="12833" s="1"/>
  <c r="Y40" i="12833"/>
  <c r="Y101" i="12833" s="1"/>
  <c r="Z46" i="12833"/>
  <c r="Z102" i="12833" s="1"/>
  <c r="AA58" i="12833"/>
  <c r="AA103" i="12833" s="1"/>
  <c r="U70" i="12833"/>
  <c r="V76" i="12833"/>
  <c r="V106" i="12833" s="1"/>
  <c r="W82" i="12833"/>
  <c r="W107" i="12833" s="1"/>
  <c r="X88" i="12833"/>
  <c r="X108" i="12833" s="1"/>
  <c r="Y94" i="12833"/>
  <c r="Y109" i="12833" s="1"/>
  <c r="Y22" i="12833"/>
  <c r="Y99" i="12833" s="1"/>
  <c r="Z40" i="12833"/>
  <c r="Z101" i="12833" s="1"/>
  <c r="AA46" i="12833"/>
  <c r="AA102" i="12833" s="1"/>
  <c r="U64" i="12833"/>
  <c r="V70" i="12833"/>
  <c r="V105" i="12833" s="1"/>
  <c r="W76" i="12833"/>
  <c r="W106" i="12833" s="1"/>
  <c r="X82" i="12833"/>
  <c r="X107" i="12833" s="1"/>
  <c r="Y88" i="12833"/>
  <c r="Y108" i="12833" s="1"/>
  <c r="Z94" i="12833"/>
  <c r="Z109" i="12833" s="1"/>
  <c r="X22" i="12833"/>
  <c r="X99" i="12833" s="1"/>
  <c r="Z28" i="12833"/>
  <c r="Z100" i="12833" s="1"/>
  <c r="AA40" i="12833"/>
  <c r="AA101" i="12833" s="1"/>
  <c r="U58" i="12833"/>
  <c r="V64" i="12833"/>
  <c r="V104" i="12833" s="1"/>
  <c r="W70" i="12833"/>
  <c r="W105" i="12833" s="1"/>
  <c r="X76" i="12833"/>
  <c r="X106" i="12833" s="1"/>
  <c r="Y82" i="12833"/>
  <c r="Y107" i="12833" s="1"/>
  <c r="Z88" i="12833"/>
  <c r="Z108" i="12833" s="1"/>
  <c r="AA94" i="12833"/>
  <c r="AA109" i="12833" s="1"/>
  <c r="W22" i="12833"/>
  <c r="W99" i="12833" s="1"/>
  <c r="AA28" i="12833"/>
  <c r="AA100" i="12833" s="1"/>
  <c r="U46" i="12833"/>
  <c r="V58" i="12833"/>
  <c r="V103" i="12833" s="1"/>
  <c r="W64" i="12833"/>
  <c r="W104" i="12833" s="1"/>
  <c r="X70" i="12833"/>
  <c r="X105" i="12833" s="1"/>
  <c r="Y76" i="12833"/>
  <c r="Y106" i="12833" s="1"/>
  <c r="Z82" i="12833"/>
  <c r="Z107" i="12833" s="1"/>
  <c r="AA88" i="12833"/>
  <c r="AA108" i="12833" s="1"/>
  <c r="Y28" i="12833"/>
  <c r="Y100" i="12833" s="1"/>
  <c r="V22" i="12833"/>
  <c r="V99" i="12833" s="1"/>
  <c r="U40" i="12833"/>
  <c r="U103" i="12833" l="1"/>
  <c r="W108" i="12833"/>
  <c r="U104" i="12833"/>
  <c r="U105" i="12833"/>
  <c r="U106" i="12833"/>
  <c r="U107" i="12833"/>
  <c r="U100" i="12833"/>
  <c r="U101" i="12833"/>
  <c r="U102" i="12833"/>
  <c r="S50" i="12820"/>
  <c r="S51" i="12820"/>
  <c r="S57" i="12820"/>
  <c r="R109" i="12833"/>
  <c r="Q109" i="12833"/>
  <c r="P109" i="12833"/>
  <c r="O109" i="12833"/>
  <c r="N109" i="12833"/>
  <c r="M109" i="12833"/>
  <c r="L109" i="12833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Q108" i="12833"/>
  <c r="P108" i="12833"/>
  <c r="O108" i="12833"/>
  <c r="N108" i="12833"/>
  <c r="M108" i="12833"/>
  <c r="L108" i="12833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Q107" i="12833"/>
  <c r="P107" i="12833"/>
  <c r="O107" i="12833"/>
  <c r="N107" i="12833"/>
  <c r="M107" i="12833"/>
  <c r="L107" i="12833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Q106" i="12833"/>
  <c r="P106" i="12833"/>
  <c r="O106" i="12833"/>
  <c r="N106" i="12833"/>
  <c r="M106" i="12833"/>
  <c r="L106" i="12833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Q105" i="12833"/>
  <c r="P105" i="12833"/>
  <c r="O105" i="12833"/>
  <c r="N105" i="12833"/>
  <c r="M105" i="12833"/>
  <c r="L105" i="12833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Q104" i="12833"/>
  <c r="P104" i="12833"/>
  <c r="O104" i="12833"/>
  <c r="N104" i="12833"/>
  <c r="M104" i="12833"/>
  <c r="L104" i="12833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Q103" i="12833"/>
  <c r="P103" i="12833"/>
  <c r="O103" i="12833"/>
  <c r="N103" i="12833"/>
  <c r="M103" i="12833"/>
  <c r="L103" i="12833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Q102" i="12833"/>
  <c r="P102" i="12833"/>
  <c r="O102" i="12833"/>
  <c r="N102" i="12833"/>
  <c r="M102" i="12833"/>
  <c r="L102" i="12833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Q101" i="12833"/>
  <c r="P101" i="12833"/>
  <c r="O101" i="12833"/>
  <c r="N101" i="12833"/>
  <c r="M101" i="12833"/>
  <c r="L101" i="12833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Q100" i="12833"/>
  <c r="P100" i="12833"/>
  <c r="O100" i="12833"/>
  <c r="N100" i="12833"/>
  <c r="M100" i="12833"/>
  <c r="L100" i="12833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Q99" i="12833"/>
  <c r="P99" i="12833"/>
  <c r="O99" i="12833"/>
  <c r="N99" i="12833"/>
  <c r="M99" i="12833"/>
  <c r="L99" i="12833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A14" i="12834" s="1"/>
  <c r="D128" i="12833"/>
  <c r="AA8" i="12834" s="1"/>
  <c r="E128" i="12833"/>
  <c r="AA9" i="12834" s="1"/>
  <c r="F128" i="12833"/>
  <c r="AA10" i="12834" s="1"/>
  <c r="H128" i="12833"/>
  <c r="AA12" i="12834" s="1"/>
  <c r="G128" i="12833"/>
  <c r="I128" i="12833"/>
  <c r="AA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Q24" i="12834" s="1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S53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K63" i="12834" s="1"/>
  <c r="I76" i="12817"/>
  <c r="F12" i="12831" s="1"/>
  <c r="F22" i="12831" s="1"/>
  <c r="K64" i="12834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G64" i="12834"/>
  <c r="G63" i="12834"/>
  <c r="R76" i="12818"/>
  <c r="F64" i="12834"/>
  <c r="N64" i="12834" s="1"/>
  <c r="O64" i="12834" s="1"/>
  <c r="R75" i="12818"/>
  <c r="F63" i="12834"/>
  <c r="N63" i="12834" s="1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K48" i="12834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K47" i="12834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K58" i="12834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K57" i="12834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K38" i="12834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K37" i="12834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G37" i="12834"/>
  <c r="G38" i="12834"/>
  <c r="F37" i="12834"/>
  <c r="N37" i="12834" s="1"/>
  <c r="O37" i="12834" s="1"/>
  <c r="J63" i="12834"/>
  <c r="L63" i="12834" s="1"/>
  <c r="M63" i="12834" s="1"/>
  <c r="G58" i="12834"/>
  <c r="G57" i="12834"/>
  <c r="R60" i="12818"/>
  <c r="F58" i="12834"/>
  <c r="N58" i="12834" s="1"/>
  <c r="O58" i="12834" s="1"/>
  <c r="R59" i="12818"/>
  <c r="F57" i="12834"/>
  <c r="N57" i="12834" s="1"/>
  <c r="O57" i="12834" s="1"/>
  <c r="G48" i="12834"/>
  <c r="G47" i="12834"/>
  <c r="K21" i="12834"/>
  <c r="R41" i="12818"/>
  <c r="F48" i="12834"/>
  <c r="N48" i="12834" s="1"/>
  <c r="O48" i="12834" s="1"/>
  <c r="R40" i="12818"/>
  <c r="F47" i="12834"/>
  <c r="N47" i="12834" s="1"/>
  <c r="O47" i="12834" s="1"/>
  <c r="F38" i="12834"/>
  <c r="N38" i="12834" s="1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S61" i="12822" l="1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E69" i="12834"/>
  <c r="E17" i="12834" s="1"/>
  <c r="D68" i="12834" a="1"/>
  <c r="D68" i="12834" s="1"/>
  <c r="E68" i="12834"/>
  <c r="E62" i="12834"/>
  <c r="D52" i="12834" a="1"/>
  <c r="D52" i="12834" s="1"/>
  <c r="D60" i="12834" s="1"/>
  <c r="E44" i="12834"/>
  <c r="E42" i="12834"/>
  <c r="E43" i="12834"/>
  <c r="E46" i="12834"/>
  <c r="E18" i="12834" s="1"/>
  <c r="G39" i="12834"/>
  <c r="G70" i="12834"/>
  <c r="F70" i="12834"/>
  <c r="N70" i="12834" s="1"/>
  <c r="O70" i="12834" s="1"/>
  <c r="G65" i="12834"/>
  <c r="F65" i="12834"/>
  <c r="N65" i="12834" s="1"/>
  <c r="O65" i="12834" s="1"/>
  <c r="G59" i="12834"/>
  <c r="F59" i="12834"/>
  <c r="N59" i="12834" s="1"/>
  <c r="O59" i="12834" s="1"/>
  <c r="F39" i="12834"/>
  <c r="N39" i="12834" s="1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E35" i="12834" s="1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E36" i="12834" s="1"/>
  <c r="I238" i="12817"/>
  <c r="E53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E52" i="12834" s="1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E33" i="12834" s="1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E34" i="12834" s="1"/>
  <c r="I245" i="12817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E50" i="12834" l="1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54" i="12834"/>
  <c r="E10" i="12834" s="1"/>
  <c r="E56" i="12834"/>
  <c r="E12" i="12834" s="1"/>
  <c r="E8" i="12834"/>
  <c r="D12" i="12830"/>
  <c r="D14" i="12830"/>
  <c r="D10" i="12830"/>
  <c r="D20" i="12830"/>
  <c r="E20" i="12830" s="1"/>
  <c r="G77" i="12827" s="1"/>
  <c r="F69" i="12834" s="1"/>
  <c r="F17" i="12834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S88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E60" i="12834" l="1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77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M263" i="12817"/>
  <c r="U263" i="12817"/>
  <c r="T156" i="12825"/>
  <c r="X173" i="12825" s="1"/>
  <c r="T173" i="12825" s="1"/>
  <c r="L263" i="12817"/>
  <c r="I267" i="12817"/>
  <c r="T129" i="12823"/>
  <c r="S129" i="12823"/>
  <c r="F62" i="12834" s="1"/>
  <c r="V100" i="12823"/>
  <c r="U100" i="12823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F13" i="12834" l="1"/>
  <c r="W13" i="12834" s="1"/>
  <c r="F66" i="12834"/>
  <c r="X179" i="12825"/>
  <c r="T179" i="12825" s="1"/>
  <c r="W173" i="12825"/>
  <c r="U212" i="12825" s="1"/>
  <c r="H177" i="12827"/>
  <c r="H126" i="12827"/>
  <c r="F68" i="12834"/>
  <c r="F71" i="12834" s="1"/>
  <c r="G126" i="12827"/>
  <c r="R84" i="12818"/>
  <c r="Q84" i="12818" s="1"/>
  <c r="E14" i="12830"/>
  <c r="T81" i="12825" s="1"/>
  <c r="R54" i="12818"/>
  <c r="Q54" i="12818" s="1"/>
  <c r="E10" i="12830"/>
  <c r="S89" i="12822" s="1"/>
  <c r="S152" i="12822" s="1"/>
  <c r="T215" i="12822" s="1"/>
  <c r="S180" i="12821"/>
  <c r="S257" i="12821" s="1"/>
  <c r="E18" i="12830"/>
  <c r="G62" i="12827" s="1"/>
  <c r="G164" i="12827" s="1"/>
  <c r="E15" i="12830"/>
  <c r="O23" i="12826" s="1"/>
  <c r="T180" i="12821"/>
  <c r="E12" i="12830"/>
  <c r="F23" i="12824" s="1"/>
  <c r="I262" i="12817"/>
  <c r="E73" i="12834"/>
  <c r="E25" i="12834"/>
  <c r="X165" i="12825"/>
  <c r="T165" i="12825" s="1"/>
  <c r="S100" i="12823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D42" i="12834" s="1" a="1"/>
  <c r="D42" i="12834" s="1"/>
  <c r="D50" i="12834" s="1"/>
  <c r="F55" i="12834" l="1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56" i="12834"/>
  <c r="F12" i="12834" s="1"/>
  <c r="W12" i="12834" s="1"/>
  <c r="F37" i="12824"/>
  <c r="K117" i="12833"/>
  <c r="K112" i="12833"/>
  <c r="G51" i="12824"/>
  <c r="G113" i="12827"/>
  <c r="T152" i="12822"/>
  <c r="F52" i="12834"/>
  <c r="R33" i="12826"/>
  <c r="F54" i="12834"/>
  <c r="R55" i="12818"/>
  <c r="Q55" i="12818" s="1"/>
  <c r="S215" i="12822"/>
  <c r="G49" i="12834"/>
  <c r="K23" i="12834"/>
  <c r="F49" i="12834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46" i="12834" s="1"/>
  <c r="F18" i="12834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U204" i="12825" l="1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45" i="12834"/>
  <c r="F11" i="12834" s="1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A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W11" i="12834" l="1"/>
  <c r="AA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C18" i="12763"/>
  <c r="F18" i="12763" s="1"/>
  <c r="M23" i="12834" l="1"/>
  <c r="C49" i="12763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O81" i="12761" l="1"/>
  <c r="O54" i="12761"/>
  <c r="O97" i="12761"/>
  <c r="O69" i="12761"/>
  <c r="O33" i="12761"/>
  <c r="R86" i="12761"/>
  <c r="R97" i="12761" s="1"/>
  <c r="O99" i="12761" l="1"/>
  <c r="C54" i="12763"/>
  <c r="E4" i="12830"/>
  <c r="Q33" i="12820" s="1"/>
  <c r="E5" i="12830"/>
  <c r="S74" i="12821" s="1"/>
  <c r="U114" i="12821" s="1"/>
  <c r="E8" i="12830"/>
  <c r="S63" i="12822" s="1"/>
  <c r="E16" i="12830"/>
  <c r="G54" i="12827" s="1"/>
  <c r="C130" i="12833" l="1"/>
  <c r="F36" i="12834"/>
  <c r="F10" i="12834" s="1"/>
  <c r="W10" i="12834" s="1"/>
  <c r="F33" i="12834"/>
  <c r="F35" i="12834"/>
  <c r="F9" i="12834" s="1"/>
  <c r="W9" i="12834" s="1"/>
  <c r="F34" i="12834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W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W14" i="12834" s="1"/>
  <c r="F25" i="12834" l="1"/>
  <c r="F73" i="12834"/>
  <c r="T113" i="12825"/>
  <c r="W121" i="12825"/>
  <c r="W129" i="12825"/>
  <c r="W138" i="12825"/>
  <c r="W146" i="12825"/>
  <c r="W15" i="12834" l="1"/>
  <c r="W89" i="12818"/>
  <c r="E20" i="12835" l="1"/>
  <c r="T27" i="12837" l="1"/>
  <c r="H40" i="12826" l="1"/>
  <c r="H37" i="12826"/>
  <c r="H38" i="12826"/>
  <c r="H35" i="12826"/>
  <c r="H34" i="12826"/>
  <c r="H45" i="12826"/>
  <c r="H41" i="12826"/>
  <c r="H42" i="12826"/>
  <c r="H43" i="12826"/>
  <c r="H36" i="12826"/>
  <c r="H39" i="12826"/>
  <c r="H44" i="12826"/>
  <c r="I27" i="12822"/>
  <c r="I17" i="12822"/>
  <c r="I28" i="12822"/>
  <c r="I20" i="12822"/>
  <c r="I21" i="12822"/>
  <c r="I23" i="12822"/>
  <c r="I25" i="12822"/>
  <c r="I19" i="12822"/>
  <c r="S143" i="12822"/>
  <c r="S131" i="12822"/>
  <c r="I26" i="12822"/>
  <c r="I24" i="12822"/>
  <c r="I22" i="12822"/>
  <c r="I18" i="12822"/>
  <c r="I16" i="12822"/>
  <c r="S130" i="12822"/>
  <c r="I12" i="12822"/>
  <c r="I11" i="12822"/>
  <c r="I13" i="12822"/>
  <c r="S142" i="12822"/>
  <c r="I14" i="12822"/>
  <c r="I15" i="12822"/>
  <c r="W134" i="12825"/>
  <c r="W141" i="12825"/>
  <c r="W142" i="12825"/>
  <c r="W125" i="12825"/>
  <c r="W124" i="12825"/>
  <c r="W133" i="12825"/>
  <c r="W117" i="12825"/>
  <c r="W116" i="12825"/>
  <c r="W200" i="12825"/>
  <c r="W182" i="12825"/>
  <c r="W190" i="12825"/>
  <c r="W207" i="12825"/>
  <c r="W183" i="12825"/>
  <c r="W191" i="12825"/>
  <c r="W208" i="12825"/>
  <c r="W199" i="12825"/>
  <c r="M121" i="12833"/>
  <c r="P121" i="12833"/>
  <c r="L121" i="12833"/>
  <c r="O121" i="12833"/>
  <c r="N121" i="12833"/>
  <c r="Q121" i="12833"/>
  <c r="R121" i="12833"/>
  <c r="W206" i="12825"/>
  <c r="W189" i="12825"/>
  <c r="W188" i="12825"/>
  <c r="W197" i="12825"/>
  <c r="W205" i="12825"/>
  <c r="W198" i="12825"/>
  <c r="W181" i="12825"/>
  <c r="Y192" i="12821"/>
  <c r="X192" i="12821"/>
  <c r="Y192" i="12821" a="1"/>
  <c r="Y194" i="12821"/>
  <c r="Y194" i="12821" a="1"/>
  <c r="Y195" i="12821"/>
  <c r="Y195" i="12821" a="1"/>
  <c r="X193" i="12821"/>
  <c r="Y193" i="12821"/>
  <c r="Y193" i="12821" a="1"/>
  <c r="V183" i="12821"/>
  <c r="V183" i="12821" a="1"/>
  <c r="U114" i="12833"/>
  <c r="V114" i="12833"/>
  <c r="Y114" i="12833"/>
  <c r="Z114" i="12833"/>
  <c r="AA114" i="12833"/>
  <c r="X114" i="12833"/>
  <c r="W114" i="12833"/>
  <c r="R113" i="12833"/>
  <c r="N113" i="12833"/>
  <c r="P113" i="12833"/>
  <c r="Q113" i="12833"/>
  <c r="L113" i="12833"/>
  <c r="O113" i="12833"/>
  <c r="M113" i="12833"/>
  <c r="Z153" i="12825"/>
  <c r="Z153" i="12825" a="1"/>
  <c r="Z168" i="12825"/>
  <c r="W153" i="12825"/>
  <c r="W153" i="12825" a="1"/>
  <c r="Y160" i="12825"/>
  <c r="Z169" i="12825"/>
  <c r="Z161" i="12825"/>
  <c r="Z160" i="12825"/>
  <c r="J64" i="12823"/>
  <c r="J62" i="12823"/>
  <c r="J63" i="12823"/>
  <c r="J66" i="12823"/>
  <c r="J67" i="12823"/>
  <c r="J65" i="12823"/>
  <c r="L117" i="12833"/>
  <c r="M117" i="12833"/>
  <c r="Q117" i="12833"/>
  <c r="N117" i="12833"/>
  <c r="R117" i="12833"/>
  <c r="P117" i="12833"/>
  <c r="O114" i="12833"/>
  <c r="Q114" i="12833"/>
  <c r="P114" i="12833"/>
  <c r="R114" i="12833"/>
  <c r="L114" i="12833"/>
  <c r="N114" i="12833"/>
  <c r="M114" i="12833"/>
  <c r="O120" i="12833"/>
  <c r="R120" i="12833"/>
  <c r="N120" i="12833"/>
  <c r="L120" i="12833"/>
  <c r="M120" i="12833"/>
  <c r="P120" i="12833"/>
  <c r="Q120" i="12833"/>
  <c r="S220" i="12821"/>
  <c r="S236" i="12821"/>
  <c r="S252" i="12821"/>
  <c r="V186" i="12821"/>
  <c r="W122" i="12825"/>
  <c r="W115" i="12825"/>
  <c r="W139" i="12825"/>
  <c r="W140" i="12825"/>
  <c r="W123" i="12825"/>
  <c r="W131" i="12825"/>
  <c r="W132" i="12825"/>
  <c r="L119" i="12833"/>
  <c r="M119" i="12833"/>
  <c r="Q119" i="12833"/>
  <c r="O119" i="12833"/>
  <c r="R119" i="12833"/>
  <c r="N119" i="12833"/>
  <c r="P119" i="12833"/>
  <c r="M116" i="12833"/>
  <c r="L116" i="12833"/>
  <c r="R116" i="12833"/>
  <c r="Q116" i="12833"/>
  <c r="N116" i="12833"/>
  <c r="P116" i="12833"/>
  <c r="Z171" i="12825"/>
  <c r="Z164" i="12825"/>
  <c r="Z172" i="12825"/>
  <c r="Y163" i="12825"/>
  <c r="W155" i="12825"/>
  <c r="W155" i="12825" a="1"/>
  <c r="Y164" i="12825"/>
  <c r="Z155" i="12825"/>
  <c r="Z155" i="12825" a="1"/>
  <c r="Z163" i="12825"/>
  <c r="U143" i="12825"/>
  <c r="U126" i="12825"/>
  <c r="W120" i="12833"/>
  <c r="Z120" i="12833"/>
  <c r="AA120" i="12833"/>
  <c r="U120" i="12833"/>
  <c r="Y120" i="12833"/>
  <c r="X120" i="12833"/>
  <c r="V120" i="12833"/>
  <c r="Y200" i="12821"/>
  <c r="X200" i="12821"/>
  <c r="X199" i="12821"/>
  <c r="Y199" i="12821"/>
  <c r="Y201" i="12821"/>
  <c r="V186" i="12821" a="1"/>
  <c r="Y202" i="12821"/>
  <c r="Y101" i="12823"/>
  <c r="Y107" i="12823"/>
  <c r="X107" i="12823"/>
  <c r="Y109" i="12823"/>
  <c r="Y103" i="12823"/>
  <c r="V94" i="12823"/>
  <c r="Y108" i="12823"/>
  <c r="S210" i="12822"/>
  <c r="S186" i="12822"/>
  <c r="S198" i="12822"/>
  <c r="U121" i="12833"/>
  <c r="Z121" i="12833"/>
  <c r="AA121" i="12833"/>
  <c r="X121" i="12833"/>
  <c r="V121" i="12833"/>
  <c r="W121" i="12833"/>
  <c r="Y121" i="12833"/>
  <c r="R30" i="12826"/>
  <c r="R30" i="12826" a="1"/>
  <c r="R29" i="12826"/>
  <c r="R29" i="12826" a="1"/>
  <c r="R28" i="12826"/>
  <c r="R28" i="12826" a="1"/>
  <c r="R31" i="12826"/>
  <c r="R31" i="12826" a="1"/>
  <c r="X119" i="12833"/>
  <c r="AA119" i="12833"/>
  <c r="V119" i="12833"/>
  <c r="Y119" i="12833"/>
  <c r="U119" i="12833"/>
  <c r="Z119" i="12833"/>
  <c r="W119" i="12833"/>
  <c r="X102" i="12823"/>
  <c r="Y106" i="12823"/>
  <c r="Y104" i="12823"/>
  <c r="Y102" i="12823"/>
  <c r="Y105" i="12823"/>
  <c r="V93" i="12823"/>
  <c r="AA115" i="12833"/>
  <c r="V115" i="12833"/>
  <c r="U115" i="12833"/>
  <c r="Z115" i="12833"/>
  <c r="W115" i="12833"/>
  <c r="Y115" i="12833"/>
  <c r="S113" i="12833"/>
  <c r="S119" i="12833"/>
  <c r="S121" i="12833"/>
  <c r="S114" i="12833"/>
  <c r="S120" i="12833"/>
  <c r="S205" i="12822"/>
  <c r="S193" i="12822"/>
  <c r="S181" i="12822"/>
  <c r="R112" i="12833"/>
  <c r="M112" i="12833"/>
  <c r="L112" i="12833"/>
  <c r="J57" i="12823"/>
  <c r="J58" i="12823"/>
  <c r="J60" i="12823"/>
  <c r="J59" i="12823"/>
  <c r="J56" i="12823"/>
  <c r="J61" i="12823"/>
  <c r="Z86" i="12825"/>
  <c r="T46" i="12820"/>
  <c r="Q46" i="12820"/>
  <c r="AB121" i="12833"/>
  <c r="AB119" i="12833"/>
  <c r="AB114" i="12833"/>
  <c r="AB120" i="12833"/>
  <c r="J52" i="12823"/>
  <c r="J53" i="12823"/>
  <c r="J54" i="12823"/>
  <c r="J55" i="12823"/>
  <c r="J50" i="12823"/>
  <c r="J51" i="12823"/>
  <c r="V117" i="12833"/>
  <c r="Z117" i="12833"/>
  <c r="W117" i="12833"/>
  <c r="Y117" i="12833"/>
  <c r="AA117" i="12833"/>
  <c r="U117" i="12833"/>
  <c r="T244" i="12821"/>
  <c r="T212" i="12821"/>
  <c r="T228" i="12821"/>
  <c r="Z113" i="12833"/>
  <c r="V113" i="12833"/>
  <c r="AA113" i="12833"/>
  <c r="Y113" i="12833"/>
  <c r="U113" i="12833"/>
  <c r="W113" i="12833"/>
  <c r="AB113" i="12833"/>
  <c r="X113" i="12833"/>
  <c r="H104" i="12827"/>
  <c r="H108" i="12827"/>
  <c r="H112" i="12827"/>
  <c r="T143" i="12821"/>
  <c r="T175" i="12821"/>
  <c r="T159" i="12821"/>
  <c r="W116" i="12833"/>
  <c r="Y116" i="12833"/>
  <c r="V116" i="12833"/>
  <c r="U116" i="12833"/>
  <c r="Z116" i="12833"/>
  <c r="AA116" i="12833"/>
  <c r="S169" i="12821"/>
  <c r="S153" i="12821"/>
  <c r="S137" i="12821"/>
  <c r="Z88" i="12825"/>
  <c r="Z88" i="12825" a="1"/>
  <c r="Z89" i="12825"/>
  <c r="Z89" i="12825" a="1"/>
  <c r="Z87" i="12825"/>
  <c r="Z87" i="12825" a="1"/>
  <c r="Z86" i="12825" a="1"/>
  <c r="I9" i="12822"/>
  <c r="I8" i="12822"/>
  <c r="I10" i="12822"/>
  <c r="W88" i="12825"/>
  <c r="W88" i="12825" a="1"/>
  <c r="W89" i="12825"/>
  <c r="W89" i="12825" a="1"/>
  <c r="W86" i="12825"/>
  <c r="W86" i="12825" a="1"/>
  <c r="W87" i="12825"/>
  <c r="W87" i="12825" a="1"/>
  <c r="T144" i="12825"/>
  <c r="AB171" i="12825"/>
  <c r="S182" i="12822"/>
  <c r="S194" i="12822"/>
  <c r="S206" i="12822"/>
  <c r="Y171" i="12825"/>
  <c r="T127" i="12825"/>
  <c r="Y172" i="12825"/>
  <c r="W126" i="12825"/>
  <c r="W143" i="12825"/>
  <c r="W118" i="12825"/>
  <c r="W135" i="12825"/>
  <c r="W186" i="12825"/>
  <c r="W194" i="12825"/>
  <c r="W203" i="12825"/>
  <c r="W211" i="12825"/>
  <c r="W136" i="12825"/>
  <c r="W119" i="12825"/>
  <c r="W144" i="12825"/>
  <c r="W127" i="12825"/>
  <c r="T119" i="12822"/>
  <c r="T131" i="12822"/>
  <c r="T143" i="12822"/>
  <c r="T210" i="12822"/>
  <c r="T198" i="12822"/>
  <c r="T186" i="12822"/>
  <c r="Z167" i="12825"/>
  <c r="Y158" i="12825"/>
  <c r="Z159" i="12825"/>
  <c r="Z152" i="12825"/>
  <c r="Z152" i="12825" a="1"/>
  <c r="Z166" i="12825"/>
  <c r="Z158" i="12825"/>
  <c r="W152" i="12825"/>
  <c r="W152" i="12825" a="1"/>
  <c r="Q54" i="12820"/>
  <c r="W202" i="12825"/>
  <c r="W193" i="12825"/>
  <c r="W210" i="12825"/>
  <c r="W185" i="12825"/>
  <c r="Z154" i="12825"/>
  <c r="Z154" i="12825" a="1"/>
  <c r="Z170" i="12825"/>
  <c r="W154" i="12825"/>
  <c r="W154" i="12825" a="1"/>
  <c r="Y162" i="12825"/>
  <c r="Z162" i="12825"/>
  <c r="T153" i="12821"/>
  <c r="T137" i="12821"/>
  <c r="T169" i="12821"/>
  <c r="Y167" i="12822"/>
  <c r="X166" i="12822"/>
  <c r="V157" i="12822"/>
  <c r="Y168" i="12822"/>
  <c r="Y166" i="12822"/>
  <c r="V108" i="12821"/>
  <c r="S197" i="12822"/>
  <c r="S209" i="12822"/>
  <c r="S185" i="12822"/>
  <c r="P115" i="12833"/>
  <c r="N115" i="12833"/>
  <c r="M115" i="12833"/>
  <c r="R115" i="12833"/>
  <c r="Q115" i="12833"/>
  <c r="L115" i="12833"/>
  <c r="S195" i="12822"/>
  <c r="S183" i="12822"/>
  <c r="S207" i="12822"/>
  <c r="M16" i="12821"/>
  <c r="T252" i="12821"/>
  <c r="T236" i="12821"/>
  <c r="T220" i="12821"/>
  <c r="T140" i="12821"/>
  <c r="T172" i="12821"/>
  <c r="T156" i="12821"/>
  <c r="V108" i="12821" a="1"/>
  <c r="V109" i="12821"/>
  <c r="V109" i="12821" a="1"/>
  <c r="V107" i="12821"/>
  <c r="V107" i="12821" a="1"/>
  <c r="V106" i="12821"/>
  <c r="V106" i="12821" a="1"/>
  <c r="T177" i="12825"/>
  <c r="W177" i="12825"/>
  <c r="T150" i="12821"/>
  <c r="T166" i="12821"/>
  <c r="T134" i="12821"/>
  <c r="S184" i="12822"/>
  <c r="S196" i="12822"/>
  <c r="S208" i="12822"/>
  <c r="G155" i="12827"/>
  <c r="G159" i="12827"/>
  <c r="G163" i="12827"/>
  <c r="T135" i="12822"/>
  <c r="T123" i="12822"/>
  <c r="T147" i="12822"/>
  <c r="S167" i="12821"/>
  <c r="S151" i="12821"/>
  <c r="AB164" i="12825"/>
  <c r="T137" i="12825"/>
  <c r="T120" i="12825"/>
  <c r="G158" i="12827"/>
  <c r="G162" i="12827"/>
  <c r="G154" i="12827"/>
  <c r="L27" i="12822"/>
  <c r="I50" i="12821"/>
  <c r="U182" i="12825"/>
  <c r="U199" i="12825"/>
  <c r="X103" i="12823"/>
  <c r="X109" i="12823"/>
  <c r="S82" i="12823"/>
  <c r="X101" i="12823"/>
  <c r="T139" i="12821"/>
  <c r="T155" i="12821"/>
  <c r="T171" i="12821"/>
  <c r="T181" i="12825"/>
  <c r="T198" i="12825"/>
  <c r="U137" i="12825"/>
  <c r="U120" i="12825"/>
  <c r="U141" i="12825"/>
  <c r="U124" i="12825"/>
  <c r="T141" i="12821"/>
  <c r="T157" i="12821"/>
  <c r="T173" i="12821"/>
  <c r="T199" i="12825"/>
  <c r="T182" i="12825"/>
  <c r="M66" i="12823"/>
  <c r="S179" i="12822"/>
  <c r="V179" i="12822"/>
  <c r="O33" i="12834"/>
  <c r="S230" i="12821"/>
  <c r="S246" i="12821"/>
  <c r="S214" i="12821"/>
  <c r="I35" i="12825"/>
  <c r="W111" i="12825"/>
  <c r="T111" i="12825"/>
  <c r="T132" i="12825"/>
  <c r="G25" i="12834"/>
  <c r="G73" i="12834"/>
  <c r="U202" i="12825"/>
  <c r="U185" i="12825"/>
  <c r="S170" i="12822"/>
  <c r="J21" i="12825"/>
  <c r="S244" i="12821"/>
  <c r="S228" i="12821"/>
  <c r="S212" i="12821"/>
  <c r="H157" i="12827"/>
  <c r="H161" i="12827"/>
  <c r="H111" i="12827"/>
  <c r="H107" i="12827"/>
  <c r="H103" i="12827"/>
  <c r="T233" i="12821"/>
  <c r="T217" i="12821"/>
  <c r="T249" i="12821"/>
  <c r="R25" i="12837"/>
  <c r="R27" i="12837"/>
  <c r="V172" i="12822"/>
  <c r="S172" i="12822"/>
  <c r="S229" i="12821"/>
  <c r="S213" i="12821"/>
  <c r="S245" i="12821"/>
  <c r="W201" i="12825"/>
  <c r="W209" i="12825"/>
  <c r="W192" i="12825"/>
  <c r="W184" i="12825"/>
  <c r="S211" i="12821"/>
  <c r="S243" i="12821"/>
  <c r="S227" i="12821"/>
  <c r="T135" i="12825"/>
  <c r="T118" i="12825"/>
  <c r="S134" i="12822"/>
  <c r="S146" i="12822"/>
  <c r="T119" i="12825"/>
  <c r="T136" i="12825"/>
  <c r="AB163" i="12825"/>
  <c r="K25" i="12820"/>
  <c r="T247" i="12821"/>
  <c r="T231" i="12821"/>
  <c r="T215" i="12821"/>
  <c r="H136" i="12820"/>
  <c r="T197" i="12822"/>
  <c r="T185" i="12822"/>
  <c r="T209" i="12822"/>
  <c r="U205" i="12825"/>
  <c r="U188" i="12825"/>
  <c r="H163" i="12827"/>
  <c r="H159" i="12827"/>
  <c r="H155" i="12827"/>
  <c r="S155" i="12821"/>
  <c r="S139" i="12821"/>
  <c r="S171" i="12821"/>
  <c r="M19" i="12837"/>
  <c r="X172" i="12822"/>
  <c r="V160" i="12822"/>
  <c r="Y172" i="12822"/>
  <c r="T211" i="12821"/>
  <c r="T227" i="12821"/>
  <c r="T243" i="12821"/>
  <c r="I20" i="12821"/>
  <c r="J89" i="12821"/>
  <c r="S123" i="12822"/>
  <c r="S135" i="12822"/>
  <c r="S147" i="12822"/>
  <c r="R118" i="12833"/>
  <c r="L118" i="12833"/>
  <c r="S109" i="12822"/>
  <c r="V109" i="12822"/>
  <c r="S144" i="12822"/>
  <c r="S132" i="12822"/>
  <c r="T195" i="12822"/>
  <c r="T207" i="12822"/>
  <c r="T183" i="12822"/>
  <c r="T184" i="12822"/>
  <c r="T208" i="12822"/>
  <c r="V170" i="12822"/>
  <c r="T196" i="12822"/>
  <c r="X169" i="12822"/>
  <c r="Y169" i="12822"/>
  <c r="V158" i="12822"/>
  <c r="S120" i="12822"/>
  <c r="Y170" i="12822"/>
  <c r="U125" i="12825"/>
  <c r="U142" i="12825"/>
  <c r="U181" i="12825"/>
  <c r="U198" i="12825"/>
  <c r="S193" i="12821"/>
  <c r="W193" i="12821"/>
  <c r="V193" i="12821"/>
  <c r="T149" i="12821"/>
  <c r="T165" i="12821"/>
  <c r="U145" i="12825"/>
  <c r="U128" i="12825"/>
  <c r="T193" i="12825"/>
  <c r="T210" i="12825"/>
  <c r="T186" i="12825"/>
  <c r="T203" i="12825"/>
  <c r="G87" i="12820"/>
  <c r="W176" i="12825"/>
  <c r="T176" i="12825"/>
  <c r="S119" i="12821"/>
  <c r="V119" i="12821"/>
  <c r="J25" i="12834"/>
  <c r="J73" i="12834"/>
  <c r="J32" i="12825"/>
  <c r="T44" i="12820"/>
  <c r="Q44" i="12820"/>
  <c r="V116" i="12821"/>
  <c r="S216" i="12821"/>
  <c r="S248" i="12821"/>
  <c r="S232" i="12821"/>
  <c r="T130" i="12822"/>
  <c r="T142" i="12822"/>
  <c r="T118" i="12822"/>
  <c r="AF202" i="12821"/>
  <c r="V202" i="12821"/>
  <c r="S202" i="12821"/>
  <c r="T144" i="12822"/>
  <c r="T120" i="12822"/>
  <c r="T132" i="12822"/>
  <c r="H153" i="12827"/>
  <c r="I187" i="12827"/>
  <c r="G89" i="12821"/>
  <c r="H89" i="12821"/>
  <c r="I89" i="12821"/>
  <c r="V177" i="12822"/>
  <c r="W177" i="12822"/>
  <c r="S177" i="12822"/>
  <c r="H50" i="12821"/>
  <c r="J50" i="12821"/>
  <c r="M19" i="12825"/>
  <c r="S234" i="12821"/>
  <c r="S250" i="12821"/>
  <c r="S218" i="12821"/>
  <c r="AF123" i="12821"/>
  <c r="V123" i="12821"/>
  <c r="W120" i="12825"/>
  <c r="W145" i="12825"/>
  <c r="W128" i="12825"/>
  <c r="W137" i="12825"/>
  <c r="U208" i="12825"/>
  <c r="U191" i="12825"/>
  <c r="W106" i="12825"/>
  <c r="AC106" i="12825"/>
  <c r="V121" i="12821"/>
  <c r="S121" i="12821"/>
  <c r="T154" i="12821"/>
  <c r="T138" i="12821"/>
  <c r="T170" i="12821"/>
  <c r="V97" i="12822"/>
  <c r="V94" i="12822"/>
  <c r="V95" i="12822"/>
  <c r="V96" i="12822"/>
  <c r="S200" i="12821"/>
  <c r="AF200" i="12821"/>
  <c r="S76" i="12823"/>
  <c r="W112" i="12825"/>
  <c r="T112" i="12825"/>
  <c r="AC112" i="12825"/>
  <c r="I33" i="12821"/>
  <c r="S169" i="12822"/>
  <c r="V169" i="12822"/>
  <c r="T188" i="12825"/>
  <c r="T205" i="12825"/>
  <c r="X111" i="12825"/>
  <c r="X112" i="12825"/>
  <c r="S168" i="12821"/>
  <c r="S136" i="12821"/>
  <c r="S152" i="12821"/>
  <c r="H94" i="12820"/>
  <c r="S118" i="12821"/>
  <c r="S145" i="12822"/>
  <c r="S133" i="12822"/>
  <c r="T70" i="12820"/>
  <c r="Q70" i="12820"/>
  <c r="T194" i="12822"/>
  <c r="T182" i="12822"/>
  <c r="T206" i="12822"/>
  <c r="R51" i="12826"/>
  <c r="H59" i="12820"/>
  <c r="T213" i="12821"/>
  <c r="T229" i="12821"/>
  <c r="T245" i="12821"/>
  <c r="H128" i="12820"/>
  <c r="G50" i="12821"/>
  <c r="T129" i="12822"/>
  <c r="T141" i="12822"/>
  <c r="T151" i="12821"/>
  <c r="T167" i="12821"/>
  <c r="T135" i="12821"/>
  <c r="O42" i="12834"/>
  <c r="W169" i="12822"/>
  <c r="W170" i="12822"/>
  <c r="J28" i="12825"/>
  <c r="O67" i="12826"/>
  <c r="U116" i="12825"/>
  <c r="U133" i="12825"/>
  <c r="T201" i="12825"/>
  <c r="T184" i="12825"/>
  <c r="G77" i="12820"/>
  <c r="K72" i="12820"/>
  <c r="T122" i="12822"/>
  <c r="T134" i="12822"/>
  <c r="T146" i="12822"/>
  <c r="S154" i="12821"/>
  <c r="S138" i="12821"/>
  <c r="S170" i="12821"/>
  <c r="F136" i="12820"/>
  <c r="G136" i="12820"/>
  <c r="E136" i="12820"/>
  <c r="J32" i="12821"/>
  <c r="H20" i="12821"/>
  <c r="G20" i="12821"/>
  <c r="J20" i="12821"/>
  <c r="M45" i="12834"/>
  <c r="T191" i="12825"/>
  <c r="T208" i="12825"/>
  <c r="I67" i="12823"/>
  <c r="H43" i="12820"/>
  <c r="T202" i="12825"/>
  <c r="T185" i="12825"/>
  <c r="H125" i="12820"/>
  <c r="T136" i="12821"/>
  <c r="T168" i="12821"/>
  <c r="V118" i="12821"/>
  <c r="T152" i="12821"/>
  <c r="T139" i="12825"/>
  <c r="J108" i="12821"/>
  <c r="H70" i="12820"/>
  <c r="J85" i="12821"/>
  <c r="T219" i="12821"/>
  <c r="T251" i="12821"/>
  <c r="T235" i="12821"/>
  <c r="H139" i="12820"/>
  <c r="T133" i="12825"/>
  <c r="T116" i="12825"/>
  <c r="J76" i="12821"/>
  <c r="I18" i="12834"/>
  <c r="J94" i="12821"/>
  <c r="J55" i="12834"/>
  <c r="G32" i="12821"/>
  <c r="H32" i="12821"/>
  <c r="I32" i="12821"/>
  <c r="H102" i="12820"/>
  <c r="S195" i="12821"/>
  <c r="W195" i="12821"/>
  <c r="V195" i="12821"/>
  <c r="M16" i="12834"/>
  <c r="V53" i="12823"/>
  <c r="V52" i="12823"/>
  <c r="V54" i="12823"/>
  <c r="T204" i="12822"/>
  <c r="T192" i="12822"/>
  <c r="M89" i="12821"/>
  <c r="T141" i="12825"/>
  <c r="J84" i="12821"/>
  <c r="T145" i="12825"/>
  <c r="AB172" i="12825"/>
  <c r="T106" i="12825"/>
  <c r="T128" i="12825"/>
  <c r="H8" i="12822"/>
  <c r="U112" i="12833"/>
  <c r="AA112" i="12833"/>
  <c r="V112" i="12833"/>
  <c r="H115" i="12820"/>
  <c r="O17" i="12834"/>
  <c r="U44" i="12820"/>
  <c r="U46" i="12820"/>
  <c r="T230" i="12821"/>
  <c r="T246" i="12821"/>
  <c r="T214" i="12821"/>
  <c r="I36" i="12834"/>
  <c r="H123" i="12820"/>
  <c r="U203" i="12825"/>
  <c r="U186" i="12825"/>
  <c r="T250" i="12821"/>
  <c r="T218" i="12821"/>
  <c r="V200" i="12821"/>
  <c r="T234" i="12821"/>
  <c r="O128" i="12833"/>
  <c r="R20" i="12837"/>
  <c r="H67" i="12820"/>
  <c r="K85" i="12820"/>
  <c r="P8" i="12835"/>
  <c r="J107" i="12821"/>
  <c r="G103" i="12820"/>
  <c r="J34" i="12825"/>
  <c r="H34" i="12825"/>
  <c r="I34" i="12825"/>
  <c r="S233" i="12821"/>
  <c r="S249" i="12821"/>
  <c r="S217" i="12821"/>
  <c r="K144" i="12820"/>
  <c r="H150" i="12820"/>
  <c r="H55" i="12834"/>
  <c r="I55" i="12834"/>
  <c r="V38" i="12826"/>
  <c r="M109" i="12821"/>
  <c r="H172" i="12827"/>
  <c r="T206" i="12825"/>
  <c r="T189" i="12825"/>
  <c r="H71" i="12820"/>
  <c r="O64" i="12826"/>
  <c r="U183" i="12825"/>
  <c r="U200" i="12825"/>
  <c r="X195" i="12821"/>
  <c r="S135" i="12821"/>
  <c r="X194" i="12821"/>
  <c r="I69" i="12834"/>
  <c r="O46" i="12834"/>
  <c r="H130" i="12827"/>
  <c r="U70" i="12820"/>
  <c r="Y43" i="12820"/>
  <c r="J46" i="12821"/>
  <c r="K88" i="12820"/>
  <c r="W175" i="12825"/>
  <c r="T175" i="12825"/>
  <c r="G85" i="12821"/>
  <c r="H85" i="12821"/>
  <c r="I85" i="12821"/>
  <c r="T132" i="12823"/>
  <c r="R24" i="12837"/>
  <c r="U184" i="12825"/>
  <c r="U201" i="12825"/>
  <c r="T181" i="12822"/>
  <c r="T193" i="12822"/>
  <c r="T205" i="12822"/>
  <c r="J102" i="12821"/>
  <c r="S156" i="12821"/>
  <c r="S172" i="12821"/>
  <c r="S140" i="12821"/>
  <c r="S150" i="12821"/>
  <c r="S134" i="12821"/>
  <c r="S116" i="12821"/>
  <c r="S166" i="12821"/>
  <c r="I86" i="12821"/>
  <c r="J64" i="12821"/>
  <c r="J111" i="12821"/>
  <c r="U61" i="12826"/>
  <c r="O38" i="12826"/>
  <c r="O44" i="12826"/>
  <c r="J15" i="12825"/>
  <c r="X171" i="12822"/>
  <c r="Y171" i="12822"/>
  <c r="S122" i="12822"/>
  <c r="V159" i="12822"/>
  <c r="I52" i="12834"/>
  <c r="I92" i="12821"/>
  <c r="M45" i="12825"/>
  <c r="T140" i="12825"/>
  <c r="M65" i="12821"/>
  <c r="H12" i="12820"/>
  <c r="T242" i="12821"/>
  <c r="T226" i="12821"/>
  <c r="J134" i="12827"/>
  <c r="T211" i="12825"/>
  <c r="T194" i="12825"/>
  <c r="H23" i="12820"/>
  <c r="H92" i="12821"/>
  <c r="G92" i="12821"/>
  <c r="J92" i="12821"/>
  <c r="G21" i="12825"/>
  <c r="H21" i="12825"/>
  <c r="I21" i="12825"/>
  <c r="H33" i="12820"/>
  <c r="J54" i="12821"/>
  <c r="Q80" i="12820"/>
  <c r="J11" i="12825"/>
  <c r="H96" i="12820"/>
  <c r="T209" i="12825"/>
  <c r="T192" i="12825"/>
  <c r="J101" i="12821"/>
  <c r="S173" i="12821"/>
  <c r="S141" i="12821"/>
  <c r="S123" i="12821"/>
  <c r="S157" i="12821"/>
  <c r="U192" i="12825"/>
  <c r="U209" i="12825"/>
  <c r="G34" i="12825"/>
  <c r="L18" i="12822"/>
  <c r="J37" i="12825"/>
  <c r="H88" i="12820"/>
  <c r="H103" i="12820"/>
  <c r="E103" i="12820"/>
  <c r="F103" i="12820"/>
  <c r="J17" i="12834"/>
  <c r="G111" i="12820"/>
  <c r="G15" i="12825"/>
  <c r="H15" i="12825"/>
  <c r="I15" i="12825"/>
  <c r="H49" i="12820"/>
  <c r="S108" i="12822"/>
  <c r="V108" i="12822"/>
  <c r="U189" i="12825"/>
  <c r="U206" i="12825"/>
  <c r="J72" i="12821"/>
  <c r="Q69" i="12820"/>
  <c r="U69" i="12820"/>
  <c r="T69" i="12820"/>
  <c r="I68" i="12834"/>
  <c r="M10" i="12821"/>
  <c r="G50" i="12834"/>
  <c r="U117" i="12825"/>
  <c r="U134" i="12825"/>
  <c r="M65" i="12823"/>
  <c r="H85" i="12820"/>
  <c r="E115" i="12820"/>
  <c r="F115" i="12820"/>
  <c r="G115" i="12820"/>
  <c r="M20" i="12837"/>
  <c r="U193" i="12825"/>
  <c r="U210" i="12825"/>
  <c r="G174" i="12827"/>
  <c r="I45" i="12834"/>
  <c r="S219" i="12821"/>
  <c r="S251" i="12821"/>
  <c r="S235" i="12821"/>
  <c r="AC172" i="12825"/>
  <c r="T172" i="12825"/>
  <c r="M68" i="12834"/>
  <c r="L16" i="12834"/>
  <c r="J15" i="12821"/>
  <c r="H154" i="12827"/>
  <c r="H158" i="12827"/>
  <c r="H162" i="12827"/>
  <c r="S122" i="12821"/>
  <c r="V122" i="12821"/>
  <c r="T142" i="12821"/>
  <c r="T158" i="12821"/>
  <c r="T174" i="12821"/>
  <c r="J24" i="12825"/>
  <c r="J41" i="12825"/>
  <c r="P73" i="12826"/>
  <c r="V120" i="12821"/>
  <c r="S120" i="12821"/>
  <c r="E12" i="12820"/>
  <c r="F12" i="12820"/>
  <c r="G12" i="12820"/>
  <c r="Q47" i="12820"/>
  <c r="U47" i="12820"/>
  <c r="T47" i="12820"/>
  <c r="G72" i="12821"/>
  <c r="H72" i="12821"/>
  <c r="I72" i="12821"/>
  <c r="M32" i="12821"/>
  <c r="E33" i="12820"/>
  <c r="F33" i="12820"/>
  <c r="G33" i="12820"/>
  <c r="S175" i="12821"/>
  <c r="S143" i="12821"/>
  <c r="S159" i="12821"/>
  <c r="I25" i="12834"/>
  <c r="G76" i="12821"/>
  <c r="H76" i="12821"/>
  <c r="I76" i="12821"/>
  <c r="G111" i="12821"/>
  <c r="H111" i="12821"/>
  <c r="I111" i="12821"/>
  <c r="J28" i="12821"/>
  <c r="H108" i="12820"/>
  <c r="H16" i="12820"/>
  <c r="J103" i="12821"/>
  <c r="X201" i="12821"/>
  <c r="M12" i="12825"/>
  <c r="H120" i="12820"/>
  <c r="S201" i="12821"/>
  <c r="V201" i="12821"/>
  <c r="L10" i="12822"/>
  <c r="J58" i="12821"/>
  <c r="J31" i="12825"/>
  <c r="U197" i="12825"/>
  <c r="S231" i="12821"/>
  <c r="S215" i="12821"/>
  <c r="S247" i="12821"/>
  <c r="W116" i="12821"/>
  <c r="W118" i="12821"/>
  <c r="H122" i="12820"/>
  <c r="R52" i="12826"/>
  <c r="K50" i="12834"/>
  <c r="M24" i="12837"/>
  <c r="Q25" i="12834"/>
  <c r="Q26" i="12834"/>
  <c r="I12" i="12825"/>
  <c r="M42" i="12834"/>
  <c r="G113" i="12820"/>
  <c r="J17" i="12821"/>
  <c r="T121" i="12822"/>
  <c r="T145" i="12822"/>
  <c r="T133" i="12822"/>
  <c r="G30" i="12824"/>
  <c r="G36" i="12824"/>
  <c r="K41" i="12820"/>
  <c r="H37" i="12820"/>
  <c r="V125" i="12821"/>
  <c r="S125" i="12821"/>
  <c r="AF125" i="12821"/>
  <c r="U135" i="12825"/>
  <c r="U118" i="12825"/>
  <c r="I46" i="12834"/>
  <c r="H18" i="12834"/>
  <c r="J37" i="12821"/>
  <c r="H8" i="12835"/>
  <c r="T216" i="12821"/>
  <c r="T232" i="12821"/>
  <c r="T248" i="12821"/>
  <c r="R79" i="12820"/>
  <c r="T178" i="12825"/>
  <c r="AC178" i="12825"/>
  <c r="W178" i="12825"/>
  <c r="J30" i="12825"/>
  <c r="K25" i="12837"/>
  <c r="K27" i="12837"/>
  <c r="V114" i="12822"/>
  <c r="W114" i="12822"/>
  <c r="S114" i="12822"/>
  <c r="U123" i="12825"/>
  <c r="U140" i="12825"/>
  <c r="T71" i="12820"/>
  <c r="U71" i="12820"/>
  <c r="Q71" i="12820"/>
  <c r="W201" i="12821"/>
  <c r="W202" i="12821"/>
  <c r="W200" i="12821"/>
  <c r="M46" i="12834"/>
  <c r="G101" i="12821"/>
  <c r="H101" i="12821"/>
  <c r="I101" i="12821"/>
  <c r="E49" i="12820"/>
  <c r="F49" i="12820"/>
  <c r="G49" i="12820"/>
  <c r="G146" i="12827"/>
  <c r="J16" i="12825"/>
  <c r="J27" i="12825"/>
  <c r="H18" i="12820"/>
  <c r="R52" i="12826" a="1"/>
  <c r="S174" i="12821"/>
  <c r="S158" i="12821"/>
  <c r="Y25" i="12837"/>
  <c r="Y27" i="12837"/>
  <c r="H53" i="12820"/>
  <c r="H62" i="12820"/>
  <c r="W119" i="12821"/>
  <c r="W120" i="12821"/>
  <c r="X82" i="12825"/>
  <c r="Y86" i="12825"/>
  <c r="X86" i="12825"/>
  <c r="H60" i="12834"/>
  <c r="I60" i="12834"/>
  <c r="W102" i="12825"/>
  <c r="M30" i="12821"/>
  <c r="T207" i="12825"/>
  <c r="T190" i="12825"/>
  <c r="K91" i="12820"/>
  <c r="G89" i="12820"/>
  <c r="W161" i="12825"/>
  <c r="H127" i="12827"/>
  <c r="M62" i="12834"/>
  <c r="G182" i="12827"/>
  <c r="X202" i="12821"/>
  <c r="I66" i="12834"/>
  <c r="K14" i="12820"/>
  <c r="T170" i="12825"/>
  <c r="W170" i="12825"/>
  <c r="J16" i="12834"/>
  <c r="J71" i="12834"/>
  <c r="G40" i="12834"/>
  <c r="K40" i="12826"/>
  <c r="L20" i="12822"/>
  <c r="J70" i="12821"/>
  <c r="H87" i="12820"/>
  <c r="E87" i="12820"/>
  <c r="F87" i="12820"/>
  <c r="G141" i="12820"/>
  <c r="I68" i="12821"/>
  <c r="Q45" i="12820"/>
  <c r="U45" i="12820"/>
  <c r="T45" i="12820"/>
  <c r="V184" i="12821"/>
  <c r="E102" i="12820"/>
  <c r="F102" i="12820"/>
  <c r="G102" i="12820"/>
  <c r="H146" i="12820"/>
  <c r="J39" i="12825"/>
  <c r="V171" i="12822"/>
  <c r="S171" i="12822"/>
  <c r="J66" i="12821"/>
  <c r="K137" i="12820"/>
  <c r="G46" i="12821"/>
  <c r="H46" i="12821"/>
  <c r="I46" i="12821"/>
  <c r="G27" i="12820"/>
  <c r="J21" i="12821"/>
  <c r="G11" i="12820"/>
  <c r="H64" i="12820"/>
  <c r="J12" i="12821"/>
  <c r="H129" i="12827"/>
  <c r="T105" i="12825"/>
  <c r="J86" i="12820"/>
  <c r="K86" i="12820"/>
  <c r="M15" i="12834"/>
  <c r="G12" i="12821"/>
  <c r="H12" i="12821"/>
  <c r="I12" i="12821"/>
  <c r="G70" i="12821"/>
  <c r="H70" i="12821"/>
  <c r="I70" i="12821"/>
  <c r="K93" i="12820"/>
  <c r="U207" i="12825"/>
  <c r="U190" i="12825"/>
  <c r="G60" i="12823"/>
  <c r="H60" i="12823"/>
  <c r="I60" i="12823"/>
  <c r="U119" i="12825"/>
  <c r="U136" i="12825"/>
  <c r="M112" i="12821"/>
  <c r="K20" i="12837"/>
  <c r="U127" i="12825"/>
  <c r="W105" i="12825"/>
  <c r="U144" i="12825"/>
  <c r="H38" i="12820"/>
  <c r="M52" i="12823"/>
  <c r="K37" i="12820"/>
  <c r="G112" i="12827"/>
  <c r="G108" i="12827"/>
  <c r="G136" i="12827"/>
  <c r="J136" i="12827"/>
  <c r="X152" i="12825"/>
  <c r="I74" i="12821"/>
  <c r="H151" i="12820"/>
  <c r="W179" i="12822"/>
  <c r="I36" i="12821"/>
  <c r="K62" i="12820"/>
  <c r="E67" i="12820"/>
  <c r="F67" i="12820"/>
  <c r="G67" i="12820"/>
  <c r="M49" i="12821"/>
  <c r="I40" i="12821"/>
  <c r="J44" i="12825"/>
  <c r="K10" i="12835"/>
  <c r="H106" i="12827"/>
  <c r="H110" i="12827"/>
  <c r="H14" i="12820"/>
  <c r="Y17" i="12837"/>
  <c r="I55" i="12823"/>
  <c r="H20" i="12820"/>
  <c r="T124" i="12823"/>
  <c r="J45" i="12821"/>
  <c r="K23" i="12837"/>
  <c r="J35" i="12825"/>
  <c r="G35" i="12825"/>
  <c r="H35" i="12825"/>
  <c r="H9" i="12822"/>
  <c r="J8" i="12821"/>
  <c r="I42" i="12834"/>
  <c r="J42" i="12834"/>
  <c r="J50" i="12834"/>
  <c r="H39" i="12820"/>
  <c r="R53" i="12826"/>
  <c r="P128" i="12833"/>
  <c r="X177" i="12825"/>
  <c r="X178" i="12825"/>
  <c r="M33" i="12834"/>
  <c r="R84" i="12820"/>
  <c r="G78" i="12820"/>
  <c r="R19" i="12837"/>
  <c r="M11" i="12825"/>
  <c r="H173" i="12827"/>
  <c r="H149" i="12820"/>
  <c r="H50" i="12820"/>
  <c r="O60" i="12834"/>
  <c r="I86" i="12820"/>
  <c r="T102" i="12825"/>
  <c r="T124" i="12825"/>
  <c r="Y168" i="12825"/>
  <c r="M102" i="12821"/>
  <c r="M52" i="12821"/>
  <c r="K73" i="12834"/>
  <c r="J11" i="12834"/>
  <c r="G47" i="12824"/>
  <c r="J53" i="12834"/>
  <c r="W168" i="12825"/>
  <c r="X168" i="12825"/>
  <c r="T168" i="12825"/>
  <c r="O71" i="12834"/>
  <c r="S198" i="12821"/>
  <c r="V198" i="12821"/>
  <c r="H66" i="12834"/>
  <c r="I62" i="12834"/>
  <c r="M36" i="12834"/>
  <c r="G60" i="12834"/>
  <c r="H52" i="12834"/>
  <c r="M69" i="12834"/>
  <c r="S62" i="12823"/>
  <c r="X104" i="12823"/>
  <c r="G74" i="12820"/>
  <c r="J80" i="12821"/>
  <c r="S196" i="12821"/>
  <c r="W196" i="12821"/>
  <c r="V196" i="12821"/>
  <c r="L65" i="12823"/>
  <c r="G28" i="12821"/>
  <c r="H28" i="12821"/>
  <c r="I28" i="12821"/>
  <c r="J40" i="12821"/>
  <c r="G40" i="12821"/>
  <c r="H40" i="12821"/>
  <c r="I59" i="12823"/>
  <c r="K24" i="12820"/>
  <c r="K146" i="12820"/>
  <c r="F111" i="12820"/>
  <c r="E111" i="12820"/>
  <c r="H111" i="12820"/>
  <c r="K60" i="12834"/>
  <c r="M56" i="12834"/>
  <c r="H113" i="12820"/>
  <c r="E113" i="12820"/>
  <c r="F113" i="12820"/>
  <c r="S199" i="12821"/>
  <c r="W199" i="12821"/>
  <c r="V199" i="12821"/>
  <c r="Y15" i="12837"/>
  <c r="K33" i="12820"/>
  <c r="H41" i="12820"/>
  <c r="H135" i="12820"/>
  <c r="G43" i="12824"/>
  <c r="G49" i="12824"/>
  <c r="G27" i="12825"/>
  <c r="H27" i="12825"/>
  <c r="I27" i="12825"/>
  <c r="L44" i="12821"/>
  <c r="M44" i="12821"/>
  <c r="V185" i="12821"/>
  <c r="S108" i="12823"/>
  <c r="S122" i="12823"/>
  <c r="M60" i="12823"/>
  <c r="M38" i="12825"/>
  <c r="K69" i="12820"/>
  <c r="Q78" i="12820"/>
  <c r="N18" i="12834"/>
  <c r="O18" i="12834"/>
  <c r="E149" i="12820"/>
  <c r="F149" i="12820"/>
  <c r="G149" i="12820"/>
  <c r="H13" i="12822"/>
  <c r="H40" i="12820"/>
  <c r="I142" i="12820"/>
  <c r="J142" i="12820"/>
  <c r="K142" i="12820"/>
  <c r="H23" i="12822"/>
  <c r="H144" i="12820"/>
  <c r="M27" i="12821"/>
  <c r="M8" i="12834"/>
  <c r="J63" i="12821"/>
  <c r="H116" i="12820"/>
  <c r="Y169" i="12825"/>
  <c r="H48" i="12820"/>
  <c r="Y67" i="12820"/>
  <c r="AB116" i="12833"/>
  <c r="X116" i="12833"/>
  <c r="AB149" i="12825"/>
  <c r="L12" i="12822"/>
  <c r="I61" i="12823"/>
  <c r="V61" i="12826"/>
  <c r="O61" i="12826"/>
  <c r="S123" i="12823"/>
  <c r="T200" i="12825"/>
  <c r="X161" i="12825"/>
  <c r="T161" i="12825"/>
  <c r="T183" i="12825"/>
  <c r="O69" i="12834"/>
  <c r="N17" i="12834"/>
  <c r="T109" i="12825"/>
  <c r="W109" i="12825"/>
  <c r="M27" i="12825"/>
  <c r="H134" i="12820"/>
  <c r="M56" i="12823"/>
  <c r="E40" i="12820"/>
  <c r="F40" i="12820"/>
  <c r="G40" i="12820"/>
  <c r="J68" i="12821"/>
  <c r="G68" i="12821"/>
  <c r="H68" i="12821"/>
  <c r="K89" i="12821"/>
  <c r="L89" i="12821"/>
  <c r="J54" i="12834"/>
  <c r="U186" i="12821"/>
  <c r="H89" i="12820"/>
  <c r="E89" i="12820"/>
  <c r="F89" i="12820"/>
  <c r="H112" i="12820"/>
  <c r="H147" i="12820"/>
  <c r="H143" i="12820"/>
  <c r="K24" i="12837"/>
  <c r="H61" i="12820"/>
  <c r="L25" i="12822"/>
  <c r="H42" i="12834"/>
  <c r="H50" i="12834"/>
  <c r="I50" i="12834"/>
  <c r="H126" i="12820"/>
  <c r="J38" i="12821"/>
  <c r="H153" i="12820"/>
  <c r="L13" i="12834"/>
  <c r="M13" i="12834"/>
  <c r="M106" i="12821"/>
  <c r="E41" i="12820"/>
  <c r="F41" i="12820"/>
  <c r="G41" i="12820"/>
  <c r="E135" i="12820"/>
  <c r="F135" i="12820"/>
  <c r="G135" i="12820"/>
  <c r="J98" i="12827"/>
  <c r="J31" i="12821"/>
  <c r="I15" i="12834"/>
  <c r="E139" i="12820"/>
  <c r="F139" i="12820"/>
  <c r="G139" i="12820"/>
  <c r="R54" i="12826"/>
  <c r="L12" i="12825"/>
  <c r="J19" i="12825"/>
  <c r="J13" i="12821"/>
  <c r="J62" i="12821"/>
  <c r="T131" i="12825"/>
  <c r="G55" i="12834"/>
  <c r="O58" i="12826"/>
  <c r="W103" i="12825"/>
  <c r="H9" i="12820"/>
  <c r="G19" i="12837"/>
  <c r="J19" i="12837"/>
  <c r="K19" i="12837"/>
  <c r="S158" i="12822"/>
  <c r="J47" i="12821"/>
  <c r="S178" i="12822"/>
  <c r="W178" i="12822"/>
  <c r="V178" i="12822"/>
  <c r="U132" i="12825"/>
  <c r="U115" i="12825"/>
  <c r="I33" i="12834"/>
  <c r="M84" i="12821"/>
  <c r="W198" i="12821"/>
  <c r="G60" i="12820"/>
  <c r="L57" i="12823"/>
  <c r="M57" i="12823"/>
  <c r="K120" i="12820"/>
  <c r="U185" i="12821"/>
  <c r="J83" i="12821"/>
  <c r="J146" i="12827"/>
  <c r="H174" i="12827"/>
  <c r="J9" i="12821"/>
  <c r="I56" i="12834"/>
  <c r="K65" i="12821"/>
  <c r="L65" i="12821"/>
  <c r="G66" i="12821"/>
  <c r="H66" i="12821"/>
  <c r="I66" i="12821"/>
  <c r="H123" i="12827"/>
  <c r="L42" i="12834"/>
  <c r="L50" i="12834"/>
  <c r="M50" i="12834"/>
  <c r="J36" i="12825"/>
  <c r="M40" i="12834"/>
  <c r="J109" i="12821"/>
  <c r="T110" i="12825"/>
  <c r="W110" i="12825"/>
  <c r="E94" i="12820"/>
  <c r="F94" i="12820"/>
  <c r="G94" i="12820"/>
  <c r="W125" i="12821"/>
  <c r="W123" i="12821"/>
  <c r="W122" i="12821"/>
  <c r="G107" i="12827"/>
  <c r="G111" i="12827"/>
  <c r="H176" i="12827"/>
  <c r="K20" i="12835"/>
  <c r="S197" i="12821"/>
  <c r="S184" i="12821"/>
  <c r="W197" i="12821"/>
  <c r="V197" i="12821"/>
  <c r="T122" i="12825"/>
  <c r="Y166" i="12825"/>
  <c r="K34" i="12820"/>
  <c r="Y10" i="12834"/>
  <c r="H11" i="12835"/>
  <c r="G24" i="12825"/>
  <c r="H24" i="12825"/>
  <c r="I24" i="12825"/>
  <c r="J86" i="12821"/>
  <c r="G86" i="12821"/>
  <c r="H86" i="12821"/>
  <c r="T74" i="12823"/>
  <c r="E143" i="12820"/>
  <c r="F143" i="12820"/>
  <c r="G143" i="12820"/>
  <c r="J10" i="12834"/>
  <c r="J16" i="12821"/>
  <c r="H92" i="12820"/>
  <c r="W169" i="12825"/>
  <c r="X169" i="12825"/>
  <c r="T169" i="12825"/>
  <c r="P42" i="12826"/>
  <c r="G43" i="12826"/>
  <c r="V106" i="12822"/>
  <c r="W106" i="12822"/>
  <c r="S106" i="12822"/>
  <c r="J55" i="12821"/>
  <c r="F11" i="12820"/>
  <c r="E11" i="12820"/>
  <c r="H11" i="12820"/>
  <c r="M16" i="12837"/>
  <c r="I136" i="12820"/>
  <c r="J136" i="12820"/>
  <c r="K136" i="12820"/>
  <c r="G13" i="12821"/>
  <c r="H13" i="12821"/>
  <c r="I13" i="12821"/>
  <c r="S79" i="12823"/>
  <c r="X106" i="12823"/>
  <c r="I146" i="12820"/>
  <c r="J146" i="12820"/>
  <c r="K66" i="12834"/>
  <c r="G41" i="12825"/>
  <c r="H41" i="12825"/>
  <c r="I41" i="12825"/>
  <c r="J51" i="12821"/>
  <c r="J69" i="12821"/>
  <c r="H76" i="12820"/>
  <c r="K111" i="12820"/>
  <c r="G47" i="12821"/>
  <c r="H47" i="12821"/>
  <c r="I47" i="12821"/>
  <c r="G103" i="12821"/>
  <c r="H103" i="12821"/>
  <c r="I103" i="12821"/>
  <c r="O62" i="12834"/>
  <c r="G16" i="12825"/>
  <c r="H16" i="12825"/>
  <c r="I16" i="12825"/>
  <c r="G64" i="12821"/>
  <c r="H64" i="12821"/>
  <c r="I64" i="12821"/>
  <c r="J23" i="12837"/>
  <c r="O41" i="12826"/>
  <c r="E150" i="12820"/>
  <c r="F150" i="12820"/>
  <c r="G150" i="12820"/>
  <c r="L15" i="12834"/>
  <c r="L19" i="12834"/>
  <c r="M19" i="12834"/>
  <c r="E108" i="12820"/>
  <c r="F108" i="12820"/>
  <c r="G108" i="12820"/>
  <c r="J38" i="12825"/>
  <c r="G117" i="12820"/>
  <c r="J29" i="12821"/>
  <c r="J74" i="12821"/>
  <c r="G74" i="12821"/>
  <c r="H74" i="12821"/>
  <c r="K58" i="12820"/>
  <c r="J95" i="12827"/>
  <c r="K36" i="12820"/>
  <c r="E128" i="12820"/>
  <c r="F128" i="12820"/>
  <c r="G128" i="12820"/>
  <c r="H180" i="12827"/>
  <c r="W109" i="12822"/>
  <c r="V167" i="12822"/>
  <c r="I87" i="12821"/>
  <c r="E146" i="12820"/>
  <c r="F146" i="12820"/>
  <c r="G146" i="12820"/>
  <c r="J8" i="12825"/>
  <c r="M17" i="12837"/>
  <c r="E38" i="12820"/>
  <c r="F38" i="12820"/>
  <c r="G38" i="12820"/>
  <c r="W101" i="12825"/>
  <c r="X201" i="12821" a="1"/>
  <c r="S142" i="12821"/>
  <c r="X202" i="12821" a="1"/>
  <c r="M52" i="12834"/>
  <c r="J88" i="12821"/>
  <c r="J12" i="12822"/>
  <c r="K12" i="12822"/>
  <c r="M44" i="12825"/>
  <c r="U194" i="12825"/>
  <c r="W172" i="12825"/>
  <c r="U211" i="12825"/>
  <c r="G8" i="12820"/>
  <c r="E71" i="12820"/>
  <c r="F71" i="12820"/>
  <c r="G71" i="12820"/>
  <c r="I8" i="12835"/>
  <c r="K8" i="12835"/>
  <c r="U60" i="12826"/>
  <c r="M41" i="12825"/>
  <c r="K44" i="12821"/>
  <c r="M9" i="12835"/>
  <c r="N9" i="12835"/>
  <c r="K147" i="12820"/>
  <c r="E120" i="12820"/>
  <c r="F120" i="12820"/>
  <c r="G120" i="12820"/>
  <c r="H19" i="12820"/>
  <c r="I17" i="12825"/>
  <c r="H17" i="12825"/>
  <c r="G17" i="12825"/>
  <c r="J17" i="12825"/>
  <c r="M64" i="12823"/>
  <c r="K12" i="12820"/>
  <c r="H101" i="12820"/>
  <c r="E76" i="12820"/>
  <c r="F76" i="12820"/>
  <c r="G76" i="12820"/>
  <c r="M85" i="12821"/>
  <c r="M40" i="12821"/>
  <c r="K18" i="12837"/>
  <c r="F44" i="12824"/>
  <c r="F50" i="12824"/>
  <c r="F40" i="12824"/>
  <c r="F46" i="12824"/>
  <c r="H66" i="12820"/>
  <c r="I94" i="12820"/>
  <c r="J94" i="12820"/>
  <c r="K94" i="12820"/>
  <c r="J45" i="12834"/>
  <c r="H36" i="12821"/>
  <c r="G36" i="12821"/>
  <c r="J36" i="12821"/>
  <c r="J81" i="12821"/>
  <c r="F47" i="12824"/>
  <c r="I119" i="12820"/>
  <c r="J119" i="12820"/>
  <c r="K119" i="12820"/>
  <c r="I14" i="12825"/>
  <c r="G108" i="12821"/>
  <c r="H108" i="12821"/>
  <c r="I108" i="12821"/>
  <c r="L16" i="12822"/>
  <c r="X106" i="12825"/>
  <c r="X105" i="12825"/>
  <c r="U139" i="12825"/>
  <c r="U122" i="12825"/>
  <c r="E88" i="12820"/>
  <c r="F88" i="12820"/>
  <c r="G88" i="12820"/>
  <c r="AA118" i="12833"/>
  <c r="U118" i="12833"/>
  <c r="L22" i="12822"/>
  <c r="E70" i="12820"/>
  <c r="F70" i="12820"/>
  <c r="G70" i="12820"/>
  <c r="J144" i="12827"/>
  <c r="I10" i="12825"/>
  <c r="I73" i="12834"/>
  <c r="K25" i="12834"/>
  <c r="Y15" i="12834"/>
  <c r="F12" i="12822"/>
  <c r="G12" i="12822"/>
  <c r="H12" i="12822"/>
  <c r="G51" i="12821"/>
  <c r="H51" i="12821"/>
  <c r="I51" i="12821"/>
  <c r="K135" i="12820"/>
  <c r="H73" i="12820"/>
  <c r="R36" i="12826"/>
  <c r="M13" i="12825"/>
  <c r="I40" i="12834"/>
  <c r="H25" i="12834"/>
  <c r="H40" i="12834"/>
  <c r="H73" i="12834"/>
  <c r="X172" i="12825"/>
  <c r="K145" i="12820"/>
  <c r="N69" i="12834"/>
  <c r="F20" i="12835"/>
  <c r="F117" i="12820"/>
  <c r="E117" i="12820"/>
  <c r="H117" i="12820"/>
  <c r="H99" i="12820"/>
  <c r="H22" i="12820"/>
  <c r="K12" i="12825"/>
  <c r="G11" i="12825"/>
  <c r="H11" i="12825"/>
  <c r="I11" i="12825"/>
  <c r="T119" i="12823"/>
  <c r="M18" i="12821"/>
  <c r="G36" i="12826"/>
  <c r="J93" i="12821"/>
  <c r="J145" i="12827"/>
  <c r="AC164" i="12825"/>
  <c r="T164" i="12825"/>
  <c r="J18" i="12821"/>
  <c r="G8" i="12825"/>
  <c r="H8" i="12825"/>
  <c r="I8" i="12825"/>
  <c r="O27" i="12837"/>
  <c r="J22" i="12825"/>
  <c r="H75" i="12820"/>
  <c r="Y16" i="12837"/>
  <c r="F15" i="12822"/>
  <c r="G15" i="12822"/>
  <c r="H15" i="12822"/>
  <c r="F39" i="12824"/>
  <c r="F45" i="12824"/>
  <c r="H45" i="12820"/>
  <c r="V61" i="12823"/>
  <c r="T75" i="12823"/>
  <c r="M59" i="12823"/>
  <c r="G28" i="12825"/>
  <c r="H28" i="12825"/>
  <c r="I28" i="12825"/>
  <c r="I29" i="12825"/>
  <c r="J100" i="12821"/>
  <c r="K17" i="12825"/>
  <c r="L17" i="12825"/>
  <c r="M17" i="12825"/>
  <c r="T66" i="12820"/>
  <c r="J42" i="12825"/>
  <c r="X102" i="12825"/>
  <c r="M50" i="12821"/>
  <c r="M51" i="12823"/>
  <c r="T81" i="12823"/>
  <c r="M83" i="12821"/>
  <c r="V116" i="12822"/>
  <c r="H140" i="12820"/>
  <c r="M75" i="12821"/>
  <c r="H10" i="12825"/>
  <c r="G10" i="12825"/>
  <c r="J10" i="12825"/>
  <c r="M33" i="12821"/>
  <c r="E99" i="12820"/>
  <c r="F99" i="12820"/>
  <c r="G99" i="12820"/>
  <c r="E22" i="12820"/>
  <c r="F22" i="12820"/>
  <c r="G22" i="12820"/>
  <c r="M55" i="12821"/>
  <c r="AC98" i="12825"/>
  <c r="W98" i="12825"/>
  <c r="V168" i="12822"/>
  <c r="H69" i="12820"/>
  <c r="I35" i="12821"/>
  <c r="R53" i="12826" a="1"/>
  <c r="J85" i="12827"/>
  <c r="S117" i="12833"/>
  <c r="O117" i="12833"/>
  <c r="AC83" i="12825"/>
  <c r="J43" i="12825"/>
  <c r="G145" i="12827"/>
  <c r="G173" i="12827"/>
  <c r="U27" i="12837"/>
  <c r="X27" i="12837"/>
  <c r="F27" i="12820"/>
  <c r="E27" i="12820"/>
  <c r="H27" i="12820"/>
  <c r="X16" i="12837"/>
  <c r="R55" i="12820"/>
  <c r="H53" i="12834"/>
  <c r="I53" i="12834"/>
  <c r="K16" i="12821"/>
  <c r="L16" i="12821"/>
  <c r="F26" i="12822"/>
  <c r="G26" i="12822"/>
  <c r="H26" i="12822"/>
  <c r="T143" i="12825"/>
  <c r="H63" i="12820"/>
  <c r="H125" i="12827"/>
  <c r="G30" i="12825"/>
  <c r="H30" i="12825"/>
  <c r="I30" i="12825"/>
  <c r="J65" i="12821"/>
  <c r="J69" i="12834"/>
  <c r="G54" i="12821"/>
  <c r="H54" i="12821"/>
  <c r="I54" i="12821"/>
  <c r="K14" i="12825"/>
  <c r="L14" i="12825"/>
  <c r="M14" i="12825"/>
  <c r="I34" i="12834"/>
  <c r="J26" i="12821"/>
  <c r="G58" i="12821"/>
  <c r="H58" i="12821"/>
  <c r="I58" i="12821"/>
  <c r="E125" i="12820"/>
  <c r="F125" i="12820"/>
  <c r="G125" i="12820"/>
  <c r="K51" i="12820"/>
  <c r="M31" i="12821"/>
  <c r="G15" i="12821"/>
  <c r="H15" i="12821"/>
  <c r="I15" i="12821"/>
  <c r="G80" i="12821"/>
  <c r="H80" i="12821"/>
  <c r="I80" i="12821"/>
  <c r="H14" i="12825"/>
  <c r="G14" i="12825"/>
  <c r="J14" i="12825"/>
  <c r="N46" i="12834"/>
  <c r="W171" i="12825"/>
  <c r="X171" i="12825"/>
  <c r="T171" i="12825"/>
  <c r="L15" i="12822"/>
  <c r="M45" i="12821"/>
  <c r="K57" i="12823"/>
  <c r="S119" i="12823"/>
  <c r="J40" i="12825"/>
  <c r="G17" i="12821"/>
  <c r="H17" i="12821"/>
  <c r="I17" i="12821"/>
  <c r="G32" i="12825"/>
  <c r="H32" i="12825"/>
  <c r="I32" i="12825"/>
  <c r="S124" i="12821"/>
  <c r="S109" i="12821"/>
  <c r="W124" i="12821"/>
  <c r="V124" i="12821"/>
  <c r="F41" i="12824"/>
  <c r="F42" i="12824"/>
  <c r="F48" i="12824"/>
  <c r="L64" i="12823"/>
  <c r="E39" i="12820"/>
  <c r="F39" i="12820"/>
  <c r="G39" i="12820"/>
  <c r="S77" i="12823"/>
  <c r="H60" i="12820"/>
  <c r="E60" i="12820"/>
  <c r="F60" i="12820"/>
  <c r="J82" i="12821"/>
  <c r="H47" i="12820"/>
  <c r="H36" i="12820"/>
  <c r="M31" i="12825"/>
  <c r="M21" i="12825"/>
  <c r="J151" i="12827"/>
  <c r="H181" i="12827"/>
  <c r="M36" i="12821"/>
  <c r="H119" i="12820"/>
  <c r="H78" i="12820"/>
  <c r="E78" i="12820"/>
  <c r="F78" i="12820"/>
  <c r="H100" i="12820"/>
  <c r="M100" i="12821"/>
  <c r="Q21" i="12837"/>
  <c r="R21" i="12837"/>
  <c r="P72" i="12826"/>
  <c r="S120" i="12823"/>
  <c r="K65" i="12823"/>
  <c r="K64" i="12823"/>
  <c r="K39" i="12820"/>
  <c r="W116" i="12822"/>
  <c r="S116" i="12822"/>
  <c r="AA179" i="12822"/>
  <c r="J20" i="12822"/>
  <c r="K20" i="12822"/>
  <c r="G83" i="12821"/>
  <c r="H83" i="12821"/>
  <c r="I83" i="12821"/>
  <c r="V11" i="12834"/>
  <c r="M90" i="12821"/>
  <c r="I56" i="12823"/>
  <c r="H91" i="12820"/>
  <c r="T67" i="12820"/>
  <c r="R80" i="12820"/>
  <c r="V115" i="12821"/>
  <c r="T133" i="12821"/>
  <c r="T260" i="12821"/>
  <c r="J11" i="12821"/>
  <c r="G42" i="12834"/>
  <c r="M110" i="12821"/>
  <c r="J33" i="12821"/>
  <c r="G33" i="12821"/>
  <c r="H33" i="12821"/>
  <c r="H72" i="12820"/>
  <c r="K70" i="12820"/>
  <c r="O43" i="12834"/>
  <c r="G66" i="12834"/>
  <c r="K74" i="12820"/>
  <c r="G8" i="12821"/>
  <c r="H8" i="12821"/>
  <c r="I8" i="12821"/>
  <c r="H152" i="12820"/>
  <c r="X164" i="12825"/>
  <c r="W164" i="12825"/>
  <c r="G44" i="12824"/>
  <c r="G50" i="12824"/>
  <c r="M70" i="12821"/>
  <c r="K118" i="12820"/>
  <c r="J98" i="12821"/>
  <c r="G33" i="12824"/>
  <c r="U109" i="12821"/>
  <c r="G45" i="12826"/>
  <c r="R61" i="12826"/>
  <c r="P67" i="12826"/>
  <c r="T120" i="12823"/>
  <c r="M10" i="12835"/>
  <c r="N10" i="12835"/>
  <c r="M63" i="12823"/>
  <c r="J44" i="12821"/>
  <c r="H17" i="12820"/>
  <c r="K110" i="12820"/>
  <c r="E47" i="12820"/>
  <c r="F47" i="12820"/>
  <c r="G47" i="12820"/>
  <c r="E126" i="12820"/>
  <c r="F126" i="12820"/>
  <c r="G126" i="12820"/>
  <c r="W114" i="12825"/>
  <c r="V218" i="12825"/>
  <c r="V104" i="12822"/>
  <c r="G21" i="12821"/>
  <c r="H21" i="12821"/>
  <c r="I21" i="12821"/>
  <c r="N8" i="12835"/>
  <c r="I88" i="12820"/>
  <c r="J88" i="12820"/>
  <c r="M11" i="12821"/>
  <c r="J49" i="12821"/>
  <c r="O8" i="12835"/>
  <c r="G42" i="12825"/>
  <c r="H42" i="12825"/>
  <c r="I42" i="12825"/>
  <c r="H124" i="12820"/>
  <c r="F141" i="12820"/>
  <c r="E141" i="12820"/>
  <c r="H141" i="12820"/>
  <c r="H137" i="12820"/>
  <c r="G141" i="12827"/>
  <c r="G169" i="12827"/>
  <c r="G67" i="12823"/>
  <c r="H67" i="12823"/>
  <c r="K71" i="12834"/>
  <c r="H24" i="12820"/>
  <c r="H175" i="12827"/>
  <c r="W174" i="12825"/>
  <c r="W180" i="12825"/>
  <c r="V219" i="12825"/>
  <c r="J13" i="12834"/>
  <c r="J62" i="12834"/>
  <c r="J66" i="12834"/>
  <c r="K19" i="12820"/>
  <c r="G37" i="12825"/>
  <c r="H37" i="12825"/>
  <c r="I37" i="12825"/>
  <c r="M53" i="12823"/>
  <c r="M38" i="12821"/>
  <c r="J99" i="12827"/>
  <c r="E123" i="12820"/>
  <c r="F123" i="12820"/>
  <c r="G123" i="12820"/>
  <c r="H145" i="12820"/>
  <c r="T125" i="12825"/>
  <c r="X103" i="12825"/>
  <c r="T103" i="12825"/>
  <c r="T142" i="12825"/>
  <c r="J84" i="12827"/>
  <c r="R16" i="12837"/>
  <c r="E36" i="12820"/>
  <c r="F36" i="12820"/>
  <c r="G36" i="12820"/>
  <c r="H138" i="12820"/>
  <c r="W100" i="12825"/>
  <c r="D8" i="12835"/>
  <c r="F8" i="12835"/>
  <c r="G8" i="12835"/>
  <c r="G20" i="12835"/>
  <c r="H20" i="12835"/>
  <c r="H16" i="12834"/>
  <c r="I16" i="12834"/>
  <c r="J112" i="12821"/>
  <c r="J18" i="12834"/>
  <c r="E147" i="12820"/>
  <c r="F147" i="12820"/>
  <c r="G147" i="12820"/>
  <c r="W167" i="12825"/>
  <c r="H102" i="12827"/>
  <c r="I186" i="12827"/>
  <c r="H35" i="12821"/>
  <c r="G35" i="12821"/>
  <c r="J35" i="12821"/>
  <c r="H21" i="12822"/>
  <c r="M107" i="12821"/>
  <c r="H25" i="12822"/>
  <c r="E100" i="12820"/>
  <c r="F100" i="12820"/>
  <c r="G100" i="12820"/>
  <c r="H12" i="12825"/>
  <c r="G12" i="12825"/>
  <c r="J12" i="12825"/>
  <c r="J25" i="12825"/>
  <c r="E101" i="12820"/>
  <c r="F101" i="12820"/>
  <c r="G101" i="12820"/>
  <c r="E137" i="12820"/>
  <c r="F137" i="12820"/>
  <c r="G137" i="12820"/>
  <c r="Y11" i="12834"/>
  <c r="S117" i="12823"/>
  <c r="X175" i="12825"/>
  <c r="H124" i="12827"/>
  <c r="K66" i="12820"/>
  <c r="H15" i="12820"/>
  <c r="R15" i="12837"/>
  <c r="G144" i="12827"/>
  <c r="G172" i="12827"/>
  <c r="N66" i="12834"/>
  <c r="O66" i="12834"/>
  <c r="O15" i="12834"/>
  <c r="H127" i="12820"/>
  <c r="L12" i="12834"/>
  <c r="M12" i="12834"/>
  <c r="M39" i="12825"/>
  <c r="M21" i="12837"/>
  <c r="L11" i="12834"/>
  <c r="M11" i="12834"/>
  <c r="O36" i="12834"/>
  <c r="J71" i="12821"/>
  <c r="F11" i="12835"/>
  <c r="G11" i="12835"/>
  <c r="M43" i="12825"/>
  <c r="Q18" i="12837"/>
  <c r="R18" i="12837"/>
  <c r="G139" i="12827"/>
  <c r="G167" i="12827"/>
  <c r="G107" i="12821"/>
  <c r="H107" i="12821"/>
  <c r="I107" i="12821"/>
  <c r="M23" i="12825"/>
  <c r="E75" i="12820"/>
  <c r="F75" i="12820"/>
  <c r="G75" i="12820"/>
  <c r="N128" i="12833"/>
  <c r="T134" i="12825"/>
  <c r="M16" i="12825"/>
  <c r="O52" i="12834"/>
  <c r="N52" i="12834"/>
  <c r="N60" i="12834"/>
  <c r="M64" i="12821"/>
  <c r="J29" i="12825"/>
  <c r="G29" i="12825"/>
  <c r="H29" i="12825"/>
  <c r="K40" i="12821"/>
  <c r="L40" i="12821"/>
  <c r="M9" i="12821"/>
  <c r="M35" i="12825"/>
  <c r="I53" i="12823"/>
  <c r="O37" i="12826"/>
  <c r="O43" i="12826"/>
  <c r="R54" i="12826" a="1"/>
  <c r="H65" i="12820"/>
  <c r="H148" i="12820"/>
  <c r="H46" i="12834"/>
  <c r="J46" i="12834"/>
  <c r="G13" i="12820"/>
  <c r="G9" i="12835"/>
  <c r="H9" i="12835"/>
  <c r="M68" i="12821"/>
  <c r="G22" i="12825"/>
  <c r="H22" i="12825"/>
  <c r="I22" i="12825"/>
  <c r="F8" i="12820"/>
  <c r="E8" i="12820"/>
  <c r="H8" i="12820"/>
  <c r="M58" i="12823"/>
  <c r="K99" i="12820"/>
  <c r="G44" i="12821"/>
  <c r="H44" i="12821"/>
  <c r="I44" i="12821"/>
  <c r="O40" i="12834"/>
  <c r="K75" i="12820"/>
  <c r="E69" i="12820"/>
  <c r="F69" i="12820"/>
  <c r="G69" i="12820"/>
  <c r="H46" i="12820"/>
  <c r="M94" i="12821"/>
  <c r="H86" i="12820"/>
  <c r="M20" i="12821"/>
  <c r="M25" i="12834"/>
  <c r="E23" i="12820"/>
  <c r="F23" i="12820"/>
  <c r="G23" i="12820"/>
  <c r="M86" i="12821"/>
  <c r="H109" i="12820"/>
  <c r="V107" i="12822"/>
  <c r="Q68" i="12820"/>
  <c r="U68" i="12820"/>
  <c r="T68" i="12820"/>
  <c r="K113" i="12820"/>
  <c r="M63" i="12821"/>
  <c r="F77" i="12820"/>
  <c r="E77" i="12820"/>
  <c r="H77" i="12820"/>
  <c r="L11" i="12822"/>
  <c r="S165" i="12821"/>
  <c r="G53" i="12834"/>
  <c r="L13" i="12822"/>
  <c r="K10" i="12821"/>
  <c r="L10" i="12821"/>
  <c r="K34" i="12821"/>
  <c r="L34" i="12821"/>
  <c r="M34" i="12821"/>
  <c r="R78" i="12820"/>
  <c r="S104" i="12823"/>
  <c r="S118" i="12823"/>
  <c r="S116" i="12833"/>
  <c r="O116" i="12833"/>
  <c r="AB83" i="12825"/>
  <c r="H58" i="12820"/>
  <c r="Y19" i="12837"/>
  <c r="T133" i="12823"/>
  <c r="K30" i="12821"/>
  <c r="L30" i="12821"/>
  <c r="J147" i="12827"/>
  <c r="E46" i="12820"/>
  <c r="F46" i="12820"/>
  <c r="G46" i="12820"/>
  <c r="R37" i="12826"/>
  <c r="P43" i="12826"/>
  <c r="J57" i="12821"/>
  <c r="R59" i="12826"/>
  <c r="P65" i="12826"/>
  <c r="V8" i="12834"/>
  <c r="L19" i="12822"/>
  <c r="M54" i="12821"/>
  <c r="O34" i="12834"/>
  <c r="W95" i="12825"/>
  <c r="H35" i="12820"/>
  <c r="J135" i="12827"/>
  <c r="G135" i="12827"/>
  <c r="G95" i="12827"/>
  <c r="G123" i="12827"/>
  <c r="K146" i="12827"/>
  <c r="H110" i="12820"/>
  <c r="V27" i="12837"/>
  <c r="I147" i="12820"/>
  <c r="J147" i="12820"/>
  <c r="K83" i="12820"/>
  <c r="M47" i="12821"/>
  <c r="G27" i="12837"/>
  <c r="J27" i="12837"/>
  <c r="K15" i="12825"/>
  <c r="L15" i="12825"/>
  <c r="M15" i="12825"/>
  <c r="F9" i="12835"/>
  <c r="K43" i="12826"/>
  <c r="J9" i="12825"/>
  <c r="T160" i="12825"/>
  <c r="M104" i="12821"/>
  <c r="H142" i="12820"/>
  <c r="G98" i="12821"/>
  <c r="H98" i="12821"/>
  <c r="I98" i="12821"/>
  <c r="L52" i="12834"/>
  <c r="L60" i="12834"/>
  <c r="M60" i="12834"/>
  <c r="J141" i="12827"/>
  <c r="H169" i="12827"/>
  <c r="J36" i="12834"/>
  <c r="F17" i="12822"/>
  <c r="G17" i="12822"/>
  <c r="H17" i="12822"/>
  <c r="X21" i="12837"/>
  <c r="Y21" i="12837"/>
  <c r="K127" i="12820"/>
  <c r="J106" i="12821"/>
  <c r="E15" i="12820"/>
  <c r="F15" i="12820"/>
  <c r="G15" i="12820"/>
  <c r="K38" i="12820"/>
  <c r="H165" i="12827"/>
  <c r="J52" i="12821"/>
  <c r="K61" i="12823"/>
  <c r="L61" i="12823"/>
  <c r="M61" i="12823"/>
  <c r="K103" i="12821"/>
  <c r="L103" i="12821"/>
  <c r="M103" i="12821"/>
  <c r="I66" i="12823"/>
  <c r="W97" i="12825"/>
  <c r="G29" i="12824"/>
  <c r="G35" i="12824"/>
  <c r="I37" i="12820"/>
  <c r="J37" i="12820"/>
  <c r="X110" i="12825"/>
  <c r="E148" i="12820"/>
  <c r="F148" i="12820"/>
  <c r="G148" i="12820"/>
  <c r="G62" i="12821"/>
  <c r="H62" i="12821"/>
  <c r="I62" i="12821"/>
  <c r="H28" i="12820"/>
  <c r="G66" i="12823"/>
  <c r="H66" i="12823"/>
  <c r="G106" i="12827"/>
  <c r="G85" i="12827"/>
  <c r="G104" i="12827"/>
  <c r="K136" i="12827"/>
  <c r="V102" i="12823"/>
  <c r="T116" i="12823"/>
  <c r="E86" i="12820"/>
  <c r="F86" i="12820"/>
  <c r="G86" i="12820"/>
  <c r="H119" i="12827"/>
  <c r="G11" i="12834"/>
  <c r="H17" i="12837"/>
  <c r="G17" i="12837"/>
  <c r="J17" i="12837"/>
  <c r="K17" i="12837"/>
  <c r="J13" i="12825"/>
  <c r="Q20" i="12837"/>
  <c r="G45" i="12821"/>
  <c r="H45" i="12821"/>
  <c r="I45" i="12821"/>
  <c r="K148" i="12820"/>
  <c r="H42" i="12820"/>
  <c r="E36" i="12826"/>
  <c r="F36" i="12826"/>
  <c r="K21" i="12820"/>
  <c r="I114" i="12820"/>
  <c r="J114" i="12820"/>
  <c r="K114" i="12820"/>
  <c r="H117" i="12827"/>
  <c r="J53" i="12821"/>
  <c r="X98" i="12825"/>
  <c r="T98" i="12825"/>
  <c r="F30" i="12824"/>
  <c r="F36" i="12824"/>
  <c r="N43" i="12834"/>
  <c r="I62" i="12820"/>
  <c r="J62" i="12820"/>
  <c r="J83" i="12827"/>
  <c r="J139" i="12827"/>
  <c r="H167" i="12827"/>
  <c r="K66" i="12823"/>
  <c r="L66" i="12823"/>
  <c r="J30" i="12821"/>
  <c r="M69" i="12821"/>
  <c r="M91" i="12821"/>
  <c r="M58" i="12821"/>
  <c r="K10" i="12820"/>
  <c r="I58" i="12820"/>
  <c r="J58" i="12820"/>
  <c r="G166" i="12827"/>
  <c r="E91" i="12820"/>
  <c r="F91" i="12820"/>
  <c r="G91" i="12820"/>
  <c r="K110" i="12821"/>
  <c r="L110" i="12821"/>
  <c r="G53" i="12821"/>
  <c r="H53" i="12821"/>
  <c r="I53" i="12821"/>
  <c r="L45" i="12834"/>
  <c r="F21" i="12822"/>
  <c r="G21" i="12822"/>
  <c r="E28" i="12820"/>
  <c r="F28" i="12820"/>
  <c r="G28" i="12820"/>
  <c r="W121" i="12821"/>
  <c r="R34" i="12826"/>
  <c r="P40" i="12826"/>
  <c r="O36" i="12826"/>
  <c r="O42" i="12826"/>
  <c r="K62" i="12821"/>
  <c r="L62" i="12821"/>
  <c r="M62" i="12821"/>
  <c r="G29" i="12821"/>
  <c r="H29" i="12821"/>
  <c r="I29" i="12821"/>
  <c r="K38" i="12821"/>
  <c r="L38" i="12821"/>
  <c r="V62" i="12823"/>
  <c r="T76" i="12823"/>
  <c r="I143" i="12820"/>
  <c r="J143" i="12820"/>
  <c r="K143" i="12820"/>
  <c r="Y8" i="12834"/>
  <c r="G57" i="12821"/>
  <c r="H57" i="12821"/>
  <c r="I57" i="12821"/>
  <c r="K96" i="12820"/>
  <c r="G114" i="12820"/>
  <c r="J99" i="12821"/>
  <c r="E110" i="12820"/>
  <c r="F110" i="12820"/>
  <c r="G110" i="12820"/>
  <c r="I11" i="12835"/>
  <c r="K11" i="12835"/>
  <c r="S78" i="12823"/>
  <c r="X105" i="12823"/>
  <c r="E50" i="12820"/>
  <c r="F50" i="12820"/>
  <c r="G50" i="12820"/>
  <c r="O68" i="12834"/>
  <c r="N71" i="12834"/>
  <c r="D9" i="12835"/>
  <c r="I9" i="12835"/>
  <c r="K9" i="12835"/>
  <c r="L28" i="12822"/>
  <c r="G19" i="12825"/>
  <c r="H19" i="12825"/>
  <c r="I19" i="12825"/>
  <c r="V115" i="12822"/>
  <c r="G147" i="12827"/>
  <c r="G175" i="12827"/>
  <c r="G84" i="12827"/>
  <c r="G103" i="12827"/>
  <c r="K135" i="12827"/>
  <c r="E152" i="12820"/>
  <c r="F152" i="12820"/>
  <c r="G152" i="12820"/>
  <c r="W163" i="12825"/>
  <c r="L17" i="12822"/>
  <c r="J15" i="12822"/>
  <c r="K15" i="12822"/>
  <c r="I52" i="12823"/>
  <c r="G61" i="12823"/>
  <c r="H61" i="12823"/>
  <c r="H19" i="12822"/>
  <c r="J73" i="12821"/>
  <c r="E19" i="12820"/>
  <c r="F19" i="12820"/>
  <c r="G19" i="12820"/>
  <c r="J34" i="12821"/>
  <c r="K9" i="12820"/>
  <c r="K108" i="12820"/>
  <c r="E124" i="12820"/>
  <c r="F124" i="12820"/>
  <c r="G124" i="12820"/>
  <c r="E92" i="12820"/>
  <c r="F92" i="12820"/>
  <c r="G92" i="12820"/>
  <c r="K16" i="12825"/>
  <c r="L16" i="12825"/>
  <c r="K115" i="12820"/>
  <c r="O9" i="12835"/>
  <c r="P9" i="12835"/>
  <c r="M42" i="12825"/>
  <c r="E53" i="12820"/>
  <c r="F53" i="12820"/>
  <c r="G53" i="12820"/>
  <c r="K28" i="12820"/>
  <c r="E20" i="12820"/>
  <c r="F20" i="12820"/>
  <c r="G20" i="12820"/>
  <c r="S118" i="12822"/>
  <c r="X167" i="12822"/>
  <c r="J40" i="12834"/>
  <c r="I43" i="12826"/>
  <c r="J43" i="12826"/>
  <c r="N21" i="12837"/>
  <c r="I64" i="12823"/>
  <c r="J18" i="12822"/>
  <c r="K18" i="12822"/>
  <c r="M29" i="12825"/>
  <c r="K100" i="12821"/>
  <c r="L100" i="12821"/>
  <c r="I63" i="12823"/>
  <c r="H115" i="12827"/>
  <c r="G34" i="12821"/>
  <c r="H34" i="12821"/>
  <c r="I34" i="12821"/>
  <c r="T80" i="12823"/>
  <c r="T162" i="12825"/>
  <c r="P66" i="12826"/>
  <c r="X88" i="12825"/>
  <c r="I35" i="12834"/>
  <c r="I90" i="12821"/>
  <c r="I33" i="12820"/>
  <c r="J33" i="12820"/>
  <c r="T94" i="12825"/>
  <c r="F26" i="12824"/>
  <c r="F32" i="12824"/>
  <c r="V105" i="12823"/>
  <c r="I118" i="12820"/>
  <c r="J118" i="12820"/>
  <c r="M71" i="12821"/>
  <c r="H87" i="12821"/>
  <c r="G87" i="12821"/>
  <c r="J87" i="12821"/>
  <c r="V110" i="12823"/>
  <c r="M28" i="12821"/>
  <c r="I23" i="12825"/>
  <c r="I100" i="12820"/>
  <c r="J100" i="12820"/>
  <c r="K100" i="12820"/>
  <c r="X160" i="12825"/>
  <c r="W160" i="12825"/>
  <c r="G40" i="12824"/>
  <c r="G46" i="12824"/>
  <c r="I9" i="12820"/>
  <c r="J9" i="12820"/>
  <c r="E122" i="12820"/>
  <c r="F122" i="12820"/>
  <c r="G122" i="12820"/>
  <c r="H27" i="12837"/>
  <c r="I24" i="12820"/>
  <c r="J24" i="12820"/>
  <c r="J150" i="12827"/>
  <c r="J97" i="12827"/>
  <c r="S110" i="12823"/>
  <c r="S124" i="12823"/>
  <c r="R51" i="12826" a="1"/>
  <c r="V21" i="12837"/>
  <c r="U21" i="12837"/>
  <c r="H121" i="12820"/>
  <c r="J110" i="12821"/>
  <c r="S102" i="12823"/>
  <c r="S116" i="12823"/>
  <c r="H114" i="12820"/>
  <c r="E114" i="12820"/>
  <c r="F114" i="12820"/>
  <c r="J68" i="12834"/>
  <c r="G71" i="12834"/>
  <c r="I65" i="12823"/>
  <c r="H182" i="12827"/>
  <c r="Q55" i="12820"/>
  <c r="V95" i="12823"/>
  <c r="O11" i="12834"/>
  <c r="X11" i="12834"/>
  <c r="U107" i="12821"/>
  <c r="X15" i="12834"/>
  <c r="J27" i="12821"/>
  <c r="P41" i="12826"/>
  <c r="X19" i="12837"/>
  <c r="H95" i="12820"/>
  <c r="R35" i="12826"/>
  <c r="O35" i="12826"/>
  <c r="K117" i="12820"/>
  <c r="K52" i="12821"/>
  <c r="L52" i="12821"/>
  <c r="K38" i="12825"/>
  <c r="L38" i="12825"/>
  <c r="J101" i="12827"/>
  <c r="H131" i="12827"/>
  <c r="E145" i="12820"/>
  <c r="F145" i="12820"/>
  <c r="G145" i="12820"/>
  <c r="K40" i="12820"/>
  <c r="K50" i="12821"/>
  <c r="L50" i="12821"/>
  <c r="U184" i="12821"/>
  <c r="O35" i="12834"/>
  <c r="G102" i="12821"/>
  <c r="H102" i="12821"/>
  <c r="I102" i="12821"/>
  <c r="G27" i="12821"/>
  <c r="H27" i="12821"/>
  <c r="I27" i="12821"/>
  <c r="U184" i="12821" a="1"/>
  <c r="K109" i="12820"/>
  <c r="X97" i="12825"/>
  <c r="T97" i="12825"/>
  <c r="F29" i="12824"/>
  <c r="F35" i="12824"/>
  <c r="G138" i="12827"/>
  <c r="K11" i="12825"/>
  <c r="L11" i="12825"/>
  <c r="K123" i="12820"/>
  <c r="H90" i="12820"/>
  <c r="O56" i="12834"/>
  <c r="M105" i="12821"/>
  <c r="E153" i="12820"/>
  <c r="F153" i="12820"/>
  <c r="G153" i="12820"/>
  <c r="X94" i="12825"/>
  <c r="W94" i="12825"/>
  <c r="G26" i="12824"/>
  <c r="G32" i="12824"/>
  <c r="J33" i="12834"/>
  <c r="J15" i="12834"/>
  <c r="J19" i="12834"/>
  <c r="Y14" i="12834"/>
  <c r="J100" i="12827"/>
  <c r="J90" i="12821"/>
  <c r="G90" i="12821"/>
  <c r="H90" i="12821"/>
  <c r="F13" i="12820"/>
  <c r="E13" i="12820"/>
  <c r="H13" i="12820"/>
  <c r="I139" i="12820"/>
  <c r="J139" i="12820"/>
  <c r="K139" i="12820"/>
  <c r="M11" i="12835"/>
  <c r="N11" i="12835"/>
  <c r="I66" i="12820"/>
  <c r="J66" i="12820"/>
  <c r="M26" i="12821"/>
  <c r="K126" i="12820"/>
  <c r="H133" i="12820"/>
  <c r="M48" i="12821"/>
  <c r="Q19" i="12837"/>
  <c r="K102" i="12820"/>
  <c r="M21" i="12821"/>
  <c r="J22" i="12821"/>
  <c r="G84" i="12821"/>
  <c r="H84" i="12821"/>
  <c r="I84" i="12821"/>
  <c r="I145" i="12820"/>
  <c r="J145" i="12820"/>
  <c r="K18" i="12820"/>
  <c r="K58" i="12823"/>
  <c r="L58" i="12823"/>
  <c r="H97" i="12820"/>
  <c r="I40" i="12826"/>
  <c r="J40" i="12826"/>
  <c r="G93" i="12821"/>
  <c r="H93" i="12821"/>
  <c r="I93" i="12821"/>
  <c r="U158" i="12822"/>
  <c r="T123" i="12823"/>
  <c r="E43" i="12820"/>
  <c r="F43" i="12820"/>
  <c r="G43" i="12820"/>
  <c r="G16" i="12821"/>
  <c r="H16" i="12821"/>
  <c r="I16" i="12821"/>
  <c r="K75" i="12821"/>
  <c r="L75" i="12821"/>
  <c r="J44" i="12834"/>
  <c r="I111" i="12820"/>
  <c r="J111" i="12820"/>
  <c r="K141" i="12820"/>
  <c r="K85" i="12827"/>
  <c r="K95" i="12827"/>
  <c r="K84" i="12827"/>
  <c r="I10" i="12835"/>
  <c r="M92" i="12821"/>
  <c r="K38" i="12826"/>
  <c r="G171" i="12827"/>
  <c r="K107" i="12821"/>
  <c r="L107" i="12821"/>
  <c r="J148" i="12827"/>
  <c r="I137" i="12820"/>
  <c r="J137" i="12820"/>
  <c r="J26" i="12825"/>
  <c r="H10" i="12820"/>
  <c r="J52" i="12834"/>
  <c r="J60" i="12834"/>
  <c r="E48" i="12820"/>
  <c r="F48" i="12820"/>
  <c r="G48" i="12820"/>
  <c r="T42" i="12820"/>
  <c r="K21" i="12821"/>
  <c r="L21" i="12821"/>
  <c r="N35" i="12834"/>
  <c r="N9" i="12834"/>
  <c r="O9" i="12834"/>
  <c r="X9" i="12834"/>
  <c r="K40" i="12834"/>
  <c r="K42" i="12820"/>
  <c r="O45" i="12834"/>
  <c r="N45" i="12834"/>
  <c r="N11" i="12834"/>
  <c r="G23" i="12837"/>
  <c r="M23" i="12837"/>
  <c r="E140" i="12820"/>
  <c r="F140" i="12820"/>
  <c r="G140" i="12820"/>
  <c r="K15" i="12820"/>
  <c r="E96" i="12820"/>
  <c r="F96" i="12820"/>
  <c r="G96" i="12820"/>
  <c r="P20" i="12835"/>
  <c r="K125" i="12820"/>
  <c r="Y9" i="12834"/>
  <c r="M14" i="12837"/>
  <c r="M27" i="12837"/>
  <c r="O59" i="12826"/>
  <c r="O65" i="12826"/>
  <c r="J91" i="12827"/>
  <c r="W96" i="12825"/>
  <c r="G27" i="12824"/>
  <c r="G28" i="12824"/>
  <c r="G34" i="12824"/>
  <c r="M46" i="12821"/>
  <c r="K25" i="12825"/>
  <c r="L25" i="12825"/>
  <c r="M25" i="12825"/>
  <c r="K147" i="12827"/>
  <c r="V106" i="12823"/>
  <c r="E138" i="12820"/>
  <c r="F138" i="12820"/>
  <c r="G138" i="12820"/>
  <c r="K29" i="12825"/>
  <c r="L29" i="12825"/>
  <c r="K76" i="12820"/>
  <c r="U131" i="12825"/>
  <c r="G63" i="12823"/>
  <c r="H63" i="12823"/>
  <c r="M8" i="12821"/>
  <c r="J87" i="12827"/>
  <c r="K19" i="12825"/>
  <c r="L19" i="12825"/>
  <c r="M34" i="12825"/>
  <c r="G41" i="12826"/>
  <c r="K144" i="12827"/>
  <c r="X95" i="12825"/>
  <c r="T95" i="12825"/>
  <c r="T117" i="12825"/>
  <c r="Y161" i="12825"/>
  <c r="I141" i="12820"/>
  <c r="J141" i="12820"/>
  <c r="G25" i="12825"/>
  <c r="H25" i="12825"/>
  <c r="I25" i="12825"/>
  <c r="W107" i="12822"/>
  <c r="S107" i="12822"/>
  <c r="S121" i="12822"/>
  <c r="X170" i="12822"/>
  <c r="G71" i="12821"/>
  <c r="H71" i="12821"/>
  <c r="I71" i="12821"/>
  <c r="G143" i="12827"/>
  <c r="H8" i="12834"/>
  <c r="I8" i="12834"/>
  <c r="I108" i="12820"/>
  <c r="J108" i="12820"/>
  <c r="R22" i="12837"/>
  <c r="X24" i="12837"/>
  <c r="Y24" i="12837"/>
  <c r="K21" i="12825"/>
  <c r="L21" i="12825"/>
  <c r="H68" i="12834"/>
  <c r="H71" i="12834"/>
  <c r="I71" i="12834"/>
  <c r="K31" i="12821"/>
  <c r="L31" i="12821"/>
  <c r="H26" i="12820"/>
  <c r="K112" i="12820"/>
  <c r="F23" i="12822"/>
  <c r="G23" i="12822"/>
  <c r="K138" i="12820"/>
  <c r="J43" i="12834"/>
  <c r="W108" i="12822"/>
  <c r="I50" i="12823"/>
  <c r="I38" i="12826"/>
  <c r="J38" i="12826"/>
  <c r="H12" i="12834"/>
  <c r="I12" i="12834"/>
  <c r="K106" i="12821"/>
  <c r="L106" i="12821"/>
  <c r="F33" i="12824"/>
  <c r="H10" i="12822"/>
  <c r="K77" i="12820"/>
  <c r="I15" i="12820"/>
  <c r="J15" i="12820"/>
  <c r="J27" i="12822"/>
  <c r="K27" i="12822"/>
  <c r="Q128" i="12833"/>
  <c r="E45" i="12826"/>
  <c r="F45" i="12826"/>
  <c r="K84" i="12820"/>
  <c r="G18" i="12821"/>
  <c r="H18" i="12821"/>
  <c r="I18" i="12821"/>
  <c r="K36" i="12826"/>
  <c r="AB115" i="12833"/>
  <c r="X115" i="12833"/>
  <c r="AA149" i="12825"/>
  <c r="I135" i="12820"/>
  <c r="J135" i="12820"/>
  <c r="K31" i="12825"/>
  <c r="L31" i="12825"/>
  <c r="N19" i="12837"/>
  <c r="K35" i="12825"/>
  <c r="L35" i="12825"/>
  <c r="U108" i="12821"/>
  <c r="J18" i="12825"/>
  <c r="I39" i="12826"/>
  <c r="J39" i="12826"/>
  <c r="K39" i="12826"/>
  <c r="M18" i="12837"/>
  <c r="K8" i="12820"/>
  <c r="M8" i="12835"/>
  <c r="M20" i="12835"/>
  <c r="N20" i="12835"/>
  <c r="K41" i="12825"/>
  <c r="L41" i="12825"/>
  <c r="I17" i="12820"/>
  <c r="J17" i="12820"/>
  <c r="K17" i="12820"/>
  <c r="E43" i="12826"/>
  <c r="F43" i="12826"/>
  <c r="H43" i="12834"/>
  <c r="I43" i="12834"/>
  <c r="G52" i="12821"/>
  <c r="H52" i="12821"/>
  <c r="I52" i="12821"/>
  <c r="Y152" i="12825"/>
  <c r="E37" i="12820"/>
  <c r="F37" i="12820"/>
  <c r="G37" i="12820"/>
  <c r="E24" i="12820"/>
  <c r="F24" i="12820"/>
  <c r="G24" i="12820"/>
  <c r="I123" i="12820"/>
  <c r="J123" i="12820"/>
  <c r="G133" i="12827"/>
  <c r="H44" i="12820"/>
  <c r="T96" i="12825"/>
  <c r="F27" i="12824"/>
  <c r="F28" i="12824"/>
  <c r="F34" i="12824"/>
  <c r="M50" i="12823"/>
  <c r="H118" i="12827"/>
  <c r="T123" i="12825"/>
  <c r="Y167" i="12825"/>
  <c r="K32" i="12821"/>
  <c r="L32" i="12821"/>
  <c r="T101" i="12825"/>
  <c r="G31" i="12825"/>
  <c r="H31" i="12825"/>
  <c r="I31" i="12825"/>
  <c r="U185" i="12821" a="1"/>
  <c r="S185" i="12821"/>
  <c r="L46" i="12834"/>
  <c r="L18" i="12834"/>
  <c r="M18" i="12834"/>
  <c r="E42" i="12820"/>
  <c r="F42" i="12820"/>
  <c r="G42" i="12820"/>
  <c r="S115" i="12833"/>
  <c r="O115" i="12833"/>
  <c r="AA83" i="12825"/>
  <c r="W115" i="12822"/>
  <c r="S115" i="12822"/>
  <c r="AA178" i="12822"/>
  <c r="F18" i="12822"/>
  <c r="G18" i="12822"/>
  <c r="H18" i="12822"/>
  <c r="K124" i="12820"/>
  <c r="K44" i="12825"/>
  <c r="L44" i="12825"/>
  <c r="X155" i="12825"/>
  <c r="G18" i="12834"/>
  <c r="H23" i="12837"/>
  <c r="K37" i="12825"/>
  <c r="L37" i="12825"/>
  <c r="M37" i="12825"/>
  <c r="M34" i="12834"/>
  <c r="L8" i="12834"/>
  <c r="AB15" i="12834"/>
  <c r="V15" i="12834"/>
  <c r="T82" i="12823"/>
  <c r="F74" i="12820"/>
  <c r="E74" i="12820"/>
  <c r="H74" i="12820"/>
  <c r="H54" i="12834"/>
  <c r="I54" i="12834"/>
  <c r="K52" i="12823"/>
  <c r="L52" i="12823"/>
  <c r="L68" i="12834"/>
  <c r="L71" i="12834"/>
  <c r="M71" i="12834"/>
  <c r="H69" i="12834"/>
  <c r="H17" i="12834"/>
  <c r="I17" i="12834"/>
  <c r="K56" i="12823"/>
  <c r="L56" i="12823"/>
  <c r="K51" i="12823"/>
  <c r="L51" i="12823"/>
  <c r="G26" i="12821"/>
  <c r="H26" i="12821"/>
  <c r="I26" i="12821"/>
  <c r="K92" i="12821"/>
  <c r="L92" i="12821"/>
  <c r="G18" i="12837"/>
  <c r="J18" i="12837"/>
  <c r="H93" i="12820"/>
  <c r="K50" i="12820"/>
  <c r="G109" i="12821"/>
  <c r="H109" i="12821"/>
  <c r="I109" i="12821"/>
  <c r="I126" i="12820"/>
  <c r="J126" i="12820"/>
  <c r="H84" i="12820"/>
  <c r="H122" i="12827"/>
  <c r="K64" i="12821"/>
  <c r="L64" i="12821"/>
  <c r="I109" i="12820"/>
  <c r="J109" i="12820"/>
  <c r="G9" i="12821"/>
  <c r="H9" i="12821"/>
  <c r="I9" i="12821"/>
  <c r="H52" i="12820"/>
  <c r="M10" i="12825"/>
  <c r="M111" i="12821"/>
  <c r="T65" i="12820"/>
  <c r="G38" i="12825"/>
  <c r="H38" i="12825"/>
  <c r="I38" i="12825"/>
  <c r="G94" i="12821"/>
  <c r="H94" i="12821"/>
  <c r="I94" i="12821"/>
  <c r="L34" i="12834"/>
  <c r="J14" i="12821"/>
  <c r="K83" i="12821"/>
  <c r="L83" i="12821"/>
  <c r="J96" i="12827"/>
  <c r="E26" i="12820"/>
  <c r="F26" i="12820"/>
  <c r="G26" i="12820"/>
  <c r="K23" i="12820"/>
  <c r="K71" i="12821"/>
  <c r="L71" i="12821"/>
  <c r="K27" i="12825"/>
  <c r="L27" i="12825"/>
  <c r="G99" i="12821"/>
  <c r="H99" i="12821"/>
  <c r="I99" i="12821"/>
  <c r="J10" i="12822"/>
  <c r="K10" i="12822"/>
  <c r="H83" i="12820"/>
  <c r="G11" i="12821"/>
  <c r="H11" i="12821"/>
  <c r="I11" i="12821"/>
  <c r="F11" i="12822"/>
  <c r="G11" i="12822"/>
  <c r="H11" i="12822"/>
  <c r="E10" i="12820"/>
  <c r="F10" i="12820"/>
  <c r="G10" i="12820"/>
  <c r="H68" i="12820"/>
  <c r="S129" i="12822"/>
  <c r="G44" i="12834"/>
  <c r="H44" i="12834"/>
  <c r="I44" i="12834"/>
  <c r="J9" i="12835"/>
  <c r="L9" i="12835"/>
  <c r="Q125" i="12833"/>
  <c r="S50" i="12823"/>
  <c r="I102" i="12820"/>
  <c r="J102" i="12820"/>
  <c r="T115" i="12823"/>
  <c r="M22" i="12837"/>
  <c r="U109" i="12821" a="1"/>
  <c r="Y20" i="12837"/>
  <c r="V19" i="12837"/>
  <c r="U19" i="12837"/>
  <c r="I14" i="12820"/>
  <c r="J14" i="12820"/>
  <c r="L25" i="12834"/>
  <c r="R25" i="12834"/>
  <c r="R26" i="12834"/>
  <c r="K44" i="12820"/>
  <c r="K26" i="12820"/>
  <c r="K34" i="12825"/>
  <c r="L34" i="12825"/>
  <c r="M35" i="12821"/>
  <c r="K26" i="12821"/>
  <c r="L26" i="12821"/>
  <c r="AB8" i="12834"/>
  <c r="AC128" i="12833"/>
  <c r="H24" i="12822"/>
  <c r="E52" i="12820"/>
  <c r="F52" i="12820"/>
  <c r="G52" i="12820"/>
  <c r="K10" i="12825"/>
  <c r="L10" i="12825"/>
  <c r="I12" i="12820"/>
  <c r="J12" i="12820"/>
  <c r="H116" i="12827"/>
  <c r="K141" i="12827"/>
  <c r="K63" i="12823"/>
  <c r="L63" i="12823"/>
  <c r="I151" i="12820"/>
  <c r="J151" i="12820"/>
  <c r="K151" i="12820"/>
  <c r="U24" i="12837"/>
  <c r="I92" i="12820"/>
  <c r="J92" i="12820"/>
  <c r="K92" i="12820"/>
  <c r="J10" i="12821"/>
  <c r="K54" i="12821"/>
  <c r="L54" i="12821"/>
  <c r="I42" i="12820"/>
  <c r="J42" i="12820"/>
  <c r="V108" i="12823"/>
  <c r="T122" i="12823"/>
  <c r="K35" i="12820"/>
  <c r="T77" i="12823"/>
  <c r="K27" i="12820"/>
  <c r="J45" i="12825"/>
  <c r="P63" i="12826"/>
  <c r="Y22" i="12837"/>
  <c r="I34" i="12820"/>
  <c r="J34" i="12820"/>
  <c r="H28" i="12822"/>
  <c r="J89" i="12827"/>
  <c r="K14" i="12821"/>
  <c r="L14" i="12821"/>
  <c r="M14" i="12821"/>
  <c r="J11" i="12822"/>
  <c r="K11" i="12822"/>
  <c r="M22" i="12825"/>
  <c r="E41" i="12826"/>
  <c r="F41" i="12826"/>
  <c r="G39" i="12825"/>
  <c r="H39" i="12825"/>
  <c r="I39" i="12825"/>
  <c r="I97" i="12820"/>
  <c r="J97" i="12820"/>
  <c r="K97" i="12820"/>
  <c r="E119" i="12820"/>
  <c r="F119" i="12820"/>
  <c r="G119" i="12820"/>
  <c r="X163" i="12825"/>
  <c r="T163" i="12825"/>
  <c r="F43" i="12824"/>
  <c r="F49" i="12824"/>
  <c r="T153" i="12825"/>
  <c r="H114" i="12827"/>
  <c r="E72" i="12820"/>
  <c r="F72" i="12820"/>
  <c r="G72" i="12820"/>
  <c r="H118" i="12820"/>
  <c r="I22" i="12820"/>
  <c r="J22" i="12820"/>
  <c r="K22" i="12820"/>
  <c r="N73" i="12834"/>
  <c r="O73" i="12834"/>
  <c r="E65" i="12820"/>
  <c r="F65" i="12820"/>
  <c r="G65" i="12820"/>
  <c r="J48" i="12821"/>
  <c r="I74" i="12820"/>
  <c r="J74" i="12820"/>
  <c r="V64" i="12823"/>
  <c r="T78" i="12823"/>
  <c r="L24" i="12822"/>
  <c r="G88" i="12821"/>
  <c r="H88" i="12821"/>
  <c r="I88" i="12821"/>
  <c r="K145" i="12827"/>
  <c r="V67" i="12823"/>
  <c r="W62" i="12823"/>
  <c r="K65" i="12820"/>
  <c r="G59" i="12823"/>
  <c r="H59" i="12823"/>
  <c r="K41" i="12826"/>
  <c r="E63" i="12820"/>
  <c r="F63" i="12820"/>
  <c r="G63" i="12820"/>
  <c r="K12" i="12821"/>
  <c r="L12" i="12821"/>
  <c r="M12" i="12821"/>
  <c r="S61" i="12826"/>
  <c r="S37" i="12826"/>
  <c r="G55" i="12823"/>
  <c r="H55" i="12823"/>
  <c r="I54" i="12823"/>
  <c r="H51" i="12820"/>
  <c r="J28" i="12822"/>
  <c r="K28" i="12822"/>
  <c r="K105" i="12821"/>
  <c r="L105" i="12821"/>
  <c r="T83" i="12823"/>
  <c r="K20" i="12820"/>
  <c r="G43" i="12825"/>
  <c r="H43" i="12825"/>
  <c r="I43" i="12825"/>
  <c r="K99" i="12821"/>
  <c r="L99" i="12821"/>
  <c r="M99" i="12821"/>
  <c r="H120" i="12827"/>
  <c r="S96" i="12822"/>
  <c r="G54" i="12824"/>
  <c r="G13" i="12834"/>
  <c r="H19" i="12837"/>
  <c r="Y13" i="12834"/>
  <c r="K13" i="12834"/>
  <c r="O19" i="12837"/>
  <c r="J142" i="12827"/>
  <c r="H170" i="12827"/>
  <c r="W104" i="12825"/>
  <c r="H36" i="12834"/>
  <c r="H10" i="12834"/>
  <c r="I10" i="12834"/>
  <c r="M36" i="12825"/>
  <c r="R60" i="12826"/>
  <c r="Q79" i="12820"/>
  <c r="K34" i="12826"/>
  <c r="K76" i="12821"/>
  <c r="L76" i="12821"/>
  <c r="M76" i="12821"/>
  <c r="I35" i="12820"/>
  <c r="J35" i="12820"/>
  <c r="E51" i="12820"/>
  <c r="F51" i="12820"/>
  <c r="G51" i="12820"/>
  <c r="I69" i="12820"/>
  <c r="J69" i="12820"/>
  <c r="W93" i="12825"/>
  <c r="V105" i="12822"/>
  <c r="AB14" i="12834"/>
  <c r="V14" i="12834"/>
  <c r="W102" i="12823"/>
  <c r="K9" i="12821"/>
  <c r="L9" i="12821"/>
  <c r="G9" i="12825"/>
  <c r="H9" i="12825"/>
  <c r="I9" i="12825"/>
  <c r="V16" i="12837"/>
  <c r="U16" i="12837"/>
  <c r="G45" i="12825"/>
  <c r="H45" i="12825"/>
  <c r="I45" i="12825"/>
  <c r="K54" i="12823"/>
  <c r="L54" i="12823"/>
  <c r="M54" i="12823"/>
  <c r="L43" i="12834"/>
  <c r="M43" i="12834"/>
  <c r="E64" i="12820"/>
  <c r="F64" i="12820"/>
  <c r="G64" i="12820"/>
  <c r="G55" i="12824"/>
  <c r="G30" i="12821"/>
  <c r="H30" i="12821"/>
  <c r="I30" i="12821"/>
  <c r="G81" i="12821"/>
  <c r="H81" i="12821"/>
  <c r="I81" i="12821"/>
  <c r="K17" i="12821"/>
  <c r="L17" i="12821"/>
  <c r="M17" i="12821"/>
  <c r="S60" i="12826"/>
  <c r="O60" i="12826"/>
  <c r="O66" i="12826"/>
  <c r="K46" i="12821"/>
  <c r="L46" i="12821"/>
  <c r="K55" i="12823"/>
  <c r="L55" i="12823"/>
  <c r="M55" i="12823"/>
  <c r="X14" i="12834"/>
  <c r="M66" i="12821"/>
  <c r="I42" i="12826"/>
  <c r="J42" i="12826"/>
  <c r="K42" i="12826"/>
  <c r="K102" i="12821"/>
  <c r="L102" i="12821"/>
  <c r="E40" i="12826"/>
  <c r="F40" i="12826"/>
  <c r="G40" i="12826"/>
  <c r="G65" i="12823"/>
  <c r="H65" i="12823"/>
  <c r="L44" i="12834"/>
  <c r="M44" i="12834"/>
  <c r="J19" i="12822"/>
  <c r="K19" i="12822"/>
  <c r="I93" i="12820"/>
  <c r="J93" i="12820"/>
  <c r="J67" i="12821"/>
  <c r="I84" i="12820"/>
  <c r="J84" i="12820"/>
  <c r="N55" i="12834"/>
  <c r="O55" i="12834"/>
  <c r="K39" i="12825"/>
  <c r="L39" i="12825"/>
  <c r="E118" i="12820"/>
  <c r="F118" i="12820"/>
  <c r="G118" i="12820"/>
  <c r="K104" i="12821"/>
  <c r="L104" i="12821"/>
  <c r="E112" i="12820"/>
  <c r="F112" i="12820"/>
  <c r="G112" i="12820"/>
  <c r="I138" i="12820"/>
  <c r="J138" i="12820"/>
  <c r="I133" i="12820"/>
  <c r="J133" i="12820"/>
  <c r="K133" i="12820"/>
  <c r="E44" i="12820"/>
  <c r="F44" i="12820"/>
  <c r="G44" i="12820"/>
  <c r="AA128" i="12833"/>
  <c r="M51" i="12821"/>
  <c r="W108" i="12825"/>
  <c r="M32" i="12825"/>
  <c r="W110" i="12823"/>
  <c r="L54" i="12834"/>
  <c r="M54" i="12834"/>
  <c r="J104" i="12821"/>
  <c r="G38" i="12826"/>
  <c r="I27" i="12820"/>
  <c r="J27" i="12820"/>
  <c r="K149" i="12820"/>
  <c r="V14" i="12837"/>
  <c r="U14" i="12837"/>
  <c r="X14" i="12837"/>
  <c r="Y14" i="12837"/>
  <c r="T104" i="12825"/>
  <c r="T126" i="12825"/>
  <c r="Y170" i="12825"/>
  <c r="E16" i="12820"/>
  <c r="F16" i="12820"/>
  <c r="G16" i="12820"/>
  <c r="AA111" i="12833"/>
  <c r="K36" i="12825"/>
  <c r="L36" i="12825"/>
  <c r="I58" i="12823"/>
  <c r="G82" i="12821"/>
  <c r="H82" i="12821"/>
  <c r="I82" i="12821"/>
  <c r="G21" i="12820"/>
  <c r="K87" i="12820"/>
  <c r="H34" i="12820"/>
  <c r="L56" i="12834"/>
  <c r="E73" i="12820"/>
  <c r="F73" i="12820"/>
  <c r="G73" i="12820"/>
  <c r="T210" i="12821"/>
  <c r="T261" i="12821"/>
  <c r="G54" i="12823"/>
  <c r="H54" i="12823"/>
  <c r="X101" i="12825"/>
  <c r="M72" i="12821"/>
  <c r="G168" i="12827"/>
  <c r="S38" i="12826"/>
  <c r="R38" i="12826"/>
  <c r="P44" i="12826"/>
  <c r="J143" i="12827"/>
  <c r="H171" i="12827"/>
  <c r="I85" i="12820"/>
  <c r="J85" i="12820"/>
  <c r="H98" i="12820"/>
  <c r="S63" i="12823"/>
  <c r="V63" i="12823"/>
  <c r="G46" i="12834"/>
  <c r="K15" i="12837"/>
  <c r="E116" i="12820"/>
  <c r="F116" i="12820"/>
  <c r="G116" i="12820"/>
  <c r="I83" i="12820"/>
  <c r="J83" i="12820"/>
  <c r="I120" i="12820"/>
  <c r="J120" i="12820"/>
  <c r="H16" i="12822"/>
  <c r="G34" i="12826"/>
  <c r="S141" i="12822"/>
  <c r="G54" i="12834"/>
  <c r="M30" i="12825"/>
  <c r="K50" i="12823"/>
  <c r="L50" i="12823"/>
  <c r="X8" i="12834"/>
  <c r="N20" i="12837"/>
  <c r="E14" i="12820"/>
  <c r="F14" i="12820"/>
  <c r="G14" i="12820"/>
  <c r="M19" i="12821"/>
  <c r="K52" i="12820"/>
  <c r="V117" i="12821"/>
  <c r="G10" i="12821"/>
  <c r="H10" i="12821"/>
  <c r="I10" i="12821"/>
  <c r="M9" i="12825"/>
  <c r="AB117" i="12833"/>
  <c r="X117" i="12833"/>
  <c r="AC149" i="12825"/>
  <c r="F10" i="12822"/>
  <c r="G10" i="12822"/>
  <c r="X96" i="12825"/>
  <c r="X104" i="12825"/>
  <c r="K28" i="12825"/>
  <c r="L28" i="12825"/>
  <c r="M28" i="12825"/>
  <c r="J56" i="12821"/>
  <c r="S204" i="12822"/>
  <c r="K54" i="12834"/>
  <c r="N54" i="12834"/>
  <c r="O54" i="12834"/>
  <c r="J105" i="12821"/>
  <c r="I70" i="12820"/>
  <c r="J70" i="12820"/>
  <c r="K58" i="12821"/>
  <c r="L58" i="12821"/>
  <c r="T87" i="12825"/>
  <c r="K74" i="12821"/>
  <c r="L74" i="12821"/>
  <c r="M74" i="12821"/>
  <c r="N15" i="12834"/>
  <c r="N19" i="12834"/>
  <c r="O19" i="12834"/>
  <c r="N27" i="12837"/>
  <c r="Q27" i="12837"/>
  <c r="R54" i="12820"/>
  <c r="E90" i="12820"/>
  <c r="F90" i="12820"/>
  <c r="G90" i="12820"/>
  <c r="H25" i="12820"/>
  <c r="E34" i="12820"/>
  <c r="F34" i="12820"/>
  <c r="G34" i="12820"/>
  <c r="K139" i="12827"/>
  <c r="W63" i="12823"/>
  <c r="E95" i="12820"/>
  <c r="F95" i="12820"/>
  <c r="G95" i="12820"/>
  <c r="T117" i="12822"/>
  <c r="T218" i="12822"/>
  <c r="L21" i="12822"/>
  <c r="J92" i="12827"/>
  <c r="E62" i="12820"/>
  <c r="F62" i="12820"/>
  <c r="G62" i="12820"/>
  <c r="K51" i="12821"/>
  <c r="L51" i="12821"/>
  <c r="J21" i="12822"/>
  <c r="K21" i="12822"/>
  <c r="L33" i="12834"/>
  <c r="L40" i="12834"/>
  <c r="L73" i="12834"/>
  <c r="M73" i="12834"/>
  <c r="J13" i="12822"/>
  <c r="K13" i="12822"/>
  <c r="G35" i="12826"/>
  <c r="K89" i="12820"/>
  <c r="J86" i="12827"/>
  <c r="K112" i="12821"/>
  <c r="L112" i="12821"/>
  <c r="X12" i="12834"/>
  <c r="V194" i="12821"/>
  <c r="S97" i="12822"/>
  <c r="K42" i="12825"/>
  <c r="L42" i="12825"/>
  <c r="G26" i="12825"/>
  <c r="H26" i="12825"/>
  <c r="I26" i="12825"/>
  <c r="E127" i="12820"/>
  <c r="F127" i="12820"/>
  <c r="G127" i="12820"/>
  <c r="L9" i="12822"/>
  <c r="M24" i="12825"/>
  <c r="H33" i="12834"/>
  <c r="H15" i="12834"/>
  <c r="H19" i="12834"/>
  <c r="I19" i="12834"/>
  <c r="W61" i="12823"/>
  <c r="S61" i="12823"/>
  <c r="S75" i="12823"/>
  <c r="F9" i="12822"/>
  <c r="G9" i="12822"/>
  <c r="E9" i="12820"/>
  <c r="F9" i="12820"/>
  <c r="G9" i="12820"/>
  <c r="H21" i="12820"/>
  <c r="E21" i="12820"/>
  <c r="F21" i="12820"/>
  <c r="K33" i="12821"/>
  <c r="L33" i="12821"/>
  <c r="L69" i="12834"/>
  <c r="L17" i="12834"/>
  <c r="M17" i="12834"/>
  <c r="X89" i="12825"/>
  <c r="K71" i="12820"/>
  <c r="J152" i="12827"/>
  <c r="G152" i="12827"/>
  <c r="E25" i="12820"/>
  <c r="F25" i="12820"/>
  <c r="G25" i="12820"/>
  <c r="V68" i="12823"/>
  <c r="N56" i="12834"/>
  <c r="N12" i="12834"/>
  <c r="O12" i="12834"/>
  <c r="V153" i="12825"/>
  <c r="H23" i="12825"/>
  <c r="X100" i="12825"/>
  <c r="T100" i="12825"/>
  <c r="G23" i="12825"/>
  <c r="J23" i="12825"/>
  <c r="K28" i="12821"/>
  <c r="L28" i="12821"/>
  <c r="AE128" i="12833"/>
  <c r="U114" i="12825"/>
  <c r="U218" i="12825"/>
  <c r="J90" i="12827"/>
  <c r="E97" i="12820"/>
  <c r="F97" i="12820"/>
  <c r="G97" i="12820"/>
  <c r="W159" i="12825"/>
  <c r="K13" i="12825"/>
  <c r="L13" i="12825"/>
  <c r="G104" i="12821"/>
  <c r="H104" i="12821"/>
  <c r="I104" i="12821"/>
  <c r="I38" i="12820"/>
  <c r="J38" i="12820"/>
  <c r="K47" i="12821"/>
  <c r="L47" i="12821"/>
  <c r="G57" i="12823"/>
  <c r="H57" i="12823"/>
  <c r="I57" i="12823"/>
  <c r="K53" i="12820"/>
  <c r="E35" i="12820"/>
  <c r="F35" i="12820"/>
  <c r="G35" i="12820"/>
  <c r="K8" i="12834"/>
  <c r="O14" i="12837"/>
  <c r="N14" i="12837"/>
  <c r="Q14" i="12837"/>
  <c r="R14" i="12837"/>
  <c r="I26" i="12820"/>
  <c r="J26" i="12820"/>
  <c r="G140" i="12827"/>
  <c r="K59" i="12823"/>
  <c r="L59" i="12823"/>
  <c r="G142" i="12827"/>
  <c r="G170" i="12827"/>
  <c r="K35" i="12821"/>
  <c r="L35" i="12821"/>
  <c r="L55" i="12834"/>
  <c r="M55" i="12834"/>
  <c r="W108" i="12823"/>
  <c r="U107" i="12821" a="1"/>
  <c r="S107" i="12821"/>
  <c r="J88" i="12827"/>
  <c r="K40" i="12825"/>
  <c r="L40" i="12825"/>
  <c r="M40" i="12825"/>
  <c r="H178" i="12827"/>
  <c r="O10" i="12835"/>
  <c r="P10" i="12835"/>
  <c r="S103" i="12823"/>
  <c r="H56" i="12834"/>
  <c r="I34" i="12826"/>
  <c r="J34" i="12826"/>
  <c r="H22" i="12822"/>
  <c r="I51" i="12823"/>
  <c r="I36" i="12826"/>
  <c r="J36" i="12826"/>
  <c r="G105" i="12821"/>
  <c r="H105" i="12821"/>
  <c r="I105" i="12821"/>
  <c r="O29" i="12826"/>
  <c r="S35" i="12826"/>
  <c r="V101" i="12823"/>
  <c r="K140" i="12820"/>
  <c r="E93" i="12820"/>
  <c r="F93" i="12820"/>
  <c r="G93" i="12820"/>
  <c r="G67" i="12821"/>
  <c r="H67" i="12821"/>
  <c r="I67" i="12821"/>
  <c r="K46" i="12820"/>
  <c r="E59" i="12820"/>
  <c r="F59" i="12820"/>
  <c r="G59" i="12820"/>
  <c r="D11" i="12835"/>
  <c r="Q43" i="12820"/>
  <c r="Q56" i="12820"/>
  <c r="X170" i="12825"/>
  <c r="J94" i="12827"/>
  <c r="G64" i="12823"/>
  <c r="H64" i="12823"/>
  <c r="S182" i="12821"/>
  <c r="U186" i="12821" a="1"/>
  <c r="S186" i="12821"/>
  <c r="G37" i="12826"/>
  <c r="U180" i="12825"/>
  <c r="U219" i="12825"/>
  <c r="E85" i="12820"/>
  <c r="F85" i="12820"/>
  <c r="G85" i="12820"/>
  <c r="K70" i="12821"/>
  <c r="L70" i="12821"/>
  <c r="K94" i="12821"/>
  <c r="L94" i="12821"/>
  <c r="M15" i="12837"/>
  <c r="N18" i="12837"/>
  <c r="K90" i="12827"/>
  <c r="G90" i="12827"/>
  <c r="G118" i="12827"/>
  <c r="J22" i="12822"/>
  <c r="K22" i="12822"/>
  <c r="I13" i="12820"/>
  <c r="J13" i="12820"/>
  <c r="K13" i="12820"/>
  <c r="T41" i="12820"/>
  <c r="I16" i="12820"/>
  <c r="J16" i="12820"/>
  <c r="K16" i="12820"/>
  <c r="H34" i="12834"/>
  <c r="J35" i="12834"/>
  <c r="J9" i="12834"/>
  <c r="E18" i="12820"/>
  <c r="F18" i="12820"/>
  <c r="G18" i="12820"/>
  <c r="I148" i="12820"/>
  <c r="J148" i="12820"/>
  <c r="G56" i="12821"/>
  <c r="H56" i="12821"/>
  <c r="I56" i="12821"/>
  <c r="I128" i="12820"/>
  <c r="J128" i="12820"/>
  <c r="K128" i="12820"/>
  <c r="G40" i="12825"/>
  <c r="H40" i="12825"/>
  <c r="I40" i="12825"/>
  <c r="I39" i="12820"/>
  <c r="J39" i="12820"/>
  <c r="I10" i="12820"/>
  <c r="J10" i="12820"/>
  <c r="G50" i="12823"/>
  <c r="H50" i="12823"/>
  <c r="Y18" i="12837"/>
  <c r="V103" i="12822"/>
  <c r="K96" i="12827"/>
  <c r="G96" i="12827"/>
  <c r="G124" i="12827"/>
  <c r="J9" i="12822"/>
  <c r="K9" i="12822"/>
  <c r="J23" i="12822"/>
  <c r="K23" i="12822"/>
  <c r="L23" i="12822"/>
  <c r="X108" i="12823"/>
  <c r="E121" i="12820"/>
  <c r="F121" i="12820"/>
  <c r="G121" i="12820"/>
  <c r="I45" i="12820"/>
  <c r="J45" i="12820"/>
  <c r="K45" i="12820"/>
  <c r="E42" i="12826"/>
  <c r="F42" i="12826"/>
  <c r="G42" i="12826"/>
  <c r="K49" i="12820"/>
  <c r="K36" i="12821"/>
  <c r="L36" i="12821"/>
  <c r="X17" i="12837"/>
  <c r="K45" i="12826"/>
  <c r="V60" i="12823"/>
  <c r="E45" i="12820"/>
  <c r="F45" i="12820"/>
  <c r="G45" i="12820"/>
  <c r="K84" i="12821"/>
  <c r="L84" i="12821"/>
  <c r="K111" i="12821"/>
  <c r="L111" i="12821"/>
  <c r="X22" i="12837"/>
  <c r="V107" i="12823"/>
  <c r="T121" i="12823"/>
  <c r="J19" i="12821"/>
  <c r="X149" i="12825"/>
  <c r="Y153" i="12825"/>
  <c r="X153" i="12825"/>
  <c r="G112" i="12821"/>
  <c r="H112" i="12821"/>
  <c r="I112" i="12821"/>
  <c r="G63" i="12821"/>
  <c r="H63" i="12821"/>
  <c r="I63" i="12821"/>
  <c r="R58" i="12826"/>
  <c r="P64" i="12826"/>
  <c r="E98" i="12820"/>
  <c r="F98" i="12820"/>
  <c r="G98" i="12820"/>
  <c r="K88" i="12821"/>
  <c r="L88" i="12821"/>
  <c r="M88" i="12821"/>
  <c r="V17" i="12837"/>
  <c r="U17" i="12837"/>
  <c r="K48" i="12821"/>
  <c r="L48" i="12821"/>
  <c r="E151" i="12820"/>
  <c r="F151" i="12820"/>
  <c r="G151" i="12820"/>
  <c r="K88" i="12827"/>
  <c r="G88" i="12827"/>
  <c r="G116" i="12827"/>
  <c r="E37" i="12826"/>
  <c r="F37" i="12826"/>
  <c r="G106" i="12821"/>
  <c r="H106" i="12821"/>
  <c r="I106" i="12821"/>
  <c r="G38" i="12821"/>
  <c r="H38" i="12821"/>
  <c r="I38" i="12821"/>
  <c r="L14" i="12822"/>
  <c r="K67" i="12821"/>
  <c r="L67" i="12821"/>
  <c r="M67" i="12821"/>
  <c r="K91" i="12827"/>
  <c r="G91" i="12827"/>
  <c r="G119" i="12827"/>
  <c r="K142" i="12827"/>
  <c r="N15" i="12837"/>
  <c r="Q15" i="12837"/>
  <c r="R23" i="12837"/>
  <c r="K16" i="12837"/>
  <c r="J149" i="12827"/>
  <c r="I115" i="12820"/>
  <c r="J115" i="12820"/>
  <c r="F24" i="12822"/>
  <c r="G24" i="12822"/>
  <c r="K24" i="12825"/>
  <c r="L24" i="12825"/>
  <c r="K103" i="12820"/>
  <c r="G69" i="12821"/>
  <c r="H69" i="12821"/>
  <c r="I69" i="12821"/>
  <c r="U43" i="12820"/>
  <c r="T43" i="12820"/>
  <c r="R56" i="12820"/>
  <c r="K22" i="12821"/>
  <c r="L22" i="12821"/>
  <c r="M22" i="12821"/>
  <c r="T114" i="12825"/>
  <c r="G45" i="12834"/>
  <c r="H45" i="12834"/>
  <c r="H11" i="12834"/>
  <c r="I11" i="12834"/>
  <c r="H35" i="12834"/>
  <c r="H9" i="12834"/>
  <c r="I9" i="12834"/>
  <c r="M53" i="12821"/>
  <c r="K101" i="12827"/>
  <c r="G101" i="12827"/>
  <c r="G131" i="12827"/>
  <c r="K152" i="12827"/>
  <c r="V89" i="12825"/>
  <c r="T89" i="12825"/>
  <c r="K57" i="12821"/>
  <c r="L57" i="12821"/>
  <c r="M57" i="12821"/>
  <c r="J16" i="12822"/>
  <c r="K16" i="12822"/>
  <c r="K59" i="12820"/>
  <c r="I91" i="12820"/>
  <c r="J91" i="12820"/>
  <c r="G12" i="12834"/>
  <c r="H18" i="12837"/>
  <c r="K90" i="12821"/>
  <c r="L90" i="12821"/>
  <c r="I46" i="12820"/>
  <c r="J46" i="12820"/>
  <c r="K69" i="12821"/>
  <c r="L69" i="12821"/>
  <c r="E142" i="12820"/>
  <c r="F142" i="12820"/>
  <c r="G142" i="12820"/>
  <c r="K35" i="12826"/>
  <c r="K43" i="12825"/>
  <c r="L43" i="12825"/>
  <c r="V69" i="12823"/>
  <c r="N36" i="12834"/>
  <c r="N10" i="12834"/>
  <c r="O10" i="12834"/>
  <c r="X10" i="12834"/>
  <c r="V192" i="12821"/>
  <c r="E38" i="12826"/>
  <c r="F38" i="12826"/>
  <c r="G151" i="12827"/>
  <c r="G181" i="12827"/>
  <c r="X124" i="12833"/>
  <c r="T149" i="12825"/>
  <c r="K98" i="12820"/>
  <c r="G73" i="12821"/>
  <c r="H73" i="12821"/>
  <c r="I73" i="12821"/>
  <c r="S149" i="12821"/>
  <c r="G43" i="12834"/>
  <c r="I76" i="12820"/>
  <c r="J76" i="12820"/>
  <c r="K53" i="12821"/>
  <c r="L53" i="12821"/>
  <c r="E66" i="12820"/>
  <c r="F66" i="12820"/>
  <c r="G66" i="12820"/>
  <c r="G31" i="12821"/>
  <c r="H31" i="12821"/>
  <c r="I31" i="12821"/>
  <c r="U108" i="12821" a="1"/>
  <c r="S108" i="12821"/>
  <c r="W67" i="12823"/>
  <c r="S67" i="12823"/>
  <c r="S81" i="12823"/>
  <c r="L53" i="12834"/>
  <c r="M53" i="12834"/>
  <c r="K101" i="12820"/>
  <c r="G14" i="12821"/>
  <c r="H14" i="12821"/>
  <c r="I14" i="12821"/>
  <c r="AB9" i="12834"/>
  <c r="V9" i="12834"/>
  <c r="T197" i="12825"/>
  <c r="K55" i="12834"/>
  <c r="I71" i="12820"/>
  <c r="J71" i="12820"/>
  <c r="X128" i="12833"/>
  <c r="AB11" i="12834"/>
  <c r="K32" i="12825"/>
  <c r="L32" i="12825"/>
  <c r="K19" i="12821"/>
  <c r="L19" i="12821"/>
  <c r="K63" i="12821"/>
  <c r="L63" i="12821"/>
  <c r="G16" i="12837"/>
  <c r="J16" i="12837"/>
  <c r="I52" i="12820"/>
  <c r="J52" i="12820"/>
  <c r="I28" i="12820"/>
  <c r="J28" i="12820"/>
  <c r="G14" i="12837"/>
  <c r="J14" i="12837"/>
  <c r="K14" i="12837"/>
  <c r="G36" i="12825"/>
  <c r="H36" i="12825"/>
  <c r="I36" i="12825"/>
  <c r="W107" i="12823"/>
  <c r="S107" i="12823"/>
  <c r="S121" i="12823"/>
  <c r="I117" i="12820"/>
  <c r="J117" i="12820"/>
  <c r="K20" i="12821"/>
  <c r="L20" i="12821"/>
  <c r="V66" i="12823"/>
  <c r="E35" i="12826"/>
  <c r="F35" i="12826"/>
  <c r="N33" i="12834"/>
  <c r="N40" i="12834"/>
  <c r="N25" i="12834"/>
  <c r="O25" i="12834"/>
  <c r="H62" i="12834"/>
  <c r="H13" i="12834"/>
  <c r="I13" i="12834"/>
  <c r="X176" i="12825"/>
  <c r="V109" i="12823"/>
  <c r="L62" i="12834"/>
  <c r="L66" i="12834"/>
  <c r="M66" i="12834"/>
  <c r="I113" i="12820"/>
  <c r="J113" i="12820"/>
  <c r="J75" i="12821"/>
  <c r="I124" i="12820"/>
  <c r="J124" i="12820"/>
  <c r="I73" i="12820"/>
  <c r="J73" i="12820"/>
  <c r="K73" i="12820"/>
  <c r="R57" i="12826"/>
  <c r="I51" i="12820"/>
  <c r="J51" i="12820"/>
  <c r="G157" i="12827"/>
  <c r="K42" i="12834"/>
  <c r="N42" i="12834"/>
  <c r="N50" i="12834"/>
  <c r="O50" i="12834"/>
  <c r="G48" i="12821"/>
  <c r="H48" i="12821"/>
  <c r="I48" i="12821"/>
  <c r="K150" i="12820"/>
  <c r="G100" i="12821"/>
  <c r="H100" i="12821"/>
  <c r="I100" i="12821"/>
  <c r="X151" i="12825"/>
  <c r="Y155" i="12825"/>
  <c r="K10" i="12834"/>
  <c r="O16" i="12837"/>
  <c r="N16" i="12837"/>
  <c r="Q16" i="12837"/>
  <c r="J91" i="12821"/>
  <c r="K92" i="12827"/>
  <c r="G92" i="12827"/>
  <c r="G120" i="12827"/>
  <c r="K143" i="12827"/>
  <c r="K27" i="12821"/>
  <c r="L27" i="12821"/>
  <c r="K62" i="12823"/>
  <c r="L62" i="12823"/>
  <c r="M62" i="12823"/>
  <c r="X85" i="12825"/>
  <c r="Y89" i="12825"/>
  <c r="E133" i="12820"/>
  <c r="F133" i="12820"/>
  <c r="G133" i="12820"/>
  <c r="I53" i="12820"/>
  <c r="J53" i="12820"/>
  <c r="G53" i="12823"/>
  <c r="H53" i="12823"/>
  <c r="W66" i="12823"/>
  <c r="S66" i="12823"/>
  <c r="S80" i="12823"/>
  <c r="M87" i="12821"/>
  <c r="G37" i="12821"/>
  <c r="H37" i="12821"/>
  <c r="I37" i="12821"/>
  <c r="G52" i="12823"/>
  <c r="H52" i="12823"/>
  <c r="Y23" i="12837"/>
  <c r="E144" i="12820"/>
  <c r="F144" i="12820"/>
  <c r="G144" i="12820"/>
  <c r="F28" i="12822"/>
  <c r="G28" i="12822"/>
  <c r="V154" i="12825"/>
  <c r="T154" i="12825"/>
  <c r="X162" i="12825"/>
  <c r="W162" i="12825"/>
  <c r="G41" i="12824"/>
  <c r="G42" i="12824"/>
  <c r="G48" i="12824"/>
  <c r="I87" i="12820"/>
  <c r="J87" i="12820"/>
  <c r="K11" i="12821"/>
  <c r="L11" i="12821"/>
  <c r="F8" i="12822"/>
  <c r="G8" i="12822"/>
  <c r="R17" i="12837"/>
  <c r="I96" i="12820"/>
  <c r="J96" i="12820"/>
  <c r="I72" i="12820"/>
  <c r="J72" i="12820"/>
  <c r="G110" i="12827"/>
  <c r="G52" i="12834"/>
  <c r="V166" i="12822"/>
  <c r="T180" i="12822"/>
  <c r="T219" i="12822"/>
  <c r="M26" i="12825"/>
  <c r="S226" i="12821"/>
  <c r="K43" i="12834"/>
  <c r="M73" i="12821"/>
  <c r="G22" i="12821"/>
  <c r="H22" i="12821"/>
  <c r="I22" i="12821"/>
  <c r="S95" i="12822"/>
  <c r="I43" i="12820"/>
  <c r="J43" i="12820"/>
  <c r="K43" i="12820"/>
  <c r="N112" i="12833"/>
  <c r="N126" i="12833"/>
  <c r="S93" i="12822"/>
  <c r="U97" i="12822"/>
  <c r="G93" i="12827"/>
  <c r="G121" i="12827"/>
  <c r="K94" i="12827"/>
  <c r="G94" i="12827"/>
  <c r="G122" i="12827"/>
  <c r="K47" i="12820"/>
  <c r="S95" i="12823"/>
  <c r="V13" i="12834"/>
  <c r="H24" i="12837"/>
  <c r="G24" i="12837"/>
  <c r="J24" i="12837"/>
  <c r="G91" i="12821"/>
  <c r="H91" i="12821"/>
  <c r="I91" i="12821"/>
  <c r="K61" i="12820"/>
  <c r="W109" i="12823"/>
  <c r="S109" i="12823"/>
  <c r="K53" i="12823"/>
  <c r="L53" i="12823"/>
  <c r="G8" i="12834"/>
  <c r="H14" i="12837"/>
  <c r="W166" i="12825"/>
  <c r="V24" i="12837"/>
  <c r="L8" i="12822"/>
  <c r="K55" i="12821"/>
  <c r="L55" i="12821"/>
  <c r="X174" i="12825"/>
  <c r="T174" i="12825"/>
  <c r="K45" i="12825"/>
  <c r="L45" i="12825"/>
  <c r="I121" i="12820"/>
  <c r="J121" i="12820"/>
  <c r="K121" i="12820"/>
  <c r="K13" i="12821"/>
  <c r="L13" i="12821"/>
  <c r="M13" i="12821"/>
  <c r="J137" i="12827"/>
  <c r="K93" i="12821"/>
  <c r="L93" i="12821"/>
  <c r="M93" i="12821"/>
  <c r="K49" i="12821"/>
  <c r="L49" i="12821"/>
  <c r="S167" i="12822"/>
  <c r="J14" i="12822"/>
  <c r="K14" i="12822"/>
  <c r="N34" i="12834"/>
  <c r="N8" i="12834"/>
  <c r="O8" i="12834"/>
  <c r="I150" i="12820"/>
  <c r="J150" i="12820"/>
  <c r="X84" i="12825"/>
  <c r="Y88" i="12825"/>
  <c r="J39" i="12821"/>
  <c r="I40" i="12820"/>
  <c r="J40" i="12820"/>
  <c r="I50" i="12820"/>
  <c r="J50" i="12820"/>
  <c r="K22" i="12825"/>
  <c r="L22" i="12825"/>
  <c r="I35" i="12826"/>
  <c r="J35" i="12826"/>
  <c r="K122" i="12820"/>
  <c r="I125" i="12820"/>
  <c r="J125" i="12820"/>
  <c r="F16" i="12822"/>
  <c r="G16" i="12822"/>
  <c r="K109" i="12821"/>
  <c r="L109" i="12821"/>
  <c r="I140" i="12820"/>
  <c r="J140" i="12820"/>
  <c r="U66" i="12820"/>
  <c r="Q66" i="12820"/>
  <c r="J10" i="12835"/>
  <c r="L10" i="12835"/>
  <c r="M35" i="12834"/>
  <c r="Y128" i="12833"/>
  <c r="AB12" i="12834"/>
  <c r="V12" i="12834"/>
  <c r="G58" i="12823"/>
  <c r="H58" i="12823"/>
  <c r="K101" i="12821"/>
  <c r="L101" i="12821"/>
  <c r="M101" i="12821"/>
  <c r="W69" i="12823"/>
  <c r="S69" i="12823"/>
  <c r="S83" i="12823"/>
  <c r="K90" i="12820"/>
  <c r="I64" i="12820"/>
  <c r="J64" i="12820"/>
  <c r="K64" i="12820"/>
  <c r="I90" i="12820"/>
  <c r="J90" i="12820"/>
  <c r="M18" i="12825"/>
  <c r="U67" i="12820"/>
  <c r="Q67" i="12820"/>
  <c r="J11" i="12835"/>
  <c r="L11" i="12835"/>
  <c r="O11" i="12835"/>
  <c r="P11" i="12835"/>
  <c r="W128" i="12833"/>
  <c r="AB10" i="12834"/>
  <c r="V10" i="12834"/>
  <c r="F22" i="12822"/>
  <c r="G22" i="12822"/>
  <c r="H14" i="12822"/>
  <c r="I144" i="12820"/>
  <c r="J144" i="12820"/>
  <c r="X15" i="12837"/>
  <c r="S36" i="12826"/>
  <c r="K91" i="12821"/>
  <c r="L91" i="12821"/>
  <c r="S91" i="12823"/>
  <c r="I41" i="12820"/>
  <c r="J41" i="12820"/>
  <c r="K11" i="12834"/>
  <c r="O17" i="12837"/>
  <c r="N17" i="12837"/>
  <c r="Q17" i="12837"/>
  <c r="J25" i="12822"/>
  <c r="K25" i="12822"/>
  <c r="V88" i="12825"/>
  <c r="T88" i="12825"/>
  <c r="O40" i="12826"/>
  <c r="G56" i="12834"/>
  <c r="J56" i="12834"/>
  <c r="J12" i="12834"/>
  <c r="O24" i="12837"/>
  <c r="N24" i="12837"/>
  <c r="Q24" i="12837"/>
  <c r="N68" i="12834"/>
  <c r="N16" i="12834"/>
  <c r="O16" i="12834"/>
  <c r="I18" i="12820"/>
  <c r="J18" i="12820"/>
  <c r="I103" i="12820"/>
  <c r="J103" i="12820"/>
  <c r="T159" i="12825"/>
  <c r="K18" i="12825"/>
  <c r="L18" i="12825"/>
  <c r="L35" i="12834"/>
  <c r="L9" i="12834"/>
  <c r="M9" i="12834"/>
  <c r="U95" i="12822"/>
  <c r="I110" i="12820"/>
  <c r="J110" i="12820"/>
  <c r="K140" i="12827"/>
  <c r="J140" i="12827"/>
  <c r="H168" i="12827"/>
  <c r="I63" i="12820"/>
  <c r="J63" i="12820"/>
  <c r="K63" i="12820"/>
  <c r="T64" i="12820"/>
  <c r="R77" i="12820"/>
  <c r="R85" i="12820"/>
  <c r="G49" i="12821"/>
  <c r="H49" i="12821"/>
  <c r="I49" i="12821"/>
  <c r="J24" i="12822"/>
  <c r="K24" i="12822"/>
  <c r="F25" i="12824"/>
  <c r="F31" i="12824"/>
  <c r="I11" i="12820"/>
  <c r="J11" i="12820"/>
  <c r="K11" i="12820"/>
  <c r="I149" i="12820"/>
  <c r="J149" i="12820"/>
  <c r="E61" i="12820"/>
  <c r="F61" i="12820"/>
  <c r="G61" i="12820"/>
  <c r="I60" i="12820"/>
  <c r="J60" i="12820"/>
  <c r="K60" i="12820"/>
  <c r="W125" i="12833"/>
  <c r="S155" i="12822"/>
  <c r="U159" i="12822"/>
  <c r="S159" i="12822"/>
  <c r="W171" i="12822"/>
  <c r="E68" i="12820"/>
  <c r="F68" i="12820"/>
  <c r="G68" i="12820"/>
  <c r="S59" i="12826"/>
  <c r="K37" i="12821"/>
  <c r="L37" i="12821"/>
  <c r="M37" i="12821"/>
  <c r="J17" i="12822"/>
  <c r="K17" i="12822"/>
  <c r="I99" i="12820"/>
  <c r="J99" i="12820"/>
  <c r="K8" i="12821"/>
  <c r="L8" i="12821"/>
  <c r="K18" i="12821"/>
  <c r="L18" i="12821"/>
  <c r="I19" i="12820"/>
  <c r="J19" i="12820"/>
  <c r="S133" i="12821"/>
  <c r="G35" i="12834"/>
  <c r="G9" i="12834"/>
  <c r="H15" i="12837"/>
  <c r="G15" i="12837"/>
  <c r="J15" i="12837"/>
  <c r="Y12" i="12834"/>
  <c r="G148" i="12827"/>
  <c r="G176" i="12827"/>
  <c r="I98" i="12820"/>
  <c r="J98" i="12820"/>
  <c r="X148" i="12825"/>
  <c r="K134" i="12820"/>
  <c r="G161" i="12827"/>
  <c r="K52" i="12834"/>
  <c r="K44" i="12826"/>
  <c r="I153" i="12820"/>
  <c r="J153" i="12820"/>
  <c r="K153" i="12820"/>
  <c r="J34" i="12834"/>
  <c r="J8" i="12834"/>
  <c r="T128" i="12833"/>
  <c r="V184" i="12821" a="1"/>
  <c r="I89" i="12820"/>
  <c r="J89" i="12820"/>
  <c r="M98" i="12821"/>
  <c r="I62" i="12823"/>
  <c r="K87" i="12821"/>
  <c r="L87" i="12821"/>
  <c r="T167" i="12825"/>
  <c r="K30" i="12825"/>
  <c r="L30" i="12825"/>
  <c r="X159" i="12825"/>
  <c r="X167" i="12825"/>
  <c r="T79" i="12823"/>
  <c r="I44" i="12826"/>
  <c r="J44" i="12826"/>
  <c r="H10" i="12835"/>
  <c r="K22" i="12837"/>
  <c r="I36" i="12820"/>
  <c r="J36" i="12820"/>
  <c r="V111" i="12833"/>
  <c r="V128" i="12833"/>
  <c r="X154" i="12825"/>
  <c r="Y125" i="12833"/>
  <c r="O49" i="12826"/>
  <c r="Q53" i="12826"/>
  <c r="O53" i="12826"/>
  <c r="V87" i="12825"/>
  <c r="N53" i="12834"/>
  <c r="O53" i="12834"/>
  <c r="G44" i="12826"/>
  <c r="F25" i="12822"/>
  <c r="G25" i="12822"/>
  <c r="K72" i="12821"/>
  <c r="L72" i="12821"/>
  <c r="Q29" i="12826"/>
  <c r="I122" i="12820"/>
  <c r="J122" i="12820"/>
  <c r="I41" i="12826"/>
  <c r="J41" i="12826"/>
  <c r="K148" i="12827"/>
  <c r="T180" i="12825"/>
  <c r="K45" i="12834"/>
  <c r="K19" i="12834"/>
  <c r="K15" i="12834"/>
  <c r="O20" i="12837"/>
  <c r="V20" i="12837"/>
  <c r="U20" i="12837"/>
  <c r="X20" i="12837"/>
  <c r="V22" i="12837"/>
  <c r="U22" i="12837"/>
  <c r="E84" i="12820"/>
  <c r="F84" i="12820"/>
  <c r="G84" i="12820"/>
  <c r="E44" i="12826"/>
  <c r="F44" i="12826"/>
  <c r="P124" i="12833"/>
  <c r="O25" i="12826"/>
  <c r="I75" i="12820"/>
  <c r="J75" i="12820"/>
  <c r="X108" i="12825"/>
  <c r="T108" i="12825"/>
  <c r="G44" i="12825"/>
  <c r="H44" i="12825"/>
  <c r="I44" i="12825"/>
  <c r="M111" i="12833"/>
  <c r="M128" i="12833"/>
  <c r="S105" i="12821"/>
  <c r="G39" i="12821"/>
  <c r="H39" i="12821"/>
  <c r="I39" i="12821"/>
  <c r="T40" i="12820"/>
  <c r="R53" i="12820"/>
  <c r="K80" i="12821"/>
  <c r="L80" i="12821"/>
  <c r="M80" i="12821"/>
  <c r="O125" i="12833"/>
  <c r="T84" i="12825"/>
  <c r="K12" i="12834"/>
  <c r="O18" i="12837"/>
  <c r="V18" i="12837"/>
  <c r="U18" i="12837"/>
  <c r="X18" i="12837"/>
  <c r="K93" i="12827"/>
  <c r="J93" i="12827"/>
  <c r="H121" i="12827"/>
  <c r="F27" i="12822"/>
  <c r="G27" i="12822"/>
  <c r="H27" i="12822"/>
  <c r="K56" i="12821"/>
  <c r="L56" i="12821"/>
  <c r="M56" i="12821"/>
  <c r="T115" i="12825"/>
  <c r="Y159" i="12825"/>
  <c r="I44" i="12820"/>
  <c r="J44" i="12820"/>
  <c r="K152" i="12820"/>
  <c r="U96" i="12822"/>
  <c r="G19" i="12834"/>
  <c r="Z125" i="12833"/>
  <c r="V65" i="12823"/>
  <c r="K134" i="12827"/>
  <c r="G134" i="12827"/>
  <c r="G153" i="12827"/>
  <c r="K33" i="12834"/>
  <c r="W64" i="12823"/>
  <c r="S64" i="12823"/>
  <c r="G56" i="12823"/>
  <c r="H56" i="12823"/>
  <c r="V23" i="12837"/>
  <c r="U23" i="12837"/>
  <c r="X23" i="12837"/>
  <c r="K89" i="12827"/>
  <c r="G89" i="12827"/>
  <c r="G117" i="12827"/>
  <c r="I37" i="12826"/>
  <c r="J37" i="12826"/>
  <c r="K37" i="12826"/>
  <c r="I127" i="12820"/>
  <c r="J127" i="12820"/>
  <c r="F20" i="12822"/>
  <c r="G20" i="12822"/>
  <c r="H20" i="12822"/>
  <c r="I112" i="12820"/>
  <c r="J112" i="12820"/>
  <c r="K45" i="12821"/>
  <c r="L45" i="12821"/>
  <c r="V185" i="12821" a="1"/>
  <c r="E34" i="12826"/>
  <c r="F34" i="12826"/>
  <c r="I95" i="12820"/>
  <c r="J95" i="12820"/>
  <c r="K95" i="12820"/>
  <c r="I49" i="12820"/>
  <c r="J49" i="12820"/>
  <c r="K21" i="12837"/>
  <c r="I59" i="12820"/>
  <c r="J59" i="12820"/>
  <c r="K23" i="12825"/>
  <c r="L23" i="12825"/>
  <c r="E134" i="12820"/>
  <c r="F134" i="12820"/>
  <c r="G134" i="12820"/>
  <c r="K68" i="12821"/>
  <c r="L68" i="12821"/>
  <c r="Z128" i="12833"/>
  <c r="AB13" i="12834"/>
  <c r="Q53" i="12820"/>
  <c r="G34" i="12834"/>
  <c r="K81" i="12821"/>
  <c r="L81" i="12821"/>
  <c r="M81" i="12821"/>
  <c r="W103" i="12823"/>
  <c r="V103" i="12823"/>
  <c r="T117" i="12823"/>
  <c r="I134" i="12820"/>
  <c r="J134" i="12820"/>
  <c r="I77" i="12820"/>
  <c r="J77" i="12820"/>
  <c r="K39" i="12821"/>
  <c r="L39" i="12821"/>
  <c r="M39" i="12821"/>
  <c r="K85" i="12821"/>
  <c r="L85" i="12821"/>
  <c r="I20" i="12820"/>
  <c r="J20" i="12820"/>
  <c r="W105" i="12823"/>
  <c r="S105" i="12823"/>
  <c r="K60" i="12823"/>
  <c r="L60" i="12823"/>
  <c r="G65" i="12821"/>
  <c r="H65" i="12821"/>
  <c r="I65" i="12821"/>
  <c r="K108" i="12821"/>
  <c r="L108" i="12821"/>
  <c r="M108" i="12821"/>
  <c r="K9" i="12834"/>
  <c r="O15" i="12837"/>
  <c r="V15" i="12837"/>
  <c r="U15" i="12837"/>
  <c r="P111" i="12833"/>
  <c r="P125" i="12833"/>
  <c r="O26" i="12826"/>
  <c r="Q30" i="12826"/>
  <c r="O30" i="12826"/>
  <c r="E17" i="12820"/>
  <c r="F17" i="12820"/>
  <c r="G17" i="12820"/>
  <c r="I152" i="12820"/>
  <c r="J152" i="12820"/>
  <c r="G19" i="12821"/>
  <c r="H19" i="12821"/>
  <c r="I19" i="12821"/>
  <c r="W65" i="12823"/>
  <c r="S65" i="12823"/>
  <c r="G62" i="12823"/>
  <c r="H62" i="12823"/>
  <c r="Q77" i="12820"/>
  <c r="K34" i="12834"/>
  <c r="K15" i="12821"/>
  <c r="L15" i="12821"/>
  <c r="M15" i="12821"/>
  <c r="I8" i="12820"/>
  <c r="J8" i="12820"/>
  <c r="K137" i="12827"/>
  <c r="G137" i="12827"/>
  <c r="G165" i="12827"/>
  <c r="K68" i="12834"/>
  <c r="K16" i="12834"/>
  <c r="O21" i="12837"/>
  <c r="Z112" i="12833"/>
  <c r="Z126" i="12833"/>
  <c r="S92" i="12823"/>
  <c r="U95" i="12823"/>
  <c r="O63" i="12826"/>
  <c r="K56" i="12834"/>
  <c r="G110" i="12821"/>
  <c r="H110" i="12821"/>
  <c r="I110" i="12821"/>
  <c r="K100" i="12827"/>
  <c r="G100" i="12827"/>
  <c r="G130" i="12827"/>
  <c r="K151" i="12827"/>
  <c r="Q54" i="12826"/>
  <c r="O54" i="12826"/>
  <c r="U40" i="12820"/>
  <c r="Q40" i="12820"/>
  <c r="E83" i="12820"/>
  <c r="F83" i="12820"/>
  <c r="G83" i="12820"/>
  <c r="F14" i="12822"/>
  <c r="G14" i="12822"/>
  <c r="I47" i="12820"/>
  <c r="J47" i="12820"/>
  <c r="W167" i="12822"/>
  <c r="I116" i="12820"/>
  <c r="J116" i="12820"/>
  <c r="K116" i="12820"/>
  <c r="S210" i="12821"/>
  <c r="K35" i="12834"/>
  <c r="U160" i="12822"/>
  <c r="S160" i="12822"/>
  <c r="W172" i="12822"/>
  <c r="X93" i="12825"/>
  <c r="T93" i="12825"/>
  <c r="G18" i="12825"/>
  <c r="H18" i="12825"/>
  <c r="I18" i="12825"/>
  <c r="T92" i="12825"/>
  <c r="G13" i="12825"/>
  <c r="H13" i="12825"/>
  <c r="I13" i="12825"/>
  <c r="K9" i="12825"/>
  <c r="L9" i="12825"/>
  <c r="K83" i="12827"/>
  <c r="G83" i="12827"/>
  <c r="G102" i="12827"/>
  <c r="G33" i="12834"/>
  <c r="G15" i="12834"/>
  <c r="H20" i="12837"/>
  <c r="G20" i="12837"/>
  <c r="J20" i="12837"/>
  <c r="L20" i="12835"/>
  <c r="O20" i="12835"/>
  <c r="K86" i="12827"/>
  <c r="G86" i="12827"/>
  <c r="G114" i="12827"/>
  <c r="G68" i="12834"/>
  <c r="G16" i="12834"/>
  <c r="H21" i="12837"/>
  <c r="G21" i="12837"/>
  <c r="J21" i="12837"/>
  <c r="X112" i="12833"/>
  <c r="X126" i="12833"/>
  <c r="T151" i="12825"/>
  <c r="V155" i="12825"/>
  <c r="T155" i="12825"/>
  <c r="W68" i="12823"/>
  <c r="S68" i="12823"/>
  <c r="G51" i="12823"/>
  <c r="H51" i="12823"/>
  <c r="Q65" i="12820"/>
  <c r="I48" i="12820"/>
  <c r="J48" i="12820"/>
  <c r="K48" i="12820"/>
  <c r="Z111" i="12833"/>
  <c r="Z124" i="12833"/>
  <c r="S90" i="12823"/>
  <c r="U94" i="12823"/>
  <c r="S94" i="12823"/>
  <c r="W101" i="12823"/>
  <c r="S101" i="12823"/>
  <c r="S115" i="12823"/>
  <c r="K62" i="12834"/>
  <c r="N62" i="12834"/>
  <c r="N13" i="12834"/>
  <c r="O13" i="12834"/>
  <c r="X13" i="12834"/>
  <c r="W103" i="12822"/>
  <c r="S103" i="12822"/>
  <c r="S117" i="12822"/>
  <c r="G36" i="12834"/>
  <c r="G10" i="12834"/>
  <c r="H16" i="12837"/>
  <c r="Q31" i="12826"/>
  <c r="O31" i="12826"/>
  <c r="X166" i="12825"/>
  <c r="T166" i="12825"/>
  <c r="K26" i="12825"/>
  <c r="L26" i="12825"/>
  <c r="I65" i="12820"/>
  <c r="J65" i="12820"/>
  <c r="J8" i="12822"/>
  <c r="K8" i="12822"/>
  <c r="W106" i="12823"/>
  <c r="S106" i="12823"/>
  <c r="K67" i="12823"/>
  <c r="L67" i="12823"/>
  <c r="M67" i="12823"/>
  <c r="K29" i="12821"/>
  <c r="L29" i="12821"/>
  <c r="M29" i="12821"/>
  <c r="K86" i="12821"/>
  <c r="L86" i="12821"/>
  <c r="S58" i="12826"/>
  <c r="I21" i="12820"/>
  <c r="J21" i="12820"/>
  <c r="N22" i="12837"/>
  <c r="Q22" i="12837"/>
  <c r="Q28" i="12826"/>
  <c r="O28" i="12826"/>
  <c r="S34" i="12826"/>
  <c r="O34" i="12826"/>
  <c r="E39" i="12826"/>
  <c r="F39" i="12826"/>
  <c r="G39" i="12826"/>
  <c r="I23" i="12820"/>
  <c r="J23" i="12820"/>
  <c r="K66" i="12821"/>
  <c r="L66" i="12821"/>
  <c r="F19" i="12822"/>
  <c r="G19" i="12822"/>
  <c r="G69" i="12834"/>
  <c r="G17" i="12834"/>
  <c r="H22" i="12837"/>
  <c r="G22" i="12837"/>
  <c r="J22" i="12837"/>
  <c r="W192" i="12821"/>
  <c r="S192" i="12821"/>
  <c r="S242" i="12821"/>
  <c r="K53" i="12834"/>
  <c r="W115" i="12821"/>
  <c r="S115" i="12821"/>
  <c r="G55" i="12821"/>
  <c r="H55" i="12821"/>
  <c r="I55" i="12821"/>
  <c r="Z118" i="12833"/>
  <c r="Z123" i="12833"/>
  <c r="S89" i="12823"/>
  <c r="U93" i="12823"/>
  <c r="S93" i="12823"/>
  <c r="W104" i="12823"/>
  <c r="V104" i="12823"/>
  <c r="T118" i="12823"/>
  <c r="I78" i="12820"/>
  <c r="J78" i="12820"/>
  <c r="K78" i="12820"/>
  <c r="W117" i="12821"/>
  <c r="S117" i="12821"/>
  <c r="G75" i="12821"/>
  <c r="H75" i="12821"/>
  <c r="I75" i="12821"/>
  <c r="S104" i="12821"/>
  <c r="U106" i="12821"/>
  <c r="S106" i="12821"/>
  <c r="W60" i="12823"/>
  <c r="S60" i="12823"/>
  <c r="S74" i="12823"/>
  <c r="G62" i="12834"/>
  <c r="Y112" i="12833"/>
  <c r="Y126" i="12833"/>
  <c r="O50" i="12826"/>
  <c r="P112" i="12833"/>
  <c r="P126" i="12833"/>
  <c r="O27" i="12826"/>
  <c r="X87" i="12825"/>
  <c r="X109" i="12825"/>
  <c r="I101" i="12820"/>
  <c r="J101" i="12820"/>
  <c r="K98" i="12821"/>
  <c r="L98" i="12821"/>
  <c r="Y41" i="12820"/>
  <c r="E58" i="12820"/>
  <c r="F58" i="12820"/>
  <c r="G58" i="12820"/>
  <c r="S192" i="12822"/>
  <c r="K44" i="12834"/>
  <c r="N44" i="12834"/>
  <c r="O44" i="12834"/>
  <c r="U42" i="12820"/>
  <c r="Q42" i="12820"/>
  <c r="D10" i="12835"/>
  <c r="F10" i="12835"/>
  <c r="G10" i="12835"/>
  <c r="Q112" i="12833"/>
  <c r="Q126" i="12833"/>
  <c r="S51" i="12823"/>
  <c r="U54" i="12823"/>
  <c r="S54" i="12823"/>
  <c r="K18" i="12834"/>
  <c r="O23" i="12837"/>
  <c r="N23" i="12837"/>
  <c r="Q23" i="12837"/>
  <c r="S112" i="12833"/>
  <c r="O112" i="12833"/>
  <c r="O126" i="12833"/>
  <c r="T85" i="12825"/>
  <c r="I61" i="12820"/>
  <c r="J61" i="12820"/>
  <c r="M8" i="12825"/>
  <c r="K87" i="12827"/>
  <c r="G87" i="12827"/>
  <c r="G115" i="12827"/>
  <c r="K138" i="12827"/>
  <c r="J138" i="12827"/>
  <c r="H166" i="12827"/>
  <c r="I25" i="12820"/>
  <c r="J25" i="12820"/>
  <c r="Q118" i="12833"/>
  <c r="Q123" i="12833"/>
  <c r="S48" i="12823"/>
  <c r="U52" i="12823"/>
  <c r="S52" i="12823"/>
  <c r="W104" i="12822"/>
  <c r="S104" i="12822"/>
  <c r="F13" i="12822"/>
  <c r="G13" i="12822"/>
  <c r="K97" i="12827"/>
  <c r="G97" i="12827"/>
  <c r="G125" i="12827"/>
  <c r="L26" i="12822"/>
  <c r="S53" i="12823"/>
  <c r="W111" i="12833"/>
  <c r="W124" i="12833"/>
  <c r="S154" i="12822"/>
  <c r="K82" i="12821"/>
  <c r="L82" i="12821"/>
  <c r="M82" i="12821"/>
  <c r="W194" i="12821"/>
  <c r="S194" i="12821"/>
  <c r="K73" i="12821"/>
  <c r="L73" i="12821"/>
  <c r="K98" i="12827"/>
  <c r="G98" i="12827"/>
  <c r="G127" i="12827"/>
  <c r="K149" i="12827"/>
  <c r="G149" i="12827"/>
  <c r="G178" i="12827"/>
  <c r="K69" i="12834"/>
  <c r="K17" i="12834"/>
  <c r="O22" i="12837"/>
  <c r="Q34" i="12820"/>
  <c r="U41" i="12820"/>
  <c r="Q41" i="12820"/>
  <c r="E109" i="12820"/>
  <c r="F109" i="12820"/>
  <c r="G109" i="12820"/>
  <c r="W166" i="12822"/>
  <c r="S166" i="12822"/>
  <c r="S180" i="12822"/>
  <c r="K36" i="12834"/>
  <c r="L36" i="12834"/>
  <c r="L10" i="12834"/>
  <c r="M10" i="12834"/>
  <c r="N118" i="12833"/>
  <c r="N123" i="12833"/>
  <c r="S90" i="12822"/>
  <c r="U94" i="12822"/>
  <c r="S94" i="12822"/>
  <c r="W105" i="12822"/>
  <c r="S105" i="12822"/>
  <c r="S119" i="12822"/>
  <c r="X168" i="12822"/>
  <c r="S156" i="12822"/>
  <c r="I68" i="12820"/>
  <c r="J68" i="12820"/>
  <c r="K68" i="12820"/>
  <c r="X111" i="12833"/>
  <c r="X125" i="12833"/>
  <c r="T150" i="12825"/>
  <c r="X150" i="12825"/>
  <c r="Y154" i="12825"/>
  <c r="U157" i="12822"/>
  <c r="S157" i="12822"/>
  <c r="W168" i="12822"/>
  <c r="S168" i="12822"/>
  <c r="J26" i="12822"/>
  <c r="K26" i="12822"/>
  <c r="Q111" i="12833"/>
  <c r="Q124" i="12833"/>
  <c r="S49" i="12823"/>
  <c r="U53" i="12823"/>
  <c r="M118" i="12833"/>
  <c r="M123" i="12833"/>
  <c r="V118" i="12833"/>
  <c r="V123" i="12833"/>
  <c r="S181" i="12821"/>
  <c r="U183" i="12821"/>
  <c r="S183" i="12821"/>
  <c r="Y118" i="12833"/>
  <c r="Y123" i="12833"/>
  <c r="O47" i="12826"/>
  <c r="Q51" i="12826"/>
  <c r="O51" i="12826"/>
  <c r="S57" i="12826"/>
  <c r="O57" i="12826"/>
  <c r="I45" i="12826"/>
  <c r="J45" i="12826"/>
  <c r="Q52" i="12826"/>
  <c r="O52" i="12826"/>
  <c r="U65" i="12820"/>
  <c r="Y65" i="12820"/>
  <c r="I67" i="12820"/>
  <c r="J67" i="12820"/>
  <c r="K67" i="12820"/>
  <c r="N124" i="12833"/>
  <c r="S91" i="12822"/>
  <c r="P118" i="12833"/>
  <c r="P123" i="12833"/>
  <c r="O24" i="12826"/>
  <c r="U111" i="12833"/>
  <c r="U128" i="12833"/>
  <c r="Q58" i="12820"/>
  <c r="U64" i="12820"/>
  <c r="Q64" i="12820"/>
  <c r="J8" i="12835"/>
  <c r="L8" i="12835"/>
  <c r="AB111" i="12833"/>
  <c r="Y111" i="12833"/>
  <c r="Y124" i="12833"/>
  <c r="O48" i="12826"/>
  <c r="W118" i="12833"/>
  <c r="W123" i="12833"/>
  <c r="S153" i="12822"/>
  <c r="O111" i="12833"/>
  <c r="O124" i="12833"/>
  <c r="T83" i="12825"/>
  <c r="X83" i="12825"/>
  <c r="Y87" i="12825"/>
  <c r="AB112" i="12833"/>
  <c r="W112" i="12833"/>
  <c r="W126" i="12833"/>
  <c r="R111" i="12833"/>
  <c r="R128" i="12833"/>
  <c r="G82" i="12827"/>
  <c r="K99" i="12827"/>
  <c r="G99" i="12827"/>
  <c r="G129" i="12827"/>
  <c r="K150" i="12827"/>
  <c r="G150" i="12827"/>
  <c r="G180" i="12827"/>
  <c r="K46" i="12834"/>
  <c r="L111" i="12833"/>
  <c r="L128" i="12833"/>
  <c r="T158" i="12825"/>
  <c r="K8" i="12825"/>
  <c r="L8" i="12825"/>
  <c r="S118" i="12833"/>
  <c r="O118" i="12833"/>
  <c r="O123" i="12833"/>
  <c r="T82" i="12825"/>
  <c r="V86" i="12825"/>
  <c r="T86" i="12825"/>
  <c r="X92" i="12825"/>
  <c r="W92" i="12825"/>
  <c r="G25" i="12824"/>
  <c r="G31" i="12824"/>
  <c r="F24" i="12824"/>
  <c r="S128" i="12833"/>
  <c r="S111" i="12833"/>
  <c r="N111" i="12833"/>
  <c r="N125" i="12833"/>
  <c r="S92" i="12822"/>
  <c r="X158" i="12825"/>
  <c r="W158" i="12825"/>
  <c r="G39" i="12824"/>
  <c r="G45" i="12824"/>
  <c r="F38" i="12824"/>
  <c r="AB128" i="12833"/>
  <c r="AB118" i="12833"/>
  <c r="X118" i="12833"/>
  <c r="X123" i="12833"/>
  <c r="T148" i="12825"/>
  <c r="V152" i="12825"/>
  <c r="T152" i="12825"/>
</calcChain>
</file>

<file path=xl/comments1.xml><?xml version="1.0" encoding="utf-8"?>
<comments xmlns="http://schemas.openxmlformats.org/spreadsheetml/2006/main">
  <authors>
    <author>P15223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<sst xmlns="http://schemas.openxmlformats.org/spreadsheetml/2006/main" count="11198" uniqueCount="667">
  <si>
    <t>Revenue</t>
  </si>
  <si>
    <t>Total</t>
  </si>
  <si>
    <t xml:space="preserve">Total </t>
  </si>
  <si>
    <t>Temperature</t>
  </si>
  <si>
    <t>Residential</t>
  </si>
  <si>
    <t>Commercial</t>
  </si>
  <si>
    <t>kWh</t>
  </si>
  <si>
    <t>Industrial</t>
  </si>
  <si>
    <t xml:space="preserve"> </t>
  </si>
  <si>
    <t>Rate</t>
  </si>
  <si>
    <t>Booked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</si>
  <si>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</si>
  <si>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</si>
  <si>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</si>
  <si>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</si>
  <si>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</si>
  <si>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</si>
  <si>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</si>
  <si>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</si>
  <si>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</si>
  <si>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</si>
  <si>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</si>
  <si>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</si>
  <si>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</si>
  <si>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</si>
  <si>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</si>
  <si>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</si>
  <si>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</si>
  <si>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</si>
  <si>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$</t>
  </si>
  <si>
    <t>48T</t>
  </si>
  <si>
    <t>Sch. 191</t>
  </si>
  <si>
    <t>02RESD00017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</si>
  <si>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</si>
  <si>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</si>
  <si>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</si>
  <si>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</si>
  <si>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</si>
  <si>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</si>
  <si>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</si>
  <si>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</si>
  <si>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</si>
  <si>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</si>
  <si>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</si>
  <si>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</si>
  <si>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</si>
  <si>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</si>
  <si>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</si>
  <si>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</si>
  <si>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</si>
  <si>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</si>
  <si>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</si>
  <si>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</si>
  <si>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</si>
  <si>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</si>
  <si>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</si>
  <si>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</si>
  <si>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</si>
  <si>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</si>
  <si>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</si>
  <si>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</si>
  <si>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</si>
  <si>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</si>
  <si>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</si>
  <si>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</si>
  <si>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</si>
  <si>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</si>
  <si>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</si>
  <si>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</si>
  <si>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</si>
  <si>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</si>
  <si>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</si>
  <si>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</si>
  <si>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</si>
  <si>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</si>
  <si>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</si>
  <si>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</si>
  <si>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</si>
  <si>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</si>
  <si>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</si>
  <si>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</si>
  <si>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</si>
  <si>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</si>
  <si>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</si>
  <si>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</si>
  <si>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</si>
  <si>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</si>
  <si>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</si>
  <si>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</si>
  <si>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02PRSV47TM</t>
  </si>
  <si>
    <t>MONTHLY KWH</t>
  </si>
  <si>
    <t>02LNX00300-LINE EXT 80% G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</si>
  <si>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</si>
  <si>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</si>
  <si>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</si>
  <si>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</si>
  <si>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</si>
  <si>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</si>
  <si>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</si>
  <si>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</si>
  <si>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</si>
  <si>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</si>
  <si>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</si>
  <si>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</si>
  <si>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</si>
  <si>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</si>
  <si>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</si>
  <si>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</si>
  <si>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</si>
  <si>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</si>
  <si>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</si>
  <si>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</si>
  <si>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</si>
  <si>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</si>
  <si>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</si>
  <si>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</si>
  <si>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</si>
  <si>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</si>
  <si>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</si>
  <si>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</si>
  <si>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SMUD REVENUE IMPUTATIONS</t>
  </si>
  <si>
    <t>02NETMT135 - WA RES NET METERING-BPA</t>
  </si>
  <si>
    <t>305 from Cognos (305 Reports)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</si>
  <si>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</si>
  <si>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</si>
  <si>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</si>
  <si>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</si>
  <si>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</si>
  <si>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02CFR0012</t>
  </si>
  <si>
    <t>02BLSKY01N-BLUESKY ENERGY</t>
  </si>
  <si>
    <t>02UPPL000R-BASE SCH FALL</t>
  </si>
  <si>
    <t>REVENUE ADJUSTMENT - DEFERRED NPC</t>
  </si>
  <si>
    <t>Washington- December 2011</t>
  </si>
  <si>
    <t>12 Months Ended December 2011</t>
  </si>
  <si>
    <t>Washington- 12 Months Ended December 2011</t>
  </si>
  <si>
    <t>Sch. 96</t>
  </si>
  <si>
    <t>24F</t>
  </si>
  <si>
    <t>24FP</t>
  </si>
  <si>
    <t>40X</t>
  </si>
  <si>
    <t>53F</t>
  </si>
  <si>
    <t>18X</t>
  </si>
  <si>
    <t>Jan 2011 - Mar 2011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</si>
  <si>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</si>
  <si>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</si>
  <si>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</si>
  <si>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</si>
  <si>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</si>
  <si>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</si>
  <si>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</si>
  <si>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</si>
  <si>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</si>
  <si>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</si>
  <si>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</si>
  <si>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</si>
  <si>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</si>
  <si>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</si>
  <si>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</si>
  <si>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</si>
  <si>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</si>
  <si>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</si>
  <si>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</si>
  <si>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</si>
  <si>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</si>
  <si>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</si>
  <si>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</si>
  <si>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</si>
  <si>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</si>
  <si>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</si>
  <si>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</si>
  <si>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</si>
  <si>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</si>
  <si>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</si>
  <si>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</si>
  <si>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</si>
  <si>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</si>
  <si>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</si>
  <si>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</si>
  <si>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</si>
  <si>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</si>
  <si>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</si>
  <si>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</si>
  <si>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</si>
  <si>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</si>
  <si>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</si>
  <si>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</si>
  <si>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</si>
  <si>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</si>
  <si>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</si>
  <si>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</si>
  <si>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</si>
  <si>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</si>
  <si>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</si>
  <si>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</si>
  <si>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</si>
  <si>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</si>
  <si>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</si>
  <si>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</si>
  <si>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</si>
  <si>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</si>
  <si>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</si>
  <si>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</si>
  <si>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</si>
  <si>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</si>
  <si>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</si>
  <si>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</si>
  <si>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</si>
  <si>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</si>
  <si>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</si>
  <si>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</si>
  <si>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</si>
  <si>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</si>
  <si>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</si>
  <si>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</si>
  <si>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</si>
  <si>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</si>
  <si>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</si>
  <si>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</si>
  <si>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</si>
  <si>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</si>
  <si>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</si>
  <si>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</si>
  <si>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Average Monthly Customers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</si>
  <si>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</si>
  <si>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</si>
  <si>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</si>
  <si>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</si>
  <si>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</si>
  <si>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</si>
  <si>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</si>
  <si>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</si>
  <si>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</si>
  <si>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</si>
  <si>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</si>
  <si>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</si>
  <si>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</si>
  <si>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</si>
  <si>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</si>
  <si>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</si>
  <si>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</si>
  <si>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</si>
  <si>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</si>
  <si>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</si>
  <si>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</si>
  <si>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</si>
  <si>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</si>
  <si>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</si>
  <si>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</si>
  <si>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</si>
  <si>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</si>
  <si>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</si>
  <si>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</si>
  <si>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</si>
  <si>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</si>
  <si>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</si>
  <si>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</si>
  <si>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</si>
  <si>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</si>
  <si>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</si>
  <si>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</si>
  <si>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</si>
  <si>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</si>
  <si>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</si>
  <si>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</si>
  <si>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</si>
  <si>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</si>
  <si>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</si>
  <si>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</si>
  <si>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</si>
  <si>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</si>
  <si>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</si>
  <si>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</si>
  <si>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</si>
  <si>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</si>
  <si>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</si>
  <si>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</si>
  <si>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</si>
  <si>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</si>
  <si>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</si>
  <si>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</si>
  <si>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</si>
  <si>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</si>
  <si>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</si>
  <si>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</si>
  <si>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</si>
  <si>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</si>
  <si>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</si>
  <si>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</si>
  <si>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</si>
  <si>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</si>
  <si>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</si>
  <si>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</si>
  <si>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</si>
  <si>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</si>
  <si>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</si>
  <si>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</si>
  <si>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</si>
  <si>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</si>
  <si>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</si>
  <si>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</si>
  <si>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</si>
  <si>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</si>
  <si>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</si>
  <si>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</si>
  <si>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</si>
  <si>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</si>
  <si>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</si>
  <si>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</si>
  <si>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</si>
  <si>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</si>
  <si>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</si>
  <si>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</si>
  <si>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</si>
  <si>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</si>
  <si>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</si>
  <si>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</si>
  <si>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</si>
  <si>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</si>
  <si>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</si>
  <si>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</si>
  <si>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</si>
  <si>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</si>
  <si>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</si>
  <si>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</si>
  <si>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</si>
  <si>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</si>
  <si>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</si>
  <si>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</si>
  <si>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</si>
  <si>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</si>
  <si>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</si>
  <si>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</si>
  <si>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</si>
  <si>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</si>
  <si>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</si>
  <si>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</si>
  <si>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</si>
  <si>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</si>
  <si>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</si>
  <si>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</si>
  <si>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</si>
  <si>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</si>
  <si>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</si>
  <si>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</si>
  <si>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</si>
  <si>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</si>
  <si>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</si>
  <si>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</si>
  <si>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</si>
  <si>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</si>
  <si>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</si>
  <si>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</si>
  <si>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</si>
  <si>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</si>
  <si>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</si>
  <si>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</si>
  <si>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</si>
  <si>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</si>
  <si>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</si>
  <si>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</si>
  <si>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</si>
  <si>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</si>
  <si>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</si>
  <si>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</si>
  <si>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</si>
  <si>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</si>
  <si>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</si>
  <si>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</si>
  <si>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</si>
  <si>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</si>
  <si>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</si>
  <si>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</si>
  <si>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</si>
  <si>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</si>
  <si>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</si>
  <si>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</si>
  <si>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</si>
  <si>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</si>
  <si>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</si>
  <si>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</si>
  <si>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t>Schedule 40 Average Monthly Bills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</si>
  <si>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</si>
  <si>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</si>
  <si>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</si>
  <si>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</si>
  <si>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</si>
  <si>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</si>
  <si>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</si>
  <si>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</si>
  <si>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</si>
  <si>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</si>
  <si>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</si>
  <si>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</si>
  <si>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</si>
  <si>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</si>
  <si>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</si>
  <si>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</si>
  <si>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</si>
  <si>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</si>
  <si>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</si>
  <si>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</si>
  <si>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</si>
  <si>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</si>
  <si>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</si>
  <si>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</si>
  <si>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</si>
  <si>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</si>
  <si>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</si>
  <si>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</si>
  <si>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</si>
  <si>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</si>
  <si>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Average Monthly Customers, Kilowatt Hours, and Revenue for the Twelve Months Ended June 2022</t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</si>
  <si>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</si>
  <si>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</si>
  <si>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</si>
  <si>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</si>
  <si>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</si>
  <si>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</si>
  <si>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</si>
  <si>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</si>
  <si>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</si>
  <si>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</si>
  <si>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</si>
  <si>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</si>
  <si>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</si>
  <si>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</si>
  <si>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</si>
  <si>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</si>
  <si>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</si>
  <si>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</si>
  <si>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</si>
  <si>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</si>
  <si>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</si>
  <si>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</si>
  <si>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</si>
  <si>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</si>
  <si>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</si>
  <si>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</si>
  <si>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</si>
  <si>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</si>
  <si>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</si>
  <si>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</si>
  <si>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</si>
  <si>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</si>
  <si>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</si>
  <si>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</si>
  <si>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</si>
  <si>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</si>
  <si>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</si>
  <si>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</si>
  <si>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</si>
  <si>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</si>
  <si>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</si>
  <si>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</si>
  <si>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</si>
  <si>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</si>
  <si>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</si>
  <si>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</si>
  <si>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</si>
  <si>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</si>
  <si>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</si>
  <si>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</si>
  <si>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</si>
  <si>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</si>
  <si>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</si>
  <si>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</si>
  <si>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</si>
  <si>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</si>
  <si>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</si>
  <si>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</si>
  <si>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</si>
  <si>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</si>
  <si>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</si>
  <si>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</si>
  <si>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</si>
  <si>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</si>
  <si>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</si>
  <si>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</si>
  <si>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</si>
  <si>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</si>
  <si>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</si>
  <si>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</si>
  <si>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</si>
  <si>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</si>
  <si>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</si>
  <si>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</si>
  <si>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</si>
  <si>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</si>
  <si>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</si>
  <si>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</si>
  <si>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</si>
  <si>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</si>
  <si>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</si>
  <si>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</si>
  <si>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</si>
  <si>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</si>
  <si>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</si>
  <si>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</si>
  <si>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</si>
  <si>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</si>
  <si>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</si>
  <si>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</si>
  <si>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</si>
  <si>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</si>
  <si>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</si>
  <si>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</si>
  <si>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</si>
  <si>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</si>
  <si>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</si>
  <si>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</si>
  <si>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</si>
  <si>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Note: Excludes Rider Schedules 91, 92, 93, 97, 98, 99, 191, 197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</si>
  <si>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</si>
  <si>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</si>
  <si>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</si>
  <si>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</si>
  <si>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</si>
  <si>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</si>
  <si>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</si>
  <si>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Excludes Rider Schedules 91, 92, 93, 97, 98, 99, 191, 197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</si>
  <si>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</si>
  <si>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</si>
  <si>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</si>
  <si>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</si>
  <si>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</si>
  <si>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</si>
  <si>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</si>
  <si>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</si>
  <si>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</si>
  <si>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</si>
  <si>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</si>
  <si>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</si>
  <si>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</si>
  <si>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</si>
  <si>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</si>
  <si>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</si>
  <si>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</si>
  <si>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</si>
  <si>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</si>
  <si>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</si>
  <si>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</si>
  <si>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</si>
  <si>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</si>
  <si>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</si>
  <si>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</si>
  <si>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</si>
  <si>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</si>
  <si>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</si>
  <si>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Service Schedule</t>
  </si>
  <si>
    <t>Service Description</t>
  </si>
  <si>
    <t>Hours</t>
  </si>
  <si>
    <t>General</t>
  </si>
  <si>
    <t>Outdoor Area Lighting</t>
  </si>
  <si>
    <t>Company-Owned Street Lighting</t>
  </si>
  <si>
    <t>Metered Outdoor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</si>
  <si>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</si>
  <si>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</si>
  <si>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</si>
  <si>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</si>
  <si>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</si>
  <si>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</si>
  <si>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</si>
  <si>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</si>
  <si>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</si>
  <si>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</si>
  <si>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</si>
  <si>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</si>
  <si>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</si>
  <si>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</si>
  <si>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</si>
  <si>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</si>
  <si>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</si>
  <si>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</si>
  <si>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</si>
  <si>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</si>
  <si>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</si>
  <si>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</si>
  <si>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</si>
  <si>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</si>
  <si>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Adjusted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</si>
  <si>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</si>
  <si>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</si>
  <si>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</si>
  <si>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</si>
  <si>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</si>
  <si>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</si>
  <si>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</si>
  <si>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</si>
  <si>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</si>
  <si>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</si>
  <si>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</si>
  <si>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</si>
  <si>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</si>
  <si>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</si>
  <si>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</si>
  <si>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</si>
  <si>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</si>
  <si>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</si>
  <si>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</si>
  <si>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</si>
  <si>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</si>
  <si>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</si>
  <si>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</si>
  <si>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</si>
  <si>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</si>
  <si>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</si>
  <si>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</si>
  <si>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</si>
  <si>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</si>
  <si>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</si>
  <si>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</si>
  <si>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</si>
  <si>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</si>
  <si>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</si>
  <si>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</si>
  <si>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</si>
  <si>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</si>
  <si>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</si>
  <si>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</si>
  <si>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</si>
  <si>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JAM</t>
  </si>
  <si>
    <t>&lt; Proposed</t>
  </si>
  <si>
    <t>&lt; JAM Less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</si>
  <si>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</si>
  <si>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</si>
  <si>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</si>
  <si>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</si>
  <si>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</si>
  <si>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</si>
  <si>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</si>
  <si>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</si>
  <si>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</si>
  <si>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</si>
  <si>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</si>
  <si>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</si>
  <si>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</si>
  <si>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</si>
  <si>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</si>
  <si>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</si>
  <si>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</si>
  <si>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</si>
  <si>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</si>
  <si>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</si>
  <si>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</si>
  <si>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</si>
  <si>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2. Average Usage (1,200 kWh per month), with approximately 29 percent in June - September and 71 percent in October - May (percents per customer usage data for the 12 months ending June 2022)</t>
  </si>
  <si>
    <t>3. Single-Family Household</t>
  </si>
  <si>
    <t>4. Single-Phase Service</t>
  </si>
  <si>
    <t>Witness: Dismukes</t>
  </si>
  <si>
    <t>Current</t>
  </si>
  <si>
    <t xml:space="preserve">Proposed </t>
  </si>
  <si>
    <t>Revenues</t>
  </si>
  <si>
    <t>Increase</t>
  </si>
  <si>
    <t>---------- ($000) ----------</t>
  </si>
  <si>
    <t>Rate Year 1</t>
  </si>
  <si>
    <t>Rate Year 2</t>
  </si>
  <si>
    <t>Docket UE-230172</t>
  </si>
  <si>
    <t>Prepared by: SB 7/21/2023</t>
  </si>
  <si>
    <t>Total Revenues</t>
  </si>
  <si>
    <t>Misc. Credits and Adjustments</t>
  </si>
  <si>
    <t>Relative</t>
  </si>
  <si>
    <t>ROR</t>
  </si>
  <si>
    <t>RY1</t>
  </si>
  <si>
    <t>Cumulative</t>
  </si>
  <si>
    <t>Checked by: TJD 9/6/2023</t>
  </si>
  <si>
    <t>Exhibit DED-6</t>
  </si>
  <si>
    <t>Source: Exhibit No. RMM-6.</t>
  </si>
  <si>
    <t>Exhibit DED-6: Company's Proposed Rate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</si>
</sst>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.00000_);_(&quot;$&quot;* \(#,##0.00000\);_(&quot;$&quot;* &quot;-&quot;?????_);_(@_)"/>
    <numFmt numFmtId="167" formatCode="#,##0.00;\-#,##0.00"/>
    <numFmt numFmtId="168" formatCode="&quot;$&quot;#,##0.00"/>
    <numFmt numFmtId="169" formatCode="########\-###\-###"/>
    <numFmt numFmtId="170" formatCode="_(* #,##0.00000_);_(* \(#,##0.00000\);_(* &quot;-&quot;??_);_(@_)"/>
    <numFmt numFmtId="171" formatCode="[$-409]mmm\-yy;@"/>
    <numFmt numFmtId="172" formatCode="_(* #,##0.000_);_(* \(#,##0.000\);_(* &quot;-&quot;??_);_(@_)"/>
    <numFmt numFmtId="173" formatCode="_(* #,##0.0_);_(* \(#,##0.0\);_(* &quot;-&quot;??_);_(@_)"/>
    <numFmt numFmtId="174" formatCode="[$-409]mmmm\ d\,\ yyyy;@"/>
    <numFmt numFmtId="175" formatCode="0.0%"/>
    <numFmt numFmtId="176" formatCode="_(* #,##0.00000_);_(* \(#,##0.00000\);_(* &quot;-&quot;?????_);_(@_)"/>
    <numFmt numFmtId="177" formatCode="_(* #,##0.000000_);_(* \(#,##0.000000\);_(* &quot;-&quot;??_);_(@_)"/>
  </numFmts>
  <fonts count="52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2">
    <xf numFmtId="0" fontId="0" fillId="0" borderId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9" fillId="0" borderId="0"/>
    <xf numFmtId="0" fontId="16" fillId="0" borderId="0"/>
    <xf numFmtId="9" fontId="29" fillId="0" borderId="0" applyFont="0" applyFill="0" applyBorder="0" applyAlignment="0" applyProtection="0"/>
    <xf numFmtId="165" fontId="20" fillId="0" borderId="0">
      <alignment horizontal="left"/>
    </xf>
    <xf numFmtId="0" fontId="31" fillId="0" borderId="0"/>
    <xf numFmtId="43" fontId="31" fillId="0" borderId="0" applyFont="0" applyFill="0" applyBorder="0" applyAlignment="0" applyProtection="0"/>
    <xf numFmtId="0" fontId="32" fillId="0" borderId="0">
      <alignment wrapText="1"/>
    </xf>
    <xf numFmtId="0" fontId="33" fillId="0" borderId="0"/>
    <xf numFmtId="43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0" fontId="32" fillId="0" borderId="0"/>
    <xf numFmtId="43" fontId="32" fillId="0" borderId="0" applyFont="0" applyFill="0" applyBorder="0" applyAlignment="0" applyProtection="0"/>
    <xf numFmtId="169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0" borderId="0"/>
    <xf numFmtId="0" fontId="34" fillId="0" borderId="0"/>
    <xf numFmtId="0" fontId="33" fillId="0" borderId="0"/>
    <xf numFmtId="0" fontId="9" fillId="0" borderId="0"/>
    <xf numFmtId="0" fontId="8" fillId="0" borderId="0"/>
    <xf numFmtId="0" fontId="7" fillId="0" borderId="0"/>
    <xf numFmtId="0" fontId="36" fillId="0" borderId="0"/>
    <xf numFmtId="0" fontId="13" fillId="0" borderId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36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36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8" fillId="0" borderId="0"/>
    <xf numFmtId="44" fontId="5" fillId="0" borderId="0" applyFont="0" applyFill="0" applyBorder="0" applyAlignment="0" applyProtection="0"/>
    <xf numFmtId="0" fontId="5" fillId="0" borderId="0"/>
  </cellStyleXfs>
  <cellXfs count="725">
    <xf numFmtId="0" fontId="0" fillId="0" borderId="0" xfId="0"/>
    <xf numFmtId="0" fontId="15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3" fontId="15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0" fontId="21" fillId="0" borderId="5" xfId="0" applyFont="1" applyBorder="1" applyAlignment="1">
      <alignment horizontal="left"/>
    </xf>
    <xf numFmtId="0" fontId="0" fillId="0" borderId="6" xfId="0" applyBorder="1"/>
    <xf numFmtId="0" fontId="18" fillId="0" borderId="0" xfId="0" applyFont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3" fontId="0" fillId="0" borderId="0" xfId="0" applyNumberFormat="1"/>
    <xf numFmtId="164" fontId="0" fillId="0" borderId="2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6" fontId="22" fillId="0" borderId="0" xfId="0" applyNumberFormat="1" applyFont="1"/>
    <xf numFmtId="0" fontId="0" fillId="0" borderId="1" xfId="0" applyBorder="1"/>
    <xf numFmtId="0" fontId="23" fillId="0" borderId="0" xfId="0" applyFont="1"/>
    <xf numFmtId="0" fontId="18" fillId="0" borderId="6" xfId="0" applyFont="1" applyBorder="1" applyAlignment="1">
      <alignment horizontal="center"/>
    </xf>
    <xf numFmtId="5" fontId="0" fillId="0" borderId="0" xfId="0" applyNumberFormat="1"/>
    <xf numFmtId="0" fontId="0" fillId="0" borderId="8" xfId="0" applyBorder="1"/>
    <xf numFmtId="14" fontId="18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1" applyNumberFormat="1" applyFont="1" applyFill="1"/>
    <xf numFmtId="5" fontId="15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/>
    <xf numFmtId="1" fontId="15" fillId="0" borderId="0" xfId="0" applyNumberFormat="1" applyFont="1" applyAlignment="1">
      <alignment horizontal="right"/>
    </xf>
    <xf numFmtId="0" fontId="27" fillId="0" borderId="0" xfId="0" applyFont="1" applyAlignment="1" applyProtection="1">
      <alignment horizontal="left" vertical="top"/>
      <protection locked="0"/>
    </xf>
    <xf numFmtId="1" fontId="15" fillId="0" borderId="0" xfId="1" applyNumberFormat="1" applyFont="1" applyFill="1" applyBorder="1" applyAlignment="1">
      <alignment horizontal="right"/>
    </xf>
    <xf numFmtId="166" fontId="15" fillId="0" borderId="0" xfId="0" applyNumberFormat="1" applyFont="1"/>
    <xf numFmtId="49" fontId="15" fillId="0" borderId="0" xfId="6" applyNumberFormat="1" applyFont="1"/>
    <xf numFmtId="7" fontId="15" fillId="0" borderId="0" xfId="0" applyNumberFormat="1" applyFont="1"/>
    <xf numFmtId="0" fontId="30" fillId="0" borderId="0" xfId="0" applyFont="1" applyAlignment="1">
      <alignment horizontal="left"/>
    </xf>
    <xf numFmtId="166" fontId="18" fillId="0" borderId="0" xfId="0" applyNumberFormat="1" applyFont="1"/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168" fontId="27" fillId="0" borderId="0" xfId="0" applyNumberFormat="1" applyFont="1" applyAlignment="1" applyProtection="1">
      <alignment horizontal="right" vertical="top"/>
      <protection locked="0"/>
    </xf>
    <xf numFmtId="17" fontId="15" fillId="0" borderId="0" xfId="0" quotePrefix="1" applyNumberFormat="1" applyFont="1" applyAlignment="1">
      <alignment horizontal="left"/>
    </xf>
    <xf numFmtId="164" fontId="15" fillId="0" borderId="0" xfId="47" applyNumberFormat="1" applyFont="1" applyFill="1" applyBorder="1" applyAlignment="1"/>
    <xf numFmtId="164" fontId="15" fillId="0" borderId="0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centerContinuous"/>
    </xf>
    <xf numFmtId="164" fontId="39" fillId="0" borderId="0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center"/>
    </xf>
    <xf numFmtId="164" fontId="15" fillId="0" borderId="16" xfId="47" applyNumberFormat="1" applyFont="1" applyFill="1" applyBorder="1" applyAlignment="1"/>
    <xf numFmtId="164" fontId="15" fillId="0" borderId="17" xfId="47" applyNumberFormat="1" applyFont="1" applyFill="1" applyBorder="1" applyAlignment="1"/>
    <xf numFmtId="164" fontId="15" fillId="0" borderId="16" xfId="47" applyNumberFormat="1" applyFont="1" applyFill="1" applyBorder="1" applyAlignment="1" applyProtection="1">
      <alignment horizontal="center"/>
    </xf>
    <xf numFmtId="164" fontId="15" fillId="0" borderId="17" xfId="47" applyNumberFormat="1" applyFont="1" applyFill="1" applyBorder="1" applyAlignment="1" applyProtection="1">
      <alignment horizontal="centerContinuous"/>
    </xf>
    <xf numFmtId="164" fontId="38" fillId="0" borderId="17" xfId="47" applyNumberFormat="1" applyFont="1" applyFill="1" applyBorder="1" applyAlignment="1" applyProtection="1">
      <alignment horizontal="left"/>
    </xf>
    <xf numFmtId="164" fontId="15" fillId="0" borderId="12" xfId="47" applyNumberFormat="1" applyFont="1" applyFill="1" applyBorder="1" applyAlignment="1">
      <alignment horizontal="centerContinuous"/>
    </xf>
    <xf numFmtId="164" fontId="15" fillId="0" borderId="17" xfId="47" applyNumberFormat="1" applyFont="1" applyFill="1" applyBorder="1" applyAlignment="1">
      <alignment horizontal="left"/>
    </xf>
    <xf numFmtId="164" fontId="39" fillId="0" borderId="17" xfId="47" applyNumberFormat="1" applyFont="1" applyFill="1" applyBorder="1" applyAlignment="1">
      <alignment horizontal="left"/>
    </xf>
    <xf numFmtId="164" fontId="15" fillId="0" borderId="19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left"/>
    </xf>
    <xf numFmtId="164" fontId="15" fillId="0" borderId="16" xfId="47" applyNumberFormat="1" applyFont="1" applyFill="1" applyBorder="1" applyAlignment="1" applyProtection="1">
      <alignment horizontal="centerContinuous"/>
    </xf>
    <xf numFmtId="164" fontId="15" fillId="0" borderId="17" xfId="1" applyNumberFormat="1" applyFont="1" applyFill="1" applyBorder="1" applyAlignment="1"/>
    <xf numFmtId="164" fontId="15" fillId="0" borderId="19" xfId="1" applyNumberFormat="1" applyFont="1" applyFill="1" applyBorder="1" applyAlignment="1"/>
    <xf numFmtId="164" fontId="15" fillId="0" borderId="15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/>
    <xf numFmtId="164" fontId="38" fillId="0" borderId="16" xfId="47" applyNumberFormat="1" applyFont="1" applyFill="1" applyBorder="1" applyAlignment="1" applyProtection="1">
      <alignment horizontal="left"/>
    </xf>
    <xf numFmtId="164" fontId="38" fillId="0" borderId="13" xfId="47" applyNumberFormat="1" applyFont="1" applyFill="1" applyBorder="1" applyAlignment="1" applyProtection="1">
      <alignment horizontal="centerContinuous"/>
    </xf>
    <xf numFmtId="164" fontId="15" fillId="0" borderId="7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left"/>
    </xf>
    <xf numFmtId="164" fontId="15" fillId="0" borderId="5" xfId="47" applyNumberFormat="1" applyFont="1" applyFill="1" applyBorder="1" applyAlignment="1" applyProtection="1">
      <alignment horizontal="center"/>
    </xf>
    <xf numFmtId="164" fontId="15" fillId="0" borderId="4" xfId="47" applyNumberFormat="1" applyFont="1" applyFill="1" applyBorder="1" applyAlignment="1" applyProtection="1">
      <alignment horizontal="centerContinuous"/>
    </xf>
    <xf numFmtId="164" fontId="15" fillId="0" borderId="16" xfId="47" quotePrefix="1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3" xfId="47" applyNumberFormat="1" applyFont="1" applyFill="1" applyBorder="1" applyAlignment="1">
      <alignment horizontal="center"/>
    </xf>
    <xf numFmtId="164" fontId="15" fillId="0" borderId="3" xfId="47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0" borderId="13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>
      <alignment horizontal="left"/>
    </xf>
    <xf numFmtId="164" fontId="39" fillId="0" borderId="4" xfId="47" applyNumberFormat="1" applyFont="1" applyFill="1" applyBorder="1" applyAlignment="1">
      <alignment horizontal="left"/>
    </xf>
    <xf numFmtId="164" fontId="15" fillId="0" borderId="5" xfId="47" quotePrefix="1" applyNumberFormat="1" applyFont="1" applyFill="1" applyBorder="1" applyAlignment="1">
      <alignment horizontal="left"/>
    </xf>
    <xf numFmtId="164" fontId="15" fillId="0" borderId="12" xfId="47" applyNumberFormat="1" applyFont="1" applyFill="1" applyBorder="1" applyAlignment="1">
      <alignment horizontal="left"/>
    </xf>
    <xf numFmtId="164" fontId="15" fillId="0" borderId="7" xfId="47" applyNumberFormat="1" applyFont="1" applyFill="1" applyBorder="1" applyAlignment="1" applyProtection="1">
      <alignment horizontal="center"/>
    </xf>
    <xf numFmtId="164" fontId="39" fillId="0" borderId="1" xfId="47" applyNumberFormat="1" applyFont="1" applyFill="1" applyBorder="1" applyAlignment="1">
      <alignment horizontal="left"/>
    </xf>
    <xf numFmtId="164" fontId="15" fillId="0" borderId="7" xfId="47" quotePrefix="1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left"/>
    </xf>
    <xf numFmtId="164" fontId="0" fillId="0" borderId="0" xfId="76" applyNumberFormat="1" applyFont="1" applyFill="1" applyBorder="1" applyAlignment="1"/>
    <xf numFmtId="164" fontId="15" fillId="0" borderId="0" xfId="76" applyNumberFormat="1" applyFont="1" applyFill="1" applyBorder="1" applyAlignment="1"/>
    <xf numFmtId="164" fontId="15" fillId="0" borderId="6" xfId="47" applyNumberFormat="1" applyFont="1" applyFill="1" applyBorder="1" applyAlignment="1"/>
    <xf numFmtId="164" fontId="15" fillId="0" borderId="14" xfId="47" applyNumberFormat="1" applyFont="1" applyFill="1" applyBorder="1" applyAlignment="1">
      <alignment horizontal="centerContinuous"/>
    </xf>
    <xf numFmtId="164" fontId="15" fillId="0" borderId="1" xfId="47" applyNumberFormat="1" applyFont="1" applyFill="1" applyBorder="1" applyAlignment="1" applyProtection="1">
      <alignment horizontal="centerContinuous"/>
    </xf>
    <xf numFmtId="164" fontId="15" fillId="0" borderId="18" xfId="47" applyNumberFormat="1" applyFont="1" applyFill="1" applyBorder="1" applyAlignment="1">
      <alignment horizontal="centerContinuous"/>
    </xf>
    <xf numFmtId="164" fontId="15" fillId="0" borderId="11" xfId="47" applyNumberFormat="1" applyFont="1" applyFill="1" applyBorder="1" applyAlignment="1">
      <alignment horizontal="centerContinuous"/>
    </xf>
    <xf numFmtId="164" fontId="15" fillId="0" borderId="14" xfId="47" applyNumberFormat="1" applyFont="1" applyFill="1" applyBorder="1" applyAlignment="1">
      <alignment horizontal="center"/>
    </xf>
    <xf numFmtId="164" fontId="15" fillId="0" borderId="5" xfId="47" applyNumberFormat="1" applyFont="1" applyFill="1" applyBorder="1" applyAlignment="1"/>
    <xf numFmtId="164" fontId="0" fillId="0" borderId="17" xfId="76" applyNumberFormat="1" applyFont="1" applyFill="1" applyBorder="1" applyAlignment="1"/>
    <xf numFmtId="164" fontId="40" fillId="0" borderId="17" xfId="1" applyNumberFormat="1" applyFont="1" applyFill="1" applyBorder="1" applyAlignment="1">
      <alignment horizontal="left"/>
    </xf>
    <xf numFmtId="164" fontId="15" fillId="0" borderId="17" xfId="76" applyNumberFormat="1" applyFont="1" applyFill="1" applyBorder="1" applyAlignment="1"/>
    <xf numFmtId="12" fontId="15" fillId="0" borderId="18" xfId="41" applyNumberFormat="1" applyFont="1" applyBorder="1" applyAlignment="1">
      <alignment horizontal="center"/>
    </xf>
    <xf numFmtId="12" fontId="15" fillId="0" borderId="11" xfId="41" applyNumberFormat="1" applyFont="1" applyBorder="1" applyAlignment="1">
      <alignment horizontal="center"/>
    </xf>
    <xf numFmtId="12" fontId="15" fillId="0" borderId="0" xfId="41" applyNumberFormat="1" applyFont="1" applyAlignment="1">
      <alignment horizontal="left"/>
    </xf>
    <xf numFmtId="12" fontId="17" fillId="0" borderId="0" xfId="41" applyNumberFormat="1" applyFont="1" applyAlignment="1">
      <alignment horizontal="left"/>
    </xf>
    <xf numFmtId="164" fontId="41" fillId="0" borderId="0" xfId="41" applyNumberFormat="1" applyFont="1" applyAlignment="1">
      <alignment horizontal="center"/>
    </xf>
    <xf numFmtId="0" fontId="41" fillId="0" borderId="0" xfId="41" applyFont="1" applyAlignment="1">
      <alignment horizontal="center"/>
    </xf>
    <xf numFmtId="164" fontId="42" fillId="0" borderId="0" xfId="41" applyNumberFormat="1" applyFont="1"/>
    <xf numFmtId="0" fontId="42" fillId="0" borderId="0" xfId="41" applyFont="1"/>
    <xf numFmtId="164" fontId="35" fillId="0" borderId="0" xfId="47" applyNumberFormat="1" applyFont="1" applyFill="1" applyBorder="1" applyAlignment="1">
      <alignment horizontal="left"/>
    </xf>
    <xf numFmtId="164" fontId="35" fillId="0" borderId="0" xfId="1" applyNumberFormat="1" applyFont="1" applyFill="1"/>
    <xf numFmtId="164" fontId="40" fillId="0" borderId="0" xfId="47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0" fillId="0" borderId="0" xfId="75" applyNumberFormat="1" applyFont="1" applyFill="1" applyAlignment="1"/>
    <xf numFmtId="164" fontId="15" fillId="0" borderId="12" xfId="75" applyNumberFormat="1" applyFont="1" applyFill="1" applyBorder="1" applyAlignment="1">
      <alignment horizontal="centerContinuous"/>
    </xf>
    <xf numFmtId="164" fontId="0" fillId="0" borderId="13" xfId="75" applyNumberFormat="1" applyFont="1" applyFill="1" applyBorder="1" applyAlignment="1">
      <alignment horizontal="centerContinuous"/>
    </xf>
    <xf numFmtId="164" fontId="0" fillId="0" borderId="14" xfId="75" applyNumberFormat="1" applyFont="1" applyFill="1" applyBorder="1" applyAlignment="1">
      <alignment horizontal="centerContinuous"/>
    </xf>
    <xf numFmtId="164" fontId="0" fillId="0" borderId="16" xfId="75" applyNumberFormat="1" applyFont="1" applyFill="1" applyBorder="1" applyAlignment="1"/>
    <xf numFmtId="164" fontId="0" fillId="0" borderId="5" xfId="75" applyNumberFormat="1" applyFont="1" applyFill="1" applyBorder="1" applyAlignment="1"/>
    <xf numFmtId="164" fontId="0" fillId="0" borderId="16" xfId="75" quotePrefix="1" applyNumberFormat="1" applyFont="1" applyFill="1" applyBorder="1" applyAlignment="1">
      <alignment horizontal="center"/>
    </xf>
    <xf numFmtId="171" fontId="40" fillId="0" borderId="16" xfId="76" applyNumberFormat="1" applyFont="1" applyFill="1" applyBorder="1" applyAlignment="1">
      <alignment horizontal="center"/>
    </xf>
    <xf numFmtId="164" fontId="15" fillId="0" borderId="18" xfId="75" applyNumberFormat="1" applyFont="1" applyFill="1" applyBorder="1" applyAlignment="1">
      <alignment horizontal="center"/>
    </xf>
    <xf numFmtId="164" fontId="15" fillId="0" borderId="16" xfId="60" applyNumberFormat="1" applyFont="1" applyFill="1" applyBorder="1" applyAlignment="1">
      <alignment horizontal="left"/>
    </xf>
    <xf numFmtId="164" fontId="35" fillId="0" borderId="16" xfId="75" applyNumberFormat="1" applyFont="1" applyFill="1" applyBorder="1" applyAlignment="1"/>
    <xf numFmtId="164" fontId="0" fillId="0" borderId="17" xfId="75" applyNumberFormat="1" applyFont="1" applyFill="1" applyBorder="1" applyAlignment="1"/>
    <xf numFmtId="164" fontId="15" fillId="0" borderId="17" xfId="60" applyNumberFormat="1" applyFont="1" applyFill="1" applyBorder="1" applyAlignment="1">
      <alignment horizontal="left"/>
    </xf>
    <xf numFmtId="43" fontId="0" fillId="0" borderId="4" xfId="75" quotePrefix="1" applyFont="1" applyFill="1" applyBorder="1" applyAlignment="1"/>
    <xf numFmtId="164" fontId="15" fillId="0" borderId="17" xfId="75" applyNumberFormat="1" applyFont="1" applyFill="1" applyBorder="1" applyAlignment="1"/>
    <xf numFmtId="164" fontId="35" fillId="0" borderId="17" xfId="75" applyNumberFormat="1" applyFont="1" applyFill="1" applyBorder="1" applyAlignment="1"/>
    <xf numFmtId="164" fontId="0" fillId="0" borderId="4" xfId="75" quotePrefix="1" applyNumberFormat="1" applyFont="1" applyFill="1" applyBorder="1" applyAlignment="1"/>
    <xf numFmtId="164" fontId="0" fillId="0" borderId="4" xfId="75" applyNumberFormat="1" applyFont="1" applyFill="1" applyBorder="1" applyAlignment="1"/>
    <xf numFmtId="43" fontId="0" fillId="0" borderId="18" xfId="75" applyFont="1" applyFill="1" applyBorder="1" applyAlignment="1"/>
    <xf numFmtId="164" fontId="0" fillId="0" borderId="18" xfId="75" applyNumberFormat="1" applyFont="1" applyFill="1" applyBorder="1" applyAlignment="1"/>
    <xf numFmtId="164" fontId="15" fillId="0" borderId="18" xfId="60" applyNumberFormat="1" applyFont="1" applyFill="1" applyBorder="1" applyAlignment="1">
      <alignment horizontal="left"/>
    </xf>
    <xf numFmtId="164" fontId="0" fillId="0" borderId="11" xfId="75" applyNumberFormat="1" applyFont="1" applyFill="1" applyBorder="1" applyAlignment="1"/>
    <xf numFmtId="164" fontId="15" fillId="0" borderId="18" xfId="75" applyNumberFormat="1" applyFont="1" applyFill="1" applyBorder="1" applyAlignment="1"/>
    <xf numFmtId="164" fontId="35" fillId="0" borderId="18" xfId="75" applyNumberFormat="1" applyFont="1" applyFill="1" applyBorder="1" applyAlignment="1"/>
    <xf numFmtId="164" fontId="0" fillId="0" borderId="0" xfId="75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0" xfId="1" applyNumberFormat="1" applyFont="1" applyFill="1" applyBorder="1"/>
    <xf numFmtId="164" fontId="0" fillId="0" borderId="16" xfId="76" applyNumberFormat="1" applyFont="1" applyFill="1" applyBorder="1" applyAlignment="1"/>
    <xf numFmtId="164" fontId="15" fillId="0" borderId="16" xfId="76" applyNumberFormat="1" applyFont="1" applyFill="1" applyBorder="1" applyAlignment="1"/>
    <xf numFmtId="164" fontId="0" fillId="0" borderId="16" xfId="1" applyNumberFormat="1" applyFont="1" applyFill="1" applyBorder="1" applyAlignment="1"/>
    <xf numFmtId="164" fontId="35" fillId="0" borderId="16" xfId="76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/>
    <xf numFmtId="164" fontId="35" fillId="0" borderId="17" xfId="76" applyNumberFormat="1" applyFont="1" applyFill="1" applyBorder="1" applyAlignment="1">
      <alignment horizontal="right"/>
    </xf>
    <xf numFmtId="164" fontId="15" fillId="0" borderId="18" xfId="76" applyNumberFormat="1" applyFont="1" applyFill="1" applyBorder="1" applyAlignment="1"/>
    <xf numFmtId="164" fontId="0" fillId="0" borderId="18" xfId="1" applyNumberFormat="1" applyFont="1" applyFill="1" applyBorder="1" applyAlignment="1"/>
    <xf numFmtId="164" fontId="0" fillId="0" borderId="18" xfId="76" applyNumberFormat="1" applyFont="1" applyFill="1" applyBorder="1" applyAlignment="1"/>
    <xf numFmtId="164" fontId="35" fillId="0" borderId="18" xfId="76" applyNumberFormat="1" applyFont="1" applyFill="1" applyBorder="1" applyAlignment="1">
      <alignment horizontal="right"/>
    </xf>
    <xf numFmtId="164" fontId="35" fillId="0" borderId="16" xfId="76" applyNumberFormat="1" applyFont="1" applyFill="1" applyBorder="1" applyAlignment="1">
      <alignment horizontal="right"/>
    </xf>
    <xf numFmtId="164" fontId="35" fillId="0" borderId="17" xfId="76" applyNumberFormat="1" applyFont="1" applyFill="1" applyBorder="1" applyAlignment="1"/>
    <xf numFmtId="164" fontId="35" fillId="0" borderId="18" xfId="76" applyNumberFormat="1" applyFont="1" applyFill="1" applyBorder="1" applyAlignment="1"/>
    <xf numFmtId="164" fontId="15" fillId="0" borderId="0" xfId="59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58" applyFont="1"/>
    <xf numFmtId="0" fontId="15" fillId="0" borderId="0" xfId="58" applyFont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3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/>
    <xf numFmtId="164" fontId="15" fillId="0" borderId="6" xfId="1" applyNumberFormat="1" applyFont="1" applyFill="1" applyBorder="1" applyAlignment="1"/>
    <xf numFmtId="164" fontId="15" fillId="0" borderId="0" xfId="47" applyNumberFormat="1" applyFont="1" applyFill="1" applyBorder="1" applyAlignment="1" applyProtection="1">
      <alignment horizontal="left"/>
    </xf>
    <xf numFmtId="164" fontId="15" fillId="0" borderId="11" xfId="47" applyNumberFormat="1" applyFont="1" applyFill="1" applyBorder="1" applyAlignment="1" applyProtection="1">
      <alignment horizontal="centerContinuous"/>
    </xf>
    <xf numFmtId="164" fontId="15" fillId="0" borderId="0" xfId="47" applyNumberFormat="1" applyFont="1" applyFill="1" applyBorder="1" applyAlignment="1" applyProtection="1">
      <alignment horizontal="center"/>
    </xf>
    <xf numFmtId="164" fontId="15" fillId="0" borderId="15" xfId="47" applyNumberFormat="1" applyFont="1" applyFill="1" applyBorder="1" applyAlignment="1" applyProtection="1">
      <alignment horizontal="center"/>
    </xf>
    <xf numFmtId="164" fontId="15" fillId="0" borderId="16" xfId="47" quotePrefix="1" applyNumberFormat="1" applyFont="1" applyFill="1" applyBorder="1" applyAlignment="1" applyProtection="1">
      <alignment horizontal="center"/>
    </xf>
    <xf numFmtId="164" fontId="0" fillId="0" borderId="17" xfId="1" applyNumberFormat="1" applyFont="1" applyBorder="1" applyAlignment="1"/>
    <xf numFmtId="43" fontId="0" fillId="0" borderId="17" xfId="75" applyFont="1" applyFill="1" applyBorder="1" applyAlignment="1"/>
    <xf numFmtId="164" fontId="0" fillId="0" borderId="4" xfId="56" applyNumberFormat="1" applyFont="1" applyBorder="1" applyAlignment="1"/>
    <xf numFmtId="164" fontId="0" fillId="0" borderId="5" xfId="56" applyNumberFormat="1" applyFont="1" applyBorder="1" applyAlignment="1"/>
    <xf numFmtId="164" fontId="0" fillId="0" borderId="11" xfId="56" applyNumberFormat="1" applyFont="1" applyBorder="1" applyAlignment="1"/>
    <xf numFmtId="164" fontId="0" fillId="0" borderId="7" xfId="75" applyNumberFormat="1" applyFont="1" applyFill="1" applyBorder="1" applyAlignment="1">
      <alignment horizontal="centerContinuous"/>
    </xf>
    <xf numFmtId="164" fontId="15" fillId="0" borderId="16" xfId="75" applyNumberFormat="1" applyFont="1" applyFill="1" applyBorder="1" applyAlignment="1"/>
    <xf numFmtId="172" fontId="15" fillId="0" borderId="17" xfId="1" applyNumberFormat="1" applyFont="1" applyFill="1" applyBorder="1" applyAlignment="1">
      <alignment horizontal="center"/>
    </xf>
    <xf numFmtId="172" fontId="35" fillId="0" borderId="16" xfId="1" applyNumberFormat="1" applyFont="1" applyFill="1" applyBorder="1" applyAlignment="1">
      <alignment horizontal="center"/>
    </xf>
    <xf numFmtId="172" fontId="35" fillId="0" borderId="17" xfId="1" applyNumberFormat="1" applyFont="1" applyFill="1" applyBorder="1" applyAlignment="1">
      <alignment horizontal="center"/>
    </xf>
    <xf numFmtId="172" fontId="35" fillId="0" borderId="18" xfId="1" applyNumberFormat="1" applyFont="1" applyFill="1" applyBorder="1" applyAlignment="1">
      <alignment horizontal="center"/>
    </xf>
    <xf numFmtId="173" fontId="35" fillId="0" borderId="17" xfId="1" applyNumberFormat="1" applyFont="1" applyFill="1" applyBorder="1" applyAlignment="1">
      <alignment horizontal="center"/>
    </xf>
    <xf numFmtId="173" fontId="15" fillId="0" borderId="17" xfId="1" applyNumberFormat="1" applyFont="1" applyFill="1" applyBorder="1" applyAlignment="1">
      <alignment horizontal="center"/>
    </xf>
    <xf numFmtId="172" fontId="15" fillId="0" borderId="19" xfId="1" applyNumberFormat="1" applyFont="1" applyFill="1" applyBorder="1" applyAlignment="1">
      <alignment horizontal="centerContinuous"/>
    </xf>
    <xf numFmtId="174" fontId="15" fillId="0" borderId="18" xfId="1" applyNumberFormat="1" applyFont="1" applyFill="1" applyBorder="1" applyAlignment="1">
      <alignment horizontal="center"/>
    </xf>
    <xf numFmtId="164" fontId="15" fillId="0" borderId="17" xfId="47" applyNumberFormat="1" applyFont="1" applyFill="1" applyBorder="1" applyAlignment="1">
      <alignment horizontal="center"/>
    </xf>
    <xf numFmtId="164" fontId="15" fillId="0" borderId="4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left"/>
    </xf>
    <xf numFmtId="164" fontId="38" fillId="0" borderId="6" xfId="47" applyNumberFormat="1" applyFont="1" applyFill="1" applyBorder="1" applyAlignment="1" applyProtection="1">
      <alignment horizontal="centerContinuous"/>
    </xf>
    <xf numFmtId="164" fontId="38" fillId="0" borderId="5" xfId="47" applyNumberFormat="1" applyFont="1" applyFill="1" applyBorder="1" applyAlignment="1" applyProtection="1">
      <alignment horizontal="centerContinuous"/>
    </xf>
    <xf numFmtId="164" fontId="38" fillId="0" borderId="7" xfId="47" applyNumberFormat="1" applyFont="1" applyFill="1" applyBorder="1" applyAlignment="1" applyProtection="1">
      <alignment horizontal="centerContinuous"/>
    </xf>
    <xf numFmtId="164" fontId="38" fillId="0" borderId="11" xfId="47" applyNumberFormat="1" applyFont="1" applyFill="1" applyBorder="1" applyAlignment="1" applyProtection="1">
      <alignment horizontal="centerContinuous"/>
    </xf>
    <xf numFmtId="164" fontId="38" fillId="0" borderId="15" xfId="47" applyNumberFormat="1" applyFont="1" applyFill="1" applyBorder="1" applyAlignment="1" applyProtection="1">
      <alignment horizontal="centerContinuous"/>
    </xf>
    <xf numFmtId="164" fontId="15" fillId="0" borderId="6" xfId="47" applyNumberFormat="1" applyFont="1" applyFill="1" applyBorder="1" applyAlignment="1">
      <alignment horizontal="centerContinuous"/>
    </xf>
    <xf numFmtId="164" fontId="14" fillId="0" borderId="6" xfId="47" applyNumberFormat="1" applyFont="1" applyFill="1" applyBorder="1" applyAlignment="1">
      <alignment horizontal="centerContinuous"/>
    </xf>
    <xf numFmtId="12" fontId="15" fillId="0" borderId="18" xfId="41" applyNumberFormat="1" applyFont="1" applyBorder="1" applyAlignment="1">
      <alignment horizontal="centerContinuous"/>
    </xf>
    <xf numFmtId="164" fontId="14" fillId="0" borderId="18" xfId="47" applyNumberFormat="1" applyFont="1" applyFill="1" applyBorder="1" applyAlignment="1">
      <alignment horizontal="centerContinuous"/>
    </xf>
    <xf numFmtId="164" fontId="15" fillId="0" borderId="5" xfId="47" applyNumberFormat="1" applyFont="1" applyFill="1" applyBorder="1" applyAlignment="1">
      <alignment horizontal="centerContinuous"/>
    </xf>
    <xf numFmtId="164" fontId="14" fillId="0" borderId="7" xfId="47" applyNumberFormat="1" applyFont="1" applyFill="1" applyBorder="1" applyAlignment="1">
      <alignment horizontal="centerContinuous"/>
    </xf>
    <xf numFmtId="14" fontId="15" fillId="0" borderId="18" xfId="1" applyNumberFormat="1" applyFont="1" applyFill="1" applyBorder="1" applyAlignment="1">
      <alignment horizontal="center"/>
    </xf>
    <xf numFmtId="164" fontId="15" fillId="0" borderId="0" xfId="47" applyNumberFormat="1" applyFont="1" applyFill="1" applyBorder="1" applyAlignment="1">
      <alignment horizontal="center"/>
    </xf>
    <xf numFmtId="164" fontId="15" fillId="0" borderId="7" xfId="47" applyNumberFormat="1" applyFont="1" applyFill="1" applyBorder="1" applyAlignment="1">
      <alignment horizontal="centerContinuous"/>
    </xf>
    <xf numFmtId="164" fontId="15" fillId="0" borderId="16" xfId="47" applyNumberFormat="1" applyFont="1" applyFill="1" applyBorder="1" applyAlignment="1">
      <alignment horizontal="centerContinuous"/>
    </xf>
    <xf numFmtId="164" fontId="15" fillId="0" borderId="18" xfId="47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43" fontId="0" fillId="0" borderId="0" xfId="1" applyFont="1"/>
    <xf numFmtId="171" fontId="40" fillId="0" borderId="18" xfId="2" applyNumberFormat="1" applyFont="1" applyBorder="1" applyAlignment="1">
      <alignment horizontal="center"/>
    </xf>
    <xf numFmtId="164" fontId="15" fillId="0" borderId="19" xfId="75" quotePrefix="1" applyNumberFormat="1" applyFont="1" applyFill="1" applyBorder="1" applyAlignment="1">
      <alignment horizontal="center"/>
    </xf>
    <xf numFmtId="164" fontId="35" fillId="0" borderId="19" xfId="1" applyNumberFormat="1" applyFont="1" applyBorder="1" applyAlignment="1"/>
    <xf numFmtId="164" fontId="0" fillId="0" borderId="19" xfId="1" applyNumberFormat="1" applyFont="1" applyBorder="1"/>
    <xf numFmtId="0" fontId="15" fillId="0" borderId="15" xfId="47" applyNumberFormat="1" applyFont="1" applyFill="1" applyBorder="1" applyAlignment="1" applyProtection="1">
      <alignment horizontal="center"/>
    </xf>
    <xf numFmtId="164" fontId="15" fillId="0" borderId="17" xfId="59" applyNumberFormat="1" applyFont="1" applyFill="1" applyBorder="1" applyAlignment="1">
      <alignment horizontal="left"/>
    </xf>
    <xf numFmtId="164" fontId="15" fillId="0" borderId="18" xfId="59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center"/>
    </xf>
    <xf numFmtId="164" fontId="15" fillId="0" borderId="18" xfId="1" applyNumberFormat="1" applyFont="1" applyFill="1" applyBorder="1" applyAlignment="1">
      <alignment horizontal="center"/>
    </xf>
    <xf numFmtId="164" fontId="15" fillId="0" borderId="16" xfId="59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center"/>
    </xf>
    <xf numFmtId="170" fontId="35" fillId="0" borderId="16" xfId="1" applyNumberFormat="1" applyFont="1" applyFill="1" applyBorder="1" applyAlignment="1">
      <alignment horizontal="center"/>
    </xf>
    <xf numFmtId="170" fontId="35" fillId="0" borderId="18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Continuous"/>
    </xf>
    <xf numFmtId="164" fontId="15" fillId="0" borderId="5" xfId="76" applyNumberFormat="1" applyFont="1" applyFill="1" applyBorder="1" applyAlignment="1">
      <alignment horizontal="centerContinuous"/>
    </xf>
    <xf numFmtId="164" fontId="0" fillId="0" borderId="6" xfId="76" applyNumberFormat="1" applyFont="1" applyFill="1" applyBorder="1" applyAlignment="1">
      <alignment horizontal="centerContinuous"/>
    </xf>
    <xf numFmtId="164" fontId="0" fillId="0" borderId="7" xfId="76" applyNumberFormat="1" applyFont="1" applyFill="1" applyBorder="1" applyAlignment="1">
      <alignment horizontal="centerContinuous"/>
    </xf>
    <xf numFmtId="164" fontId="15" fillId="0" borderId="17" xfId="1" applyNumberFormat="1" applyFont="1" applyFill="1" applyBorder="1"/>
    <xf numFmtId="164" fontId="15" fillId="0" borderId="17" xfId="59" applyNumberFormat="1" applyFont="1" applyFill="1" applyBorder="1"/>
    <xf numFmtId="164" fontId="0" fillId="0" borderId="19" xfId="76" applyNumberFormat="1" applyFont="1" applyFill="1" applyBorder="1" applyAlignment="1"/>
    <xf numFmtId="164" fontId="15" fillId="0" borderId="19" xfId="76" applyNumberFormat="1" applyFont="1" applyFill="1" applyBorder="1" applyAlignment="1"/>
    <xf numFmtId="171" fontId="40" fillId="0" borderId="19" xfId="76" applyNumberFormat="1" applyFont="1" applyFill="1" applyBorder="1" applyAlignment="1">
      <alignment horizontal="center"/>
    </xf>
    <xf numFmtId="171" fontId="40" fillId="0" borderId="17" xfId="76" applyNumberFormat="1" applyFont="1" applyFill="1" applyBorder="1" applyAlignment="1">
      <alignment horizontal="center"/>
    </xf>
    <xf numFmtId="164" fontId="15" fillId="0" borderId="19" xfId="59" applyNumberFormat="1" applyFont="1" applyFill="1" applyBorder="1" applyAlignment="1">
      <alignment horizontal="left"/>
    </xf>
    <xf numFmtId="164" fontId="0" fillId="0" borderId="19" xfId="1" applyNumberFormat="1" applyFont="1" applyFill="1" applyBorder="1" applyAlignment="1"/>
    <xf numFmtId="164" fontId="15" fillId="0" borderId="19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7" xfId="76" quotePrefix="1" applyNumberFormat="1" applyFont="1" applyFill="1" applyBorder="1" applyAlignment="1"/>
    <xf numFmtId="0" fontId="15" fillId="0" borderId="0" xfId="59" applyNumberFormat="1" applyFont="1" applyFill="1" applyBorder="1" applyAlignment="1">
      <alignment horizontal="left"/>
    </xf>
    <xf numFmtId="164" fontId="15" fillId="0" borderId="15" xfId="1" applyNumberFormat="1" applyFont="1" applyFill="1" applyBorder="1" applyAlignment="1">
      <alignment horizontal="center"/>
    </xf>
    <xf numFmtId="0" fontId="15" fillId="0" borderId="19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6" xfId="1" quotePrefix="1" applyNumberFormat="1" applyFont="1" applyFill="1" applyBorder="1" applyAlignment="1">
      <alignment horizontal="centerContinuous"/>
    </xf>
    <xf numFmtId="164" fontId="15" fillId="0" borderId="7" xfId="76" applyNumberFormat="1" applyFont="1" applyFill="1" applyBorder="1" applyAlignment="1"/>
    <xf numFmtId="164" fontId="15" fillId="0" borderId="7" xfId="59" applyNumberFormat="1" applyFont="1" applyFill="1" applyBorder="1" applyAlignment="1">
      <alignment horizontal="left"/>
    </xf>
    <xf numFmtId="164" fontId="15" fillId="0" borderId="1" xfId="59" applyNumberFormat="1" applyFont="1" applyFill="1" applyBorder="1" applyAlignment="1">
      <alignment horizontal="left"/>
    </xf>
    <xf numFmtId="164" fontId="15" fillId="0" borderId="15" xfId="59" applyNumberFormat="1" applyFont="1" applyFill="1" applyBorder="1" applyAlignment="1">
      <alignment horizontal="left"/>
    </xf>
    <xf numFmtId="164" fontId="15" fillId="0" borderId="1" xfId="76" applyNumberFormat="1" applyFont="1" applyFill="1" applyBorder="1" applyAlignment="1"/>
    <xf numFmtId="43" fontId="15" fillId="0" borderId="5" xfId="59" applyFont="1" applyFill="1" applyBorder="1" applyAlignment="1">
      <alignment horizontal="centerContinuous"/>
    </xf>
    <xf numFmtId="43" fontId="15" fillId="0" borderId="6" xfId="59" applyFont="1" applyFill="1" applyBorder="1" applyAlignment="1">
      <alignment horizontal="centerContinuous"/>
    </xf>
    <xf numFmtId="164" fontId="15" fillId="0" borderId="6" xfId="59" applyNumberFormat="1" applyFont="1" applyFill="1" applyBorder="1" applyAlignment="1">
      <alignment horizontal="centerContinuous"/>
    </xf>
    <xf numFmtId="164" fontId="40" fillId="0" borderId="6" xfId="59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15" fillId="0" borderId="0" xfId="59" applyNumberFormat="1" applyFont="1" applyFill="1" applyBorder="1" applyAlignment="1">
      <alignment horizontal="centerContinuous"/>
    </xf>
    <xf numFmtId="43" fontId="15" fillId="0" borderId="11" xfId="59" applyFont="1" applyFill="1" applyBorder="1" applyAlignment="1">
      <alignment horizontal="centerContinuous"/>
    </xf>
    <xf numFmtId="43" fontId="15" fillId="0" borderId="3" xfId="59" applyFont="1" applyFill="1" applyBorder="1" applyAlignment="1">
      <alignment horizontal="centerContinuous"/>
    </xf>
    <xf numFmtId="164" fontId="15" fillId="0" borderId="3" xfId="59" applyNumberFormat="1" applyFont="1" applyFill="1" applyBorder="1" applyAlignment="1">
      <alignment horizontal="centerContinuous"/>
    </xf>
    <xf numFmtId="164" fontId="40" fillId="0" borderId="3" xfId="59" applyNumberFormat="1" applyFont="1" applyFill="1" applyBorder="1" applyAlignment="1">
      <alignment horizontal="centerContinuous"/>
    </xf>
    <xf numFmtId="164" fontId="15" fillId="0" borderId="15" xfId="1" applyNumberFormat="1" applyFont="1" applyFill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centerContinuous"/>
    </xf>
    <xf numFmtId="164" fontId="15" fillId="0" borderId="16" xfId="76" quotePrefix="1" applyNumberFormat="1" applyFont="1" applyFill="1" applyBorder="1" applyAlignment="1"/>
    <xf numFmtId="164" fontId="15" fillId="0" borderId="18" xfId="76" quotePrefix="1" applyNumberFormat="1" applyFont="1" applyFill="1" applyBorder="1" applyAlignment="1"/>
    <xf numFmtId="164" fontId="15" fillId="0" borderId="16" xfId="1" applyNumberFormat="1" applyFont="1" applyFill="1" applyBorder="1" applyAlignment="1">
      <alignment horizontal="left"/>
    </xf>
    <xf numFmtId="164" fontId="15" fillId="0" borderId="18" xfId="1" applyNumberFormat="1" applyFont="1" applyFill="1" applyBorder="1" applyAlignment="1">
      <alignment horizontal="left"/>
    </xf>
    <xf numFmtId="164" fontId="0" fillId="0" borderId="18" xfId="1" applyNumberFormat="1" applyFont="1" applyBorder="1" applyAlignment="1"/>
    <xf numFmtId="43" fontId="0" fillId="0" borderId="0" xfId="1" applyFont="1" applyFill="1" applyBorder="1"/>
    <xf numFmtId="164" fontId="0" fillId="0" borderId="16" xfId="1" applyNumberFormat="1" applyFont="1" applyFill="1" applyBorder="1"/>
    <xf numFmtId="164" fontId="15" fillId="0" borderId="18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4" xfId="59" applyNumberFormat="1" applyFont="1" applyFill="1" applyBorder="1" applyAlignment="1">
      <alignment horizontal="centerContinuous"/>
    </xf>
    <xf numFmtId="170" fontId="15" fillId="0" borderId="15" xfId="1" applyNumberFormat="1" applyFont="1" applyFill="1" applyBorder="1"/>
    <xf numFmtId="170" fontId="0" fillId="0" borderId="0" xfId="1" applyNumberFormat="1" applyFont="1" applyFill="1" applyBorder="1"/>
    <xf numFmtId="164" fontId="0" fillId="0" borderId="13" xfId="1" applyNumberFormat="1" applyFont="1" applyBorder="1" applyAlignment="1">
      <alignment horizontal="centerContinuous"/>
    </xf>
    <xf numFmtId="164" fontId="0" fillId="0" borderId="14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6" xfId="1" applyNumberFormat="1" applyFont="1" applyBorder="1"/>
    <xf numFmtId="164" fontId="15" fillId="0" borderId="11" xfId="1" applyNumberFormat="1" applyFont="1" applyBorder="1"/>
    <xf numFmtId="164" fontId="15" fillId="0" borderId="18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15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35" fillId="0" borderId="17" xfId="1" applyNumberFormat="1" applyFont="1" applyBorder="1"/>
    <xf numFmtId="164" fontId="0" fillId="0" borderId="17" xfId="1" applyNumberFormat="1" applyFont="1" applyBorder="1"/>
    <xf numFmtId="164" fontId="15" fillId="0" borderId="4" xfId="1" applyNumberFormat="1" applyFont="1" applyBorder="1"/>
    <xf numFmtId="164" fontId="0" fillId="0" borderId="11" xfId="1" applyNumberFormat="1" applyFont="1" applyBorder="1"/>
    <xf numFmtId="164" fontId="35" fillId="0" borderId="18" xfId="1" applyNumberFormat="1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164" fontId="35" fillId="0" borderId="16" xfId="1" applyNumberFormat="1" applyFon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15" fillId="0" borderId="19" xfId="1" applyNumberFormat="1" applyFont="1" applyBorder="1"/>
    <xf numFmtId="164" fontId="0" fillId="0" borderId="0" xfId="1" applyNumberFormat="1" applyFont="1" applyBorder="1"/>
    <xf numFmtId="43" fontId="15" fillId="0" borderId="17" xfId="1" applyFont="1" applyBorder="1"/>
    <xf numFmtId="43" fontId="0" fillId="0" borderId="17" xfId="1" applyFont="1" applyBorder="1"/>
    <xf numFmtId="43" fontId="0" fillId="0" borderId="4" xfId="1" applyFont="1" applyBorder="1"/>
    <xf numFmtId="43" fontId="15" fillId="0" borderId="17" xfId="1" applyFont="1" applyFill="1" applyBorder="1" applyAlignment="1">
      <alignment horizontal="center"/>
    </xf>
    <xf numFmtId="43" fontId="15" fillId="0" borderId="18" xfId="1" applyFont="1" applyBorder="1"/>
    <xf numFmtId="43" fontId="15" fillId="0" borderId="18" xfId="1" applyFont="1" applyFill="1" applyBorder="1" applyAlignment="1">
      <alignment horizontal="center"/>
    </xf>
    <xf numFmtId="164" fontId="15" fillId="0" borderId="14" xfId="1" applyNumberFormat="1" applyFont="1" applyBorder="1" applyAlignment="1">
      <alignment horizontal="centerContinuous"/>
    </xf>
    <xf numFmtId="164" fontId="15" fillId="0" borderId="16" xfId="1" applyNumberFormat="1" applyFont="1" applyBorder="1"/>
    <xf numFmtId="164" fontId="15" fillId="0" borderId="18" xfId="1" applyNumberFormat="1" applyFont="1" applyBorder="1"/>
    <xf numFmtId="170" fontId="0" fillId="0" borderId="0" xfId="1" applyNumberFormat="1" applyFont="1" applyFill="1"/>
    <xf numFmtId="170" fontId="0" fillId="0" borderId="0" xfId="0" applyNumberFormat="1"/>
    <xf numFmtId="164" fontId="0" fillId="0" borderId="15" xfId="1" applyNumberFormat="1" applyFont="1" applyBorder="1"/>
    <xf numFmtId="164" fontId="35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7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64" fontId="0" fillId="0" borderId="7" xfId="1" applyNumberFormat="1" applyFont="1" applyFill="1" applyBorder="1"/>
    <xf numFmtId="164" fontId="0" fillId="0" borderId="15" xfId="1" applyNumberFormat="1" applyFont="1" applyFill="1" applyBorder="1"/>
    <xf numFmtId="43" fontId="0" fillId="0" borderId="0" xfId="0" applyNumberFormat="1"/>
    <xf numFmtId="170" fontId="15" fillId="0" borderId="16" xfId="1" applyNumberFormat="1" applyFont="1" applyFill="1" applyBorder="1" applyAlignment="1">
      <alignment horizontal="center"/>
    </xf>
    <xf numFmtId="170" fontId="15" fillId="0" borderId="17" xfId="1" applyNumberFormat="1" applyFont="1" applyFill="1" applyBorder="1" applyAlignment="1">
      <alignment horizontal="center"/>
    </xf>
    <xf numFmtId="170" fontId="15" fillId="0" borderId="18" xfId="1" applyNumberFormat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164" fontId="15" fillId="0" borderId="17" xfId="1" applyNumberFormat="1" applyFont="1" applyBorder="1"/>
    <xf numFmtId="164" fontId="15" fillId="0" borderId="16" xfId="59" applyNumberFormat="1" applyFont="1" applyBorder="1" applyAlignment="1">
      <alignment horizontal="left"/>
    </xf>
    <xf numFmtId="164" fontId="15" fillId="0" borderId="17" xfId="59" applyNumberFormat="1" applyFont="1" applyBorder="1" applyAlignment="1">
      <alignment horizontal="left"/>
    </xf>
    <xf numFmtId="164" fontId="15" fillId="0" borderId="18" xfId="59" applyNumberFormat="1" applyFont="1" applyBorder="1" applyAlignment="1">
      <alignment horizontal="left"/>
    </xf>
    <xf numFmtId="43" fontId="15" fillId="0" borderId="16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6" applyNumberFormat="1" applyFont="1" applyFill="1" applyBorder="1" applyAlignment="1">
      <alignment horizontal="left"/>
    </xf>
    <xf numFmtId="170" fontId="15" fillId="0" borderId="0" xfId="1" applyNumberFormat="1" applyFont="1" applyFill="1" applyBorder="1" applyAlignment="1">
      <alignment horizontal="left"/>
    </xf>
    <xf numFmtId="164" fontId="15" fillId="0" borderId="19" xfId="1" applyNumberFormat="1" applyFont="1" applyFill="1" applyBorder="1"/>
    <xf numFmtId="164" fontId="15" fillId="0" borderId="18" xfId="1" applyNumberFormat="1" applyFont="1" applyFill="1" applyBorder="1"/>
    <xf numFmtId="164" fontId="15" fillId="0" borderId="11" xfId="1" applyNumberFormat="1" applyFont="1" applyFill="1" applyBorder="1"/>
    <xf numFmtId="43" fontId="15" fillId="0" borderId="19" xfId="1" applyFont="1" applyFill="1" applyBorder="1" applyAlignment="1">
      <alignment horizontal="center"/>
    </xf>
    <xf numFmtId="164" fontId="0" fillId="0" borderId="19" xfId="1" applyNumberFormat="1" applyFont="1" applyFill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7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70" fontId="35" fillId="0" borderId="0" xfId="1" applyNumberFormat="1" applyFont="1" applyFill="1"/>
    <xf numFmtId="43" fontId="15" fillId="0" borderId="18" xfId="1" applyFont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70" fontId="35" fillId="0" borderId="0" xfId="1" applyNumberFormat="1" applyFont="1" applyFill="1" applyAlignment="1">
      <alignment horizontal="left"/>
    </xf>
    <xf numFmtId="164" fontId="15" fillId="0" borderId="16" xfId="1" applyNumberFormat="1" applyFont="1" applyFill="1" applyBorder="1"/>
    <xf numFmtId="170" fontId="0" fillId="0" borderId="17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6" xfId="1" applyNumberFormat="1" applyFont="1" applyFill="1" applyBorder="1"/>
    <xf numFmtId="164" fontId="0" fillId="0" borderId="3" xfId="1" applyNumberFormat="1" applyFont="1" applyFill="1" applyBorder="1"/>
    <xf numFmtId="170" fontId="35" fillId="0" borderId="0" xfId="1" applyNumberFormat="1" applyFont="1" applyFill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75" fontId="35" fillId="0" borderId="17" xfId="78" applyNumberFormat="1" applyFont="1" applyBorder="1" applyAlignment="1">
      <alignment horizontal="center"/>
    </xf>
    <xf numFmtId="175" fontId="0" fillId="0" borderId="18" xfId="78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15" fillId="0" borderId="17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Continuous"/>
    </xf>
    <xf numFmtId="164" fontId="0" fillId="0" borderId="6" xfId="1" applyNumberFormat="1" applyFont="1" applyBorder="1" applyAlignment="1">
      <alignment horizontal="centerContinuous"/>
    </xf>
    <xf numFmtId="164" fontId="0" fillId="0" borderId="15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15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Continuous"/>
    </xf>
    <xf numFmtId="164" fontId="15" fillId="0" borderId="3" xfId="1" applyNumberFormat="1" applyFont="1" applyBorder="1" applyAlignment="1">
      <alignment horizontal="centerContinuous"/>
    </xf>
    <xf numFmtId="164" fontId="15" fillId="0" borderId="16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8" applyFont="1" applyFill="1" applyBorder="1" applyAlignment="1">
      <alignment horizontal="center"/>
    </xf>
    <xf numFmtId="9" fontId="35" fillId="0" borderId="0" xfId="0" applyNumberFormat="1" applyFont="1" applyAlignment="1">
      <alignment horizontal="center"/>
    </xf>
    <xf numFmtId="164" fontId="15" fillId="0" borderId="17" xfId="1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47" fillId="0" borderId="0" xfId="1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43" fontId="15" fillId="0" borderId="17" xfId="1" applyFont="1" applyFill="1" applyBorder="1"/>
    <xf numFmtId="170" fontId="35" fillId="0" borderId="0" xfId="1" applyNumberFormat="1" applyFont="1" applyFill="1" applyBorder="1" applyAlignment="1">
      <alignment horizontal="left"/>
    </xf>
    <xf numFmtId="164" fontId="0" fillId="0" borderId="16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11" xfId="1" applyNumberFormat="1" applyFont="1" applyFill="1" applyBorder="1"/>
    <xf numFmtId="43" fontId="15" fillId="0" borderId="17" xfId="1" applyFont="1" applyBorder="1" applyAlignment="1">
      <alignment horizontal="left"/>
    </xf>
    <xf numFmtId="43" fontId="15" fillId="0" borderId="16" xfId="1" applyFont="1" applyBorder="1" applyAlignment="1">
      <alignment horizontal="left"/>
    </xf>
    <xf numFmtId="43" fontId="15" fillId="0" borderId="18" xfId="1" applyFont="1" applyBorder="1" applyAlignment="1">
      <alignment horizontal="left"/>
    </xf>
    <xf numFmtId="170" fontId="35" fillId="0" borderId="0" xfId="0" applyNumberFormat="1" applyFont="1"/>
    <xf numFmtId="164" fontId="0" fillId="0" borderId="15" xfId="1" applyNumberFormat="1" applyFont="1" applyFill="1" applyBorder="1" applyAlignment="1">
      <alignment horizontal="centerContinuous"/>
    </xf>
    <xf numFmtId="164" fontId="35" fillId="0" borderId="19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5" xfId="1" applyNumberFormat="1" applyFont="1" applyFill="1" applyBorder="1"/>
    <xf numFmtId="164" fontId="15" fillId="0" borderId="4" xfId="1" applyNumberFormat="1" applyFont="1" applyFill="1" applyBorder="1"/>
    <xf numFmtId="0" fontId="0" fillId="0" borderId="3" xfId="0" applyBorder="1"/>
    <xf numFmtId="1" fontId="0" fillId="0" borderId="16" xfId="1" applyNumberFormat="1" applyFont="1" applyFill="1" applyBorder="1" applyAlignment="1">
      <alignment horizontal="center"/>
    </xf>
    <xf numFmtId="1" fontId="0" fillId="0" borderId="17" xfId="1" applyNumberFormat="1" applyFont="1" applyFill="1" applyBorder="1" applyAlignment="1">
      <alignment horizontal="center"/>
    </xf>
    <xf numFmtId="1" fontId="0" fillId="0" borderId="18" xfId="1" applyNumberFormat="1" applyFont="1" applyFill="1" applyBorder="1" applyAlignment="1">
      <alignment horizontal="center"/>
    </xf>
    <xf numFmtId="176" fontId="0" fillId="0" borderId="0" xfId="0" applyNumberFormat="1"/>
    <xf numFmtId="164" fontId="15" fillId="0" borderId="6" xfId="1" applyNumberFormat="1" applyFont="1" applyFill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3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Continuous"/>
    </xf>
    <xf numFmtId="43" fontId="15" fillId="0" borderId="16" xfId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40" fillId="0" borderId="17" xfId="76" applyNumberFormat="1" applyFont="1" applyFill="1" applyBorder="1" applyAlignment="1">
      <alignment horizontal="left"/>
    </xf>
    <xf numFmtId="164" fontId="40" fillId="0" borderId="18" xfId="76" applyNumberFormat="1" applyFont="1" applyFill="1" applyBorder="1" applyAlignment="1">
      <alignment horizontal="left"/>
    </xf>
    <xf numFmtId="170" fontId="15" fillId="0" borderId="17" xfId="1" applyNumberFormat="1" applyFont="1" applyFill="1" applyBorder="1"/>
    <xf numFmtId="170" fontId="0" fillId="0" borderId="17" xfId="0" applyNumberFormat="1" applyBorder="1"/>
    <xf numFmtId="164" fontId="40" fillId="0" borderId="18" xfId="1" applyNumberFormat="1" applyFont="1" applyFill="1" applyBorder="1" applyAlignment="1">
      <alignment horizontal="left"/>
    </xf>
    <xf numFmtId="170" fontId="15" fillId="0" borderId="16" xfId="1" applyNumberFormat="1" applyFont="1" applyFill="1" applyBorder="1"/>
    <xf numFmtId="170" fontId="15" fillId="0" borderId="18" xfId="1" applyNumberFormat="1" applyFont="1" applyFill="1" applyBorder="1"/>
    <xf numFmtId="43" fontId="15" fillId="0" borderId="19" xfId="1" applyFont="1" applyBorder="1"/>
    <xf numFmtId="170" fontId="0" fillId="0" borderId="16" xfId="0" applyNumberFormat="1" applyBorder="1"/>
    <xf numFmtId="164" fontId="15" fillId="0" borderId="19" xfId="1" applyNumberFormat="1" applyFont="1" applyFill="1" applyBorder="1" applyAlignment="1">
      <alignment horizontal="left"/>
    </xf>
    <xf numFmtId="164" fontId="15" fillId="0" borderId="18" xfId="1" applyNumberFormat="1" applyFont="1" applyBorder="1" applyAlignment="1"/>
    <xf numFmtId="164" fontId="0" fillId="0" borderId="17" xfId="1" applyNumberFormat="1" applyFont="1" applyFill="1" applyBorder="1" applyAlignment="1">
      <alignment horizontal="left"/>
    </xf>
    <xf numFmtId="164" fontId="15" fillId="0" borderId="17" xfId="1" applyNumberFormat="1" applyFont="1" applyBorder="1" applyAlignment="1">
      <alignment horizontal="left"/>
    </xf>
    <xf numFmtId="164" fontId="15" fillId="0" borderId="18" xfId="1" applyNumberFormat="1" applyFont="1" applyBorder="1" applyAlignment="1">
      <alignment horizontal="left"/>
    </xf>
    <xf numFmtId="164" fontId="15" fillId="0" borderId="12" xfId="1" applyNumberFormat="1" applyFont="1" applyFill="1" applyBorder="1"/>
    <xf numFmtId="0" fontId="0" fillId="0" borderId="13" xfId="0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15" fillId="0" borderId="7" xfId="1" applyNumberFormat="1" applyFont="1" applyBorder="1" applyAlignment="1">
      <alignment horizontal="centerContinuous"/>
    </xf>
    <xf numFmtId="0" fontId="0" fillId="0" borderId="17" xfId="0" applyBorder="1"/>
    <xf numFmtId="0" fontId="0" fillId="0" borderId="16" xfId="0" applyBorder="1"/>
    <xf numFmtId="0" fontId="0" fillId="0" borderId="14" xfId="0" applyBorder="1"/>
    <xf numFmtId="43" fontId="15" fillId="0" borderId="0" xfId="1" applyFont="1" applyFill="1" applyBorder="1" applyAlignment="1">
      <alignment horizontal="center"/>
    </xf>
    <xf numFmtId="170" fontId="35" fillId="0" borderId="0" xfId="1" applyNumberFormat="1" applyFont="1" applyFill="1" applyBorder="1"/>
    <xf numFmtId="164" fontId="0" fillId="0" borderId="5" xfId="76" applyNumberFormat="1" applyFont="1" applyFill="1" applyBorder="1" applyAlignment="1">
      <alignment horizontal="centerContinuous"/>
    </xf>
    <xf numFmtId="164" fontId="35" fillId="0" borderId="14" xfId="1" applyNumberFormat="1" applyFont="1" applyFill="1" applyBorder="1" applyAlignment="1">
      <alignment horizontal="centerContinuous"/>
    </xf>
    <xf numFmtId="43" fontId="15" fillId="0" borderId="19" xfId="1" applyFont="1" applyFill="1" applyBorder="1"/>
    <xf numFmtId="43" fontId="0" fillId="0" borderId="17" xfId="1" applyFont="1" applyFill="1" applyBorder="1" applyAlignment="1">
      <alignment horizontal="left"/>
    </xf>
    <xf numFmtId="164" fontId="15" fillId="0" borderId="13" xfId="1" applyNumberFormat="1" applyFont="1" applyFill="1" applyBorder="1"/>
    <xf numFmtId="43" fontId="15" fillId="0" borderId="17" xfId="1" applyFont="1" applyFill="1" applyBorder="1" applyAlignment="1">
      <alignment horizontal="left"/>
    </xf>
    <xf numFmtId="43" fontId="15" fillId="0" borderId="18" xfId="1" applyFont="1" applyFill="1" applyBorder="1" applyAlignment="1">
      <alignment horizontal="left"/>
    </xf>
    <xf numFmtId="43" fontId="15" fillId="0" borderId="16" xfId="1" applyFont="1" applyFill="1" applyBorder="1" applyAlignment="1">
      <alignment horizontal="left"/>
    </xf>
    <xf numFmtId="43" fontId="15" fillId="0" borderId="18" xfId="1" applyFont="1" applyFill="1" applyBorder="1"/>
    <xf numFmtId="43" fontId="0" fillId="0" borderId="16" xfId="1" applyFont="1" applyBorder="1" applyAlignment="1">
      <alignment horizontal="left"/>
    </xf>
    <xf numFmtId="170" fontId="15" fillId="0" borderId="0" xfId="0" applyNumberFormat="1" applyFont="1"/>
    <xf numFmtId="164" fontId="35" fillId="0" borderId="15" xfId="1" applyNumberFormat="1" applyFont="1" applyFill="1" applyBorder="1" applyAlignment="1">
      <alignment horizontal="centerContinuous"/>
    </xf>
    <xf numFmtId="170" fontId="15" fillId="0" borderId="0" xfId="1" applyNumberFormat="1" applyFont="1" applyFill="1" applyBorder="1"/>
    <xf numFmtId="9" fontId="0" fillId="0" borderId="0" xfId="78" applyFont="1" applyFill="1" applyBorder="1"/>
    <xf numFmtId="177" fontId="0" fillId="0" borderId="0" xfId="1" applyNumberFormat="1" applyFont="1" applyFill="1" applyBorder="1"/>
    <xf numFmtId="43" fontId="0" fillId="0" borderId="0" xfId="1" applyFont="1" applyBorder="1"/>
    <xf numFmtId="43" fontId="15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7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4" xfId="1" applyFont="1" applyBorder="1" applyAlignment="1">
      <alignment horizontal="centerContinuous"/>
    </xf>
    <xf numFmtId="43" fontId="0" fillId="0" borderId="13" xfId="1" applyFont="1" applyBorder="1" applyAlignment="1">
      <alignment horizontal="centerContinuous"/>
    </xf>
    <xf numFmtId="43" fontId="15" fillId="0" borderId="17" xfId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43" fontId="15" fillId="0" borderId="17" xfId="1" applyFont="1" applyBorder="1" applyAlignment="1">
      <alignment horizontal="center"/>
    </xf>
    <xf numFmtId="43" fontId="15" fillId="0" borderId="11" xfId="1" applyFont="1" applyBorder="1" applyAlignment="1">
      <alignment horizontal="centerContinuous"/>
    </xf>
    <xf numFmtId="43" fontId="0" fillId="0" borderId="3" xfId="1" applyFont="1" applyBorder="1" applyAlignment="1">
      <alignment horizontal="centerContinuous"/>
    </xf>
    <xf numFmtId="43" fontId="0" fillId="0" borderId="15" xfId="1" applyFont="1" applyBorder="1" applyAlignment="1">
      <alignment horizontal="centerContinuous"/>
    </xf>
    <xf numFmtId="43" fontId="15" fillId="0" borderId="0" xfId="1" applyFont="1" applyBorder="1"/>
    <xf numFmtId="43" fontId="15" fillId="0" borderId="11" xfId="1" applyFont="1" applyBorder="1"/>
    <xf numFmtId="43" fontId="15" fillId="0" borderId="4" xfId="1" applyFont="1" applyBorder="1"/>
    <xf numFmtId="0" fontId="15" fillId="0" borderId="4" xfId="59" applyNumberFormat="1" applyFont="1" applyBorder="1" applyAlignment="1">
      <alignment horizontal="center"/>
    </xf>
    <xf numFmtId="173" fontId="0" fillId="0" borderId="17" xfId="1" applyNumberFormat="1" applyFont="1" applyBorder="1"/>
    <xf numFmtId="172" fontId="0" fillId="0" borderId="0" xfId="1" applyNumberFormat="1" applyFont="1"/>
    <xf numFmtId="43" fontId="15" fillId="0" borderId="12" xfId="1" applyFont="1" applyBorder="1"/>
    <xf numFmtId="173" fontId="0" fillId="0" borderId="19" xfId="1" applyNumberFormat="1" applyFont="1" applyBorder="1"/>
    <xf numFmtId="43" fontId="15" fillId="0" borderId="16" xfId="1" applyFont="1" applyBorder="1" applyAlignment="1">
      <alignment horizontal="center"/>
    </xf>
    <xf numFmtId="0" fontId="15" fillId="0" borderId="16" xfId="59" applyNumberFormat="1" applyFont="1" applyBorder="1" applyAlignment="1">
      <alignment horizontal="center"/>
    </xf>
    <xf numFmtId="173" fontId="15" fillId="0" borderId="16" xfId="1" applyNumberFormat="1" applyFont="1" applyBorder="1" applyAlignment="1">
      <alignment horizontal="center"/>
    </xf>
    <xf numFmtId="173" fontId="0" fillId="0" borderId="16" xfId="1" applyNumberFormat="1" applyFont="1" applyBorder="1"/>
    <xf numFmtId="43" fontId="15" fillId="0" borderId="5" xfId="1" applyFont="1" applyBorder="1"/>
    <xf numFmtId="43" fontId="15" fillId="0" borderId="3" xfId="1" applyFont="1" applyBorder="1"/>
    <xf numFmtId="43" fontId="15" fillId="0" borderId="14" xfId="1" applyFont="1" applyBorder="1"/>
    <xf numFmtId="43" fontId="15" fillId="0" borderId="7" xfId="1" applyFont="1" applyBorder="1" applyAlignment="1">
      <alignment horizontal="center"/>
    </xf>
    <xf numFmtId="164" fontId="0" fillId="0" borderId="14" xfId="1" applyNumberFormat="1" applyFont="1" applyBorder="1"/>
    <xf numFmtId="43" fontId="0" fillId="0" borderId="17" xfId="1" applyFont="1" applyBorder="1" applyAlignment="1">
      <alignment horizontal="centerContinuous"/>
    </xf>
    <xf numFmtId="43" fontId="0" fillId="0" borderId="17" xfId="1" applyFont="1" applyBorder="1" applyAlignment="1">
      <alignment horizontal="left"/>
    </xf>
    <xf numFmtId="173" fontId="0" fillId="0" borderId="14" xfId="1" applyNumberFormat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5" xfId="1" applyFont="1" applyBorder="1"/>
    <xf numFmtId="43" fontId="15" fillId="0" borderId="1" xfId="1" applyFont="1" applyBorder="1" applyAlignment="1">
      <alignment horizontal="left"/>
    </xf>
    <xf numFmtId="0" fontId="15" fillId="0" borderId="6" xfId="1" applyNumberFormat="1" applyFont="1" applyBorder="1" applyAlignment="1">
      <alignment horizontal="centerContinuous"/>
    </xf>
    <xf numFmtId="43" fontId="15" fillId="0" borderId="6" xfId="1" applyFont="1" applyBorder="1" applyAlignment="1">
      <alignment horizontal="centerContinuous"/>
    </xf>
    <xf numFmtId="173" fontId="0" fillId="0" borderId="6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Continuous"/>
    </xf>
    <xf numFmtId="164" fontId="15" fillId="0" borderId="4" xfId="1" applyNumberFormat="1" applyFont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left"/>
    </xf>
    <xf numFmtId="164" fontId="15" fillId="0" borderId="4" xfId="59" applyNumberFormat="1" applyFont="1" applyFill="1" applyBorder="1" applyAlignment="1">
      <alignment horizontal="left"/>
    </xf>
    <xf numFmtId="164" fontId="15" fillId="0" borderId="11" xfId="59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6" applyNumberFormat="1" applyFont="1" applyFill="1" applyBorder="1" applyAlignment="1"/>
    <xf numFmtId="164" fontId="0" fillId="0" borderId="15" xfId="1" applyNumberFormat="1" applyFont="1" applyFill="1" applyBorder="1" applyAlignment="1"/>
    <xf numFmtId="43" fontId="15" fillId="0" borderId="11" xfId="1" applyFont="1" applyFill="1" applyBorder="1" applyAlignment="1">
      <alignment horizontal="centerContinuous"/>
    </xf>
    <xf numFmtId="43" fontId="0" fillId="0" borderId="15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Continuous"/>
    </xf>
    <xf numFmtId="173" fontId="0" fillId="0" borderId="17" xfId="1" applyNumberFormat="1" applyFont="1" applyFill="1" applyBorder="1"/>
    <xf numFmtId="173" fontId="0" fillId="0" borderId="18" xfId="1" applyNumberFormat="1" applyFont="1" applyFill="1" applyBorder="1"/>
    <xf numFmtId="173" fontId="0" fillId="0" borderId="19" xfId="1" applyNumberFormat="1" applyFont="1" applyFill="1" applyBorder="1"/>
    <xf numFmtId="173" fontId="0" fillId="0" borderId="6" xfId="1" applyNumberFormat="1" applyFont="1" applyFill="1" applyBorder="1" applyAlignment="1">
      <alignment horizontal="centerContinuous"/>
    </xf>
    <xf numFmtId="43" fontId="0" fillId="0" borderId="13" xfId="1" applyFont="1" applyFill="1" applyBorder="1" applyAlignment="1">
      <alignment horizontal="centerContinuous"/>
    </xf>
    <xf numFmtId="173" fontId="0" fillId="0" borderId="16" xfId="1" applyNumberFormat="1" applyFont="1" applyFill="1" applyBorder="1"/>
    <xf numFmtId="43" fontId="35" fillId="0" borderId="0" xfId="1" applyFont="1" applyFill="1"/>
    <xf numFmtId="164" fontId="35" fillId="0" borderId="15" xfId="1" applyNumberFormat="1" applyFont="1" applyBorder="1" applyAlignment="1">
      <alignment horizontal="center"/>
    </xf>
    <xf numFmtId="164" fontId="35" fillId="0" borderId="18" xfId="1" applyNumberFormat="1" applyFont="1" applyBorder="1" applyAlignment="1">
      <alignment horizontal="center"/>
    </xf>
    <xf numFmtId="164" fontId="35" fillId="0" borderId="11" xfId="1" applyNumberFormat="1" applyFont="1" applyBorder="1" applyAlignment="1">
      <alignment horizontal="center"/>
    </xf>
    <xf numFmtId="173" fontId="0" fillId="0" borderId="14" xfId="1" applyNumberFormat="1" applyFont="1" applyFill="1" applyBorder="1"/>
    <xf numFmtId="173" fontId="0" fillId="0" borderId="6" xfId="1" applyNumberFormat="1" applyFont="1" applyFill="1" applyBorder="1"/>
    <xf numFmtId="173" fontId="0" fillId="0" borderId="0" xfId="1" applyNumberFormat="1" applyFont="1" applyFill="1" applyBorder="1"/>
    <xf numFmtId="173" fontId="0" fillId="0" borderId="3" xfId="1" applyNumberFormat="1" applyFont="1" applyFill="1" applyBorder="1"/>
    <xf numFmtId="173" fontId="0" fillId="0" borderId="7" xfId="1" applyNumberFormat="1" applyFont="1" applyFill="1" applyBorder="1"/>
    <xf numFmtId="173" fontId="0" fillId="0" borderId="1" xfId="1" applyNumberFormat="1" applyFont="1" applyFill="1" applyBorder="1"/>
    <xf numFmtId="173" fontId="0" fillId="0" borderId="15" xfId="1" applyNumberFormat="1" applyFont="1" applyFill="1" applyBorder="1"/>
    <xf numFmtId="173" fontId="0" fillId="0" borderId="4" xfId="1" applyNumberFormat="1" applyFont="1" applyFill="1" applyBorder="1"/>
    <xf numFmtId="173" fontId="0" fillId="0" borderId="11" xfId="1" applyNumberFormat="1" applyFont="1" applyFill="1" applyBorder="1"/>
    <xf numFmtId="173" fontId="0" fillId="0" borderId="13" xfId="1" applyNumberFormat="1" applyFont="1" applyFill="1" applyBorder="1"/>
    <xf numFmtId="173" fontId="0" fillId="0" borderId="5" xfId="1" applyNumberFormat="1" applyFont="1" applyFill="1" applyBorder="1"/>
    <xf numFmtId="170" fontId="15" fillId="0" borderId="0" xfId="1" applyNumberFormat="1" applyFont="1" applyFill="1"/>
    <xf numFmtId="0" fontId="35" fillId="0" borderId="1" xfId="0" applyFont="1" applyBorder="1"/>
    <xf numFmtId="0" fontId="35" fillId="0" borderId="15" xfId="0" applyFont="1" applyBorder="1"/>
    <xf numFmtId="164" fontId="15" fillId="0" borderId="3" xfId="1" applyNumberFormat="1" applyFont="1" applyFill="1" applyBorder="1" applyAlignment="1">
      <alignment horizontal="left"/>
    </xf>
    <xf numFmtId="170" fontId="15" fillId="0" borderId="3" xfId="1" applyNumberFormat="1" applyFont="1" applyFill="1" applyBorder="1" applyAlignment="1">
      <alignment horizontal="left"/>
    </xf>
    <xf numFmtId="164" fontId="0" fillId="0" borderId="14" xfId="1" applyNumberFormat="1" applyFont="1" applyFill="1" applyBorder="1" applyAlignment="1">
      <alignment horizontal="centerContinuous"/>
    </xf>
    <xf numFmtId="164" fontId="15" fillId="0" borderId="14" xfId="1" applyNumberFormat="1" applyFont="1" applyFill="1" applyBorder="1" applyAlignment="1">
      <alignment horizontal="center"/>
    </xf>
    <xf numFmtId="0" fontId="0" fillId="0" borderId="18" xfId="0" applyBorder="1"/>
    <xf numFmtId="164" fontId="15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/>
    <xf numFmtId="164" fontId="0" fillId="0" borderId="4" xfId="1" applyNumberFormat="1" applyFont="1" applyFill="1" applyBorder="1" applyAlignment="1"/>
    <xf numFmtId="164" fontId="15" fillId="0" borderId="4" xfId="1" applyNumberFormat="1" applyFont="1" applyFill="1" applyBorder="1" applyAlignment="1"/>
    <xf numFmtId="0" fontId="0" fillId="0" borderId="5" xfId="0" applyBorder="1"/>
    <xf numFmtId="0" fontId="15" fillId="0" borderId="16" xfId="0" applyFont="1" applyBorder="1" applyAlignment="1">
      <alignment horizontal="center"/>
    </xf>
    <xf numFmtId="164" fontId="0" fillId="0" borderId="18" xfId="0" applyNumberFormat="1" applyBorder="1"/>
    <xf numFmtId="170" fontId="0" fillId="0" borderId="16" xfId="1" applyNumberFormat="1" applyFont="1" applyFill="1" applyBorder="1"/>
    <xf numFmtId="170" fontId="0" fillId="0" borderId="18" xfId="1" applyNumberFormat="1" applyFont="1" applyFill="1" applyBorder="1"/>
    <xf numFmtId="164" fontId="0" fillId="0" borderId="5" xfId="1" applyNumberFormat="1" applyFont="1" applyFill="1" applyBorder="1" applyAlignment="1">
      <alignment horizontal="centerContinuous"/>
    </xf>
    <xf numFmtId="164" fontId="15" fillId="0" borderId="12" xfId="1" applyNumberFormat="1" applyFont="1" applyFill="1" applyBorder="1" applyAlignment="1">
      <alignment horizontal="center"/>
    </xf>
    <xf numFmtId="164" fontId="15" fillId="0" borderId="12" xfId="76" applyNumberFormat="1" applyFont="1" applyFill="1" applyBorder="1" applyAlignment="1">
      <alignment horizontal="centerContinuous"/>
    </xf>
    <xf numFmtId="164" fontId="15" fillId="0" borderId="16" xfId="76" applyNumberFormat="1" applyFont="1" applyFill="1" applyBorder="1" applyAlignment="1">
      <alignment horizontal="center"/>
    </xf>
    <xf numFmtId="164" fontId="0" fillId="0" borderId="18" xfId="76" applyNumberFormat="1" applyFont="1" applyFill="1" applyBorder="1" applyAlignment="1">
      <alignment horizontal="center"/>
    </xf>
    <xf numFmtId="170" fontId="0" fillId="0" borderId="19" xfId="1" applyNumberFormat="1" applyFont="1" applyFill="1" applyBorder="1"/>
    <xf numFmtId="9" fontId="35" fillId="0" borderId="0" xfId="78" applyFont="1" applyFill="1"/>
    <xf numFmtId="9" fontId="0" fillId="0" borderId="0" xfId="0" applyNumberFormat="1"/>
    <xf numFmtId="9" fontId="35" fillId="0" borderId="0" xfId="0" applyNumberFormat="1" applyFont="1"/>
    <xf numFmtId="164" fontId="0" fillId="0" borderId="16" xfId="0" applyNumberFormat="1" applyBorder="1"/>
    <xf numFmtId="0" fontId="15" fillId="0" borderId="19" xfId="0" applyFont="1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left"/>
    </xf>
    <xf numFmtId="164" fontId="15" fillId="0" borderId="4" xfId="1" applyNumberFormat="1" applyFont="1" applyFill="1" applyBorder="1" applyAlignment="1">
      <alignment horizontal="left"/>
    </xf>
    <xf numFmtId="164" fontId="0" fillId="0" borderId="5" xfId="0" applyNumberFormat="1" applyBorder="1"/>
    <xf numFmtId="164" fontId="0" fillId="0" borderId="11" xfId="0" applyNumberFormat="1" applyBorder="1"/>
    <xf numFmtId="164" fontId="15" fillId="0" borderId="5" xfId="1" applyNumberFormat="1" applyFont="1" applyFill="1" applyBorder="1" applyAlignment="1">
      <alignment horizontal="center"/>
    </xf>
    <xf numFmtId="164" fontId="15" fillId="0" borderId="0" xfId="1" applyNumberFormat="1" applyFont="1" applyBorder="1"/>
    <xf numFmtId="175" fontId="0" fillId="0" borderId="0" xfId="78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35" fillId="0" borderId="0" xfId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9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5" xfId="1" applyFont="1" applyBorder="1" applyAlignment="1">
      <alignment horizontal="left"/>
    </xf>
    <xf numFmtId="164" fontId="15" fillId="0" borderId="13" xfId="1" applyNumberFormat="1" applyFont="1" applyBorder="1"/>
    <xf numFmtId="164" fontId="15" fillId="0" borderId="16" xfId="1" quotePrefix="1" applyNumberFormat="1" applyFont="1" applyBorder="1"/>
    <xf numFmtId="164" fontId="15" fillId="0" borderId="17" xfId="1" quotePrefix="1" applyNumberFormat="1" applyFont="1" applyBorder="1"/>
    <xf numFmtId="164" fontId="15" fillId="0" borderId="18" xfId="1" quotePrefix="1" applyNumberFormat="1" applyFont="1" applyBorder="1"/>
    <xf numFmtId="175" fontId="0" fillId="0" borderId="16" xfId="78" applyNumberFormat="1" applyFont="1" applyBorder="1" applyAlignment="1">
      <alignment horizontal="right"/>
    </xf>
    <xf numFmtId="175" fontId="0" fillId="0" borderId="17" xfId="78" applyNumberFormat="1" applyFont="1" applyBorder="1" applyAlignment="1">
      <alignment horizontal="right"/>
    </xf>
    <xf numFmtId="175" fontId="0" fillId="0" borderId="18" xfId="78" applyNumberFormat="1" applyFont="1" applyBorder="1" applyAlignment="1">
      <alignment horizontal="right"/>
    </xf>
    <xf numFmtId="175" fontId="0" fillId="0" borderId="19" xfId="78" applyNumberFormat="1" applyFont="1" applyBorder="1" applyAlignment="1">
      <alignment horizontal="right"/>
    </xf>
    <xf numFmtId="173" fontId="0" fillId="0" borderId="7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43" fontId="0" fillId="0" borderId="19" xfId="1" applyFont="1" applyBorder="1" applyAlignment="1">
      <alignment horizontal="center"/>
    </xf>
    <xf numFmtId="43" fontId="35" fillId="0" borderId="0" xfId="1" applyFont="1" applyFill="1" applyBorder="1" applyAlignment="1">
      <alignment horizontal="left"/>
    </xf>
    <xf numFmtId="43" fontId="15" fillId="0" borderId="11" xfId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43" fontId="35" fillId="0" borderId="0" xfId="1" applyFont="1" applyFill="1" applyBorder="1"/>
    <xf numFmtId="164" fontId="35" fillId="0" borderId="0" xfId="1" applyNumberFormat="1" applyFont="1" applyBorder="1" applyAlignment="1">
      <alignment horizontal="right"/>
    </xf>
    <xf numFmtId="173" fontId="0" fillId="0" borderId="0" xfId="1" applyNumberFormat="1" applyFont="1" applyBorder="1" applyAlignment="1">
      <alignment horizontal="left"/>
    </xf>
    <xf numFmtId="173" fontId="0" fillId="0" borderId="0" xfId="1" applyNumberFormat="1" applyFont="1" applyFill="1" applyBorder="1" applyAlignment="1">
      <alignment horizontal="left"/>
    </xf>
    <xf numFmtId="172" fontId="15" fillId="0" borderId="0" xfId="1" applyNumberFormat="1" applyFont="1" applyAlignment="1">
      <alignment horizontal="left"/>
    </xf>
    <xf numFmtId="175" fontId="15" fillId="0" borderId="0" xfId="78" applyNumberFormat="1" applyFont="1" applyAlignment="1">
      <alignment horizontal="left"/>
    </xf>
    <xf numFmtId="164" fontId="15" fillId="0" borderId="12" xfId="1" applyNumberFormat="1" applyFont="1" applyBorder="1" applyAlignment="1">
      <alignment horizontal="centerContinuous"/>
    </xf>
    <xf numFmtId="43" fontId="15" fillId="0" borderId="19" xfId="1" applyFont="1" applyBorder="1" applyAlignment="1">
      <alignment horizontal="center"/>
    </xf>
    <xf numFmtId="164" fontId="0" fillId="0" borderId="16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43" fontId="35" fillId="0" borderId="17" xfId="1" applyFont="1" applyBorder="1" applyAlignment="1">
      <alignment horizontal="left"/>
    </xf>
    <xf numFmtId="43" fontId="35" fillId="0" borderId="19" xfId="1" applyFont="1" applyBorder="1" applyAlignment="1">
      <alignment horizontal="left"/>
    </xf>
    <xf numFmtId="43" fontId="15" fillId="0" borderId="19" xfId="1" applyFont="1" applyBorder="1" applyAlignment="1">
      <alignment horizontal="centerContinuous"/>
    </xf>
    <xf numFmtId="164" fontId="0" fillId="0" borderId="18" xfId="1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43" fontId="0" fillId="0" borderId="16" xfId="1" applyFont="1" applyFill="1" applyBorder="1"/>
    <xf numFmtId="43" fontId="15" fillId="0" borderId="5" xfId="1" applyFont="1" applyFill="1" applyBorder="1" applyAlignment="1">
      <alignment horizontal="center"/>
    </xf>
    <xf numFmtId="43" fontId="0" fillId="0" borderId="17" xfId="1" applyFont="1" applyFill="1" applyBorder="1"/>
    <xf numFmtId="43" fontId="15" fillId="0" borderId="4" xfId="1" applyFont="1" applyFill="1" applyBorder="1" applyAlignment="1">
      <alignment horizontal="center"/>
    </xf>
    <xf numFmtId="43" fontId="0" fillId="0" borderId="4" xfId="1" applyFont="1" applyFill="1" applyBorder="1"/>
    <xf numFmtId="43" fontId="0" fillId="0" borderId="4" xfId="1" applyFont="1" applyFill="1" applyBorder="1" applyAlignment="1">
      <alignment horizontal="center"/>
    </xf>
    <xf numFmtId="43" fontId="15" fillId="0" borderId="4" xfId="1" applyFont="1" applyFill="1" applyBorder="1" applyAlignment="1">
      <alignment horizontal="left"/>
    </xf>
    <xf numFmtId="43" fontId="0" fillId="0" borderId="4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"/>
    </xf>
    <xf numFmtId="170" fontId="35" fillId="0" borderId="17" xfId="1" applyNumberFormat="1" applyFont="1" applyFill="1" applyBorder="1"/>
    <xf numFmtId="170" fontId="15" fillId="0" borderId="4" xfId="1" applyNumberFormat="1" applyFont="1" applyFill="1" applyBorder="1"/>
    <xf numFmtId="43" fontId="0" fillId="0" borderId="18" xfId="1" applyFont="1" applyFill="1" applyBorder="1" applyAlignment="1">
      <alignment horizontal="center"/>
    </xf>
    <xf numFmtId="43" fontId="0" fillId="0" borderId="19" xfId="0" applyNumberFormat="1" applyBorder="1"/>
    <xf numFmtId="43" fontId="35" fillId="0" borderId="18" xfId="1" applyFont="1" applyFill="1" applyBorder="1"/>
    <xf numFmtId="170" fontId="35" fillId="0" borderId="18" xfId="1" applyNumberFormat="1" applyFont="1" applyFill="1" applyBorder="1"/>
    <xf numFmtId="170" fontId="15" fillId="0" borderId="11" xfId="1" applyNumberFormat="1" applyFont="1" applyFill="1" applyBorder="1"/>
    <xf numFmtId="43" fontId="15" fillId="0" borderId="16" xfId="1" applyFont="1" applyFill="1" applyBorder="1"/>
    <xf numFmtId="170" fontId="35" fillId="0" borderId="16" xfId="1" applyNumberFormat="1" applyFont="1" applyFill="1" applyBorder="1"/>
    <xf numFmtId="170" fontId="15" fillId="0" borderId="5" xfId="1" applyNumberFormat="1" applyFont="1" applyFill="1" applyBorder="1"/>
    <xf numFmtId="164" fontId="35" fillId="0" borderId="19" xfId="1" applyNumberFormat="1" applyFont="1" applyFill="1" applyBorder="1" applyAlignment="1">
      <alignment horizontal="center"/>
    </xf>
    <xf numFmtId="43" fontId="15" fillId="0" borderId="12" xfId="1" applyFont="1" applyFill="1" applyBorder="1" applyAlignment="1">
      <alignment horizontal="left"/>
    </xf>
    <xf numFmtId="0" fontId="15" fillId="0" borderId="4" xfId="0" applyFont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15" fillId="0" borderId="17" xfId="76" applyNumberFormat="1" applyFont="1" applyFill="1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11" xfId="1" applyNumberFormat="1" applyFont="1" applyBorder="1" applyAlignment="1"/>
    <xf numFmtId="9" fontId="35" fillId="0" borderId="0" xfId="1" applyNumberFormat="1" applyFont="1"/>
    <xf numFmtId="175" fontId="15" fillId="0" borderId="5" xfId="78" applyNumberFormat="1" applyFont="1" applyBorder="1" applyAlignment="1">
      <alignment horizontal="centerContinuous"/>
    </xf>
    <xf numFmtId="175" fontId="15" fillId="0" borderId="7" xfId="78" applyNumberFormat="1" applyFont="1" applyBorder="1" applyAlignment="1">
      <alignment horizontal="centerContinuous"/>
    </xf>
    <xf numFmtId="43" fontId="15" fillId="0" borderId="0" xfId="1" applyFont="1"/>
    <xf numFmtId="164" fontId="15" fillId="0" borderId="14" xfId="1" applyNumberFormat="1" applyFont="1" applyFill="1" applyBorder="1"/>
    <xf numFmtId="164" fontId="15" fillId="0" borderId="11" xfId="1" applyNumberFormat="1" applyFont="1" applyBorder="1" applyAlignment="1"/>
    <xf numFmtId="164" fontId="0" fillId="0" borderId="7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3" fontId="0" fillId="0" borderId="14" xfId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6" applyNumberFormat="1" applyFont="1" applyFill="1" applyBorder="1" applyAlignment="1">
      <alignment horizontal="centerContinuous"/>
    </xf>
    <xf numFmtId="43" fontId="35" fillId="0" borderId="4" xfId="1" applyFont="1" applyFill="1" applyBorder="1" applyAlignment="1">
      <alignment horizontal="center"/>
    </xf>
    <xf numFmtId="2" fontId="15" fillId="0" borderId="12" xfId="1" applyNumberFormat="1" applyFont="1" applyFill="1" applyBorder="1" applyAlignment="1">
      <alignment horizontal="centerContinuous"/>
    </xf>
    <xf numFmtId="43" fontId="0" fillId="0" borderId="5" xfId="1" applyFont="1" applyBorder="1"/>
    <xf numFmtId="164" fontId="0" fillId="0" borderId="17" xfId="1" applyNumberFormat="1" applyFont="1" applyFill="1" applyBorder="1" applyAlignment="1">
      <alignment horizontal="centerContinuous"/>
    </xf>
    <xf numFmtId="164" fontId="0" fillId="0" borderId="17" xfId="1" applyNumberFormat="1" applyFont="1" applyFill="1" applyBorder="1" applyAlignment="1">
      <alignment horizontal="center"/>
    </xf>
    <xf numFmtId="164" fontId="15" fillId="0" borderId="19" xfId="1" applyNumberFormat="1" applyFont="1" applyFill="1" applyBorder="1" applyAlignment="1">
      <alignment horizontal="centerContinuous"/>
    </xf>
    <xf numFmtId="0" fontId="0" fillId="0" borderId="3" xfId="0" applyBorder="1" applyAlignment="1">
      <alignment horizontal="left"/>
    </xf>
    <xf numFmtId="0" fontId="0" fillId="0" borderId="15" xfId="0" applyBorder="1"/>
    <xf numFmtId="43" fontId="0" fillId="0" borderId="3" xfId="1" applyFont="1" applyBorder="1"/>
    <xf numFmtId="170" fontId="0" fillId="0" borderId="6" xfId="1" applyNumberFormat="1" applyFont="1" applyBorder="1"/>
    <xf numFmtId="170" fontId="0" fillId="0" borderId="0" xfId="1" applyNumberFormat="1" applyFont="1" applyBorder="1"/>
    <xf numFmtId="43" fontId="0" fillId="0" borderId="6" xfId="1" applyFont="1" applyFill="1" applyBorder="1"/>
    <xf numFmtId="170" fontId="0" fillId="0" borderId="6" xfId="1" applyNumberFormat="1" applyFont="1" applyFill="1" applyBorder="1"/>
    <xf numFmtId="0" fontId="0" fillId="0" borderId="11" xfId="0" applyBorder="1" applyAlignment="1">
      <alignment horizontal="centerContinuous"/>
    </xf>
    <xf numFmtId="43" fontId="15" fillId="0" borderId="5" xfId="1" applyFont="1" applyBorder="1" applyAlignment="1">
      <alignment horizontal="left"/>
    </xf>
    <xf numFmtId="173" fontId="0" fillId="0" borderId="1" xfId="1" applyNumberFormat="1" applyFont="1" applyBorder="1"/>
    <xf numFmtId="173" fontId="0" fillId="0" borderId="7" xfId="1" applyNumberFormat="1" applyFont="1" applyBorder="1"/>
    <xf numFmtId="170" fontId="15" fillId="0" borderId="16" xfId="1" applyNumberFormat="1" applyFont="1" applyBorder="1"/>
    <xf numFmtId="170" fontId="15" fillId="0" borderId="17" xfId="1" applyNumberFormat="1" applyFont="1" applyBorder="1"/>
    <xf numFmtId="170" fontId="15" fillId="0" borderId="18" xfId="1" applyNumberFormat="1" applyFont="1" applyBorder="1"/>
    <xf numFmtId="170" fontId="0" fillId="0" borderId="16" xfId="1" applyNumberFormat="1" applyFont="1" applyBorder="1"/>
    <xf numFmtId="170" fontId="0" fillId="0" borderId="17" xfId="1" applyNumberFormat="1" applyFont="1" applyBorder="1"/>
    <xf numFmtId="170" fontId="0" fillId="0" borderId="18" xfId="1" applyNumberFormat="1" applyFont="1" applyBorder="1"/>
    <xf numFmtId="43" fontId="0" fillId="0" borderId="18" xfId="1" applyFont="1" applyFill="1" applyBorder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173" fontId="0" fillId="0" borderId="18" xfId="1" applyNumberFormat="1" applyFont="1" applyBorder="1"/>
    <xf numFmtId="43" fontId="15" fillId="0" borderId="4" xfId="1" applyFont="1" applyFill="1" applyBorder="1"/>
    <xf numFmtId="43" fontId="15" fillId="0" borderId="11" xfId="1" applyFont="1" applyFill="1" applyBorder="1"/>
    <xf numFmtId="2" fontId="15" fillId="0" borderId="3" xfId="1" applyNumberFormat="1" applyFont="1" applyFill="1" applyBorder="1" applyAlignment="1">
      <alignment horizontal="centerContinuous"/>
    </xf>
    <xf numFmtId="9" fontId="0" fillId="0" borderId="7" xfId="78" applyFont="1" applyBorder="1" applyAlignment="1">
      <alignment horizontal="center"/>
    </xf>
    <xf numFmtId="9" fontId="0" fillId="0" borderId="15" xfId="78" applyFont="1" applyBorder="1" applyAlignment="1">
      <alignment horizontal="center"/>
    </xf>
    <xf numFmtId="0" fontId="48" fillId="0" borderId="0" xfId="68" applyFont="1"/>
    <xf numFmtId="0" fontId="48" fillId="0" borderId="0" xfId="68" applyFont="1" applyAlignment="1">
      <alignment horizontal="center"/>
    </xf>
    <xf numFmtId="0" fontId="48" fillId="0" borderId="0" xfId="68" applyFont="1" applyAlignment="1">
      <alignment horizontal="right"/>
    </xf>
    <xf numFmtId="0" fontId="13" fillId="0" borderId="0" xfId="79" applyFont="1" applyAlignment="1">
      <alignment horizontal="right"/>
    </xf>
    <xf numFmtId="0" fontId="48" fillId="0" borderId="0" xfId="79"/>
    <xf numFmtId="0" fontId="48" fillId="2" borderId="20" xfId="79" applyFill="1" applyBorder="1"/>
    <xf numFmtId="0" fontId="48" fillId="2" borderId="21" xfId="79" applyFill="1" applyBorder="1"/>
    <xf numFmtId="0" fontId="13" fillId="2" borderId="21" xfId="79" applyFont="1" applyFill="1" applyBorder="1" applyAlignment="1">
      <alignment horizontal="center"/>
    </xf>
    <xf numFmtId="0" fontId="13" fillId="2" borderId="22" xfId="79" applyFont="1" applyFill="1" applyBorder="1"/>
    <xf numFmtId="0" fontId="49" fillId="3" borderId="4" xfId="79" applyFont="1" applyFill="1" applyBorder="1"/>
    <xf numFmtId="0" fontId="49" fillId="3" borderId="0" xfId="79" applyFont="1" applyFill="1"/>
    <xf numFmtId="0" fontId="49" fillId="3" borderId="0" xfId="79" applyFont="1" applyFill="1" applyAlignment="1">
      <alignment horizontal="center"/>
    </xf>
    <xf numFmtId="0" fontId="49" fillId="3" borderId="1" xfId="79" applyFont="1" applyFill="1" applyBorder="1"/>
    <xf numFmtId="0" fontId="49" fillId="3" borderId="4" xfId="68" applyFont="1" applyFill="1" applyBorder="1"/>
    <xf numFmtId="0" fontId="49" fillId="3" borderId="0" xfId="68" applyFont="1" applyFill="1"/>
    <xf numFmtId="0" fontId="49" fillId="3" borderId="0" xfId="68" applyFont="1" applyFill="1" applyAlignment="1">
      <alignment horizontal="center"/>
    </xf>
    <xf numFmtId="0" fontId="49" fillId="3" borderId="1" xfId="68" applyFont="1" applyFill="1" applyBorder="1"/>
    <xf numFmtId="0" fontId="48" fillId="2" borderId="4" xfId="68" applyFont="1" applyFill="1" applyBorder="1"/>
    <xf numFmtId="0" fontId="48" fillId="2" borderId="0" xfId="68" applyFont="1" applyFill="1"/>
    <xf numFmtId="0" fontId="48" fillId="2" borderId="0" xfId="68" applyFont="1" applyFill="1" applyAlignment="1">
      <alignment horizontal="center"/>
    </xf>
    <xf numFmtId="0" fontId="48" fillId="2" borderId="1" xfId="68" applyFont="1" applyFill="1" applyBorder="1"/>
    <xf numFmtId="42" fontId="48" fillId="2" borderId="0" xfId="59" applyNumberFormat="1" applyFont="1" applyFill="1" applyBorder="1" applyAlignment="1">
      <alignment horizontal="center"/>
    </xf>
    <xf numFmtId="175" fontId="48" fillId="2" borderId="0" xfId="68" applyNumberFormat="1" applyFont="1" applyFill="1" applyAlignment="1">
      <alignment horizontal="center"/>
    </xf>
    <xf numFmtId="41" fontId="48" fillId="2" borderId="0" xfId="59" applyNumberFormat="1" applyFont="1" applyFill="1" applyBorder="1" applyAlignment="1">
      <alignment horizontal="center"/>
    </xf>
    <xf numFmtId="0" fontId="48" fillId="2" borderId="3" xfId="68" applyFont="1" applyFill="1" applyBorder="1"/>
    <xf numFmtId="0" fontId="48" fillId="2" borderId="3" xfId="68" applyFont="1" applyFill="1" applyBorder="1" applyAlignment="1">
      <alignment horizontal="center"/>
    </xf>
    <xf numFmtId="42" fontId="48" fillId="2" borderId="0" xfId="68" applyNumberFormat="1" applyFont="1" applyFill="1" applyAlignment="1">
      <alignment horizontal="center"/>
    </xf>
    <xf numFmtId="0" fontId="48" fillId="2" borderId="11" xfId="68" applyFont="1" applyFill="1" applyBorder="1"/>
    <xf numFmtId="0" fontId="48" fillId="2" borderId="15" xfId="68" applyFont="1" applyFill="1" applyBorder="1"/>
    <xf numFmtId="0" fontId="48" fillId="2" borderId="12" xfId="68" applyFont="1" applyFill="1" applyBorder="1"/>
    <xf numFmtId="0" fontId="48" fillId="2" borderId="13" xfId="68" applyFont="1" applyFill="1" applyBorder="1"/>
    <xf numFmtId="0" fontId="48" fillId="2" borderId="13" xfId="68" applyFont="1" applyFill="1" applyBorder="1" applyAlignment="1">
      <alignment horizontal="center"/>
    </xf>
    <xf numFmtId="0" fontId="48" fillId="2" borderId="14" xfId="68" applyFont="1" applyFill="1" applyBorder="1"/>
    <xf numFmtId="42" fontId="48" fillId="0" borderId="0" xfId="68" applyNumberFormat="1" applyFont="1" applyAlignment="1">
      <alignment horizontal="center"/>
    </xf>
    <xf numFmtId="164" fontId="48" fillId="2" borderId="0" xfId="1" applyNumberFormat="1" applyFont="1" applyFill="1" applyBorder="1" applyAlignment="1">
      <alignment horizontal="center"/>
    </xf>
    <xf numFmtId="0" fontId="51" fillId="4" borderId="0" xfId="18" applyFont="1" applyFill="1" applyAlignment="1">
      <alignment horizontal="center"/>
    </xf>
    <xf numFmtId="0" fontId="51" fillId="5" borderId="21" xfId="18" applyFont="1" applyFill="1" applyBorder="1" applyAlignment="1">
      <alignment horizontal="center"/>
    </xf>
    <xf numFmtId="0" fontId="48" fillId="0" borderId="0" xfId="18" applyFont="1"/>
    <xf numFmtId="0" fontId="51" fillId="4" borderId="4" xfId="18" applyFont="1" applyFill="1" applyBorder="1" applyAlignment="1">
      <alignment horizontal="center"/>
    </xf>
    <xf numFmtId="0" fontId="34" fillId="2" borderId="20" xfId="18" applyFont="1" applyFill="1" applyBorder="1"/>
    <xf numFmtId="0" fontId="51" fillId="4" borderId="1" xfId="18" applyFont="1" applyFill="1" applyBorder="1" applyAlignment="1">
      <alignment horizontal="center"/>
    </xf>
    <xf numFmtId="0" fontId="34" fillId="2" borderId="22" xfId="18" applyFont="1" applyFill="1" applyBorder="1"/>
    <xf numFmtId="0" fontId="50" fillId="6" borderId="24" xfId="81" applyFont="1" applyFill="1" applyBorder="1"/>
    <xf numFmtId="42" fontId="50" fillId="6" borderId="24" xfId="81" applyNumberFormat="1" applyFont="1" applyFill="1" applyBorder="1"/>
    <xf numFmtId="175" fontId="50" fillId="6" borderId="24" xfId="78" applyNumberFormat="1" applyFont="1" applyFill="1" applyBorder="1"/>
    <xf numFmtId="175" fontId="48" fillId="2" borderId="0" xfId="68" applyNumberFormat="1" applyFont="1" applyFill="1" applyAlignment="1">
      <alignment horizontal="right"/>
    </xf>
    <xf numFmtId="0" fontId="13" fillId="0" borderId="0" xfId="79" applyFont="1" applyAlignment="1">
      <alignment horizontal="center"/>
    </xf>
    <xf numFmtId="0" fontId="50" fillId="0" borderId="0" xfId="68" applyFont="1"/>
    <xf numFmtId="0" fontId="49" fillId="3" borderId="0" xfId="68" applyFont="1" applyFill="1" applyAlignment="1">
      <alignment horizontal="right"/>
    </xf>
    <xf numFmtId="39" fontId="48" fillId="2" borderId="0" xfId="1" applyNumberFormat="1" applyFont="1" applyFill="1" applyAlignment="1">
      <alignment horizontal="right"/>
    </xf>
    <xf numFmtId="43" fontId="50" fillId="6" borderId="24" xfId="1" applyFont="1" applyFill="1" applyBorder="1"/>
    <xf numFmtId="0" fontId="49" fillId="3" borderId="23" xfId="68" applyFont="1" applyFill="1" applyBorder="1" applyAlignment="1">
      <alignment horizontal="center"/>
    </xf>
    <xf numFmtId="6" fontId="49" fillId="3" borderId="0" xfId="68" quotePrefix="1" applyNumberFormat="1" applyFont="1" applyFill="1" applyAlignment="1">
      <alignment horizontal="center"/>
    </xf>
  </cellXfs>
  <cellStyles count="82">
    <cellStyle name="Comma" xfId="1" builtinId="3"/>
    <cellStyle name="Comma 10" xfId="77"/>
    <cellStyle name="Comma 11 2 2" xfId="45"/>
    <cellStyle name="Comma 119" xfId="59"/>
    <cellStyle name="Comma 2" xfId="2"/>
    <cellStyle name="Comma 2 2" xfId="13"/>
    <cellStyle name="Comma 2 2 2" xfId="55"/>
    <cellStyle name="Comma 2 3" xfId="76"/>
    <cellStyle name="Comma 3" xfId="10"/>
    <cellStyle name="Comma 3 2" xfId="63"/>
    <cellStyle name="Comma 4" xfId="24"/>
    <cellStyle name="Comma 4 2" xfId="66"/>
    <cellStyle name="Comma 5" xfId="44"/>
    <cellStyle name="Comma 5 2" xfId="60"/>
    <cellStyle name="Comma 6" xfId="47"/>
    <cellStyle name="Comma 6 2" xfId="54"/>
    <cellStyle name="Comma 7" xfId="53"/>
    <cellStyle name="Comma 8" xfId="56"/>
    <cellStyle name="Comma 8 2" xfId="75"/>
    <cellStyle name="Comma 9" xfId="61"/>
    <cellStyle name="Currency 2" xfId="14"/>
    <cellStyle name="Currency 3" xfId="15"/>
    <cellStyle name="Currency 4" xfId="80"/>
    <cellStyle name="General" xfId="3"/>
    <cellStyle name="Marathon" xfId="25"/>
    <cellStyle name="nONE" xfId="4"/>
    <cellStyle name="Normal" xfId="0" builtinId="0"/>
    <cellStyle name="Normal 10" xfId="16"/>
    <cellStyle name="Normal 10 2" xfId="35"/>
    <cellStyle name="Normal 11" xfId="17"/>
    <cellStyle name="Normal 12" xfId="23"/>
    <cellStyle name="Normal 12 2" xfId="65"/>
    <cellStyle name="Normal 13" xfId="29"/>
    <cellStyle name="Normal 14" xfId="30"/>
    <cellStyle name="Normal 15" xfId="32"/>
    <cellStyle name="Normal 15 2" xfId="68"/>
    <cellStyle name="Normal 16" xfId="33"/>
    <cellStyle name="Normal 16 2" xfId="69"/>
    <cellStyle name="Normal 16 7" xfId="43"/>
    <cellStyle name="Normal 17" xfId="34"/>
    <cellStyle name="Normal 17 2" xfId="70"/>
    <cellStyle name="Normal 18" xfId="36"/>
    <cellStyle name="Normal 19" xfId="37"/>
    <cellStyle name="Normal 2" xfId="5"/>
    <cellStyle name="Normal 2 2" xfId="18"/>
    <cellStyle name="Normal 2 3" xfId="38"/>
    <cellStyle name="Normal 20" xfId="39"/>
    <cellStyle name="Normal 20 2" xfId="71"/>
    <cellStyle name="Normal 21" xfId="40"/>
    <cellStyle name="Normal 21 2" xfId="72"/>
    <cellStyle name="Normal 22" xfId="41"/>
    <cellStyle name="Normal 22 2" xfId="73"/>
    <cellStyle name="Normal 23" xfId="42"/>
    <cellStyle name="Normal 23 2" xfId="49"/>
    <cellStyle name="Normal 24" xfId="48"/>
    <cellStyle name="Normal 24 2" xfId="74"/>
    <cellStyle name="Normal 25" xfId="52"/>
    <cellStyle name="Normal 26" xfId="57"/>
    <cellStyle name="Normal 28" xfId="81"/>
    <cellStyle name="Normal 3" xfId="9"/>
    <cellStyle name="Normal 3 2" xfId="26"/>
    <cellStyle name="Normal 31 5" xfId="79"/>
    <cellStyle name="Normal 4" xfId="11"/>
    <cellStyle name="Normal 4 2" xfId="27"/>
    <cellStyle name="Normal 5" xfId="12"/>
    <cellStyle name="Normal 5 3 12" xfId="58"/>
    <cellStyle name="Normal 6" xfId="19"/>
    <cellStyle name="Normal 7" xfId="20"/>
    <cellStyle name="Normal 7 2" xfId="64"/>
    <cellStyle name="Normal 8" xfId="21"/>
    <cellStyle name="Normal 9" xfId="22"/>
    <cellStyle name="Normal_OR 1999 SAS VS 305" xfId="6"/>
    <cellStyle name="Percent" xfId="78" builtinId="5"/>
    <cellStyle name="Percent 2" xfId="7"/>
    <cellStyle name="Percent 2 2" xfId="50"/>
    <cellStyle name="Percent 2 3" xfId="62"/>
    <cellStyle name="Percent 3" xfId="28"/>
    <cellStyle name="Percent 3 2" xfId="31"/>
    <cellStyle name="Percent 3 3" xfId="67"/>
    <cellStyle name="Percent 4" xfId="46"/>
    <cellStyle name="Percent 5" xfId="51"/>
    <cellStyle name="TRANSMISSION RELIABILITY PORTION OF PROJECT" xfId="8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35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33.xml"/><Relationship Id="rId64" Type="http://schemas.openxmlformats.org/officeDocument/2006/relationships/sheetMetadata" Target="metadata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36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37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2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CASES/Wyoming98/EAST97%20B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Slcfil01/DATA/SLREG1/ARCHIVE/1999/Semi%20Dec%201999/Models%20(Ram%20&amp;%20Jam)/Copy%20of%20Models%20as%20Filed/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SB%201149/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Users/p74933/AppData/Local/Microsoft/Windows/INetCache/Content.Outlook/7BA3TAPH/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1710F7\ex0220-Miller-1-3%20and%20WP-1-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pw/.PSB1_GROUPS.PSB.OR.PPW/REGULATN/COS/WA%204-2010%20GRC%20(Docket%20UE-xxxxxx)/JAM/WA%20RAM%20JUNE%202008%20GRC_tes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189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CASES/Wyoming98/East%20West%20Rate%20Migr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12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DSMRecov/2001/RECOV01W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SystemSegCosts/03/Washington/MC_Washington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CASES/Wy0902/EAST%20Blocking%209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DSMRecov/2016%20-%20%20old%20method/RECOV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Documents%20and%20Settings/p09653/My%20Documents/Oregon%20Rate%20Case/SB%201149/Rebuttal/MC%20OR%202001%20Rebutt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Documents%20and%20Settings/p04092.000/Local%20Settings/Temporary%20Internet%20Files/OLK1AC/RECOV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CASES/Oregon%2099/Portfolio/TOU%20Tariff%20Rates%209-10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305A/Book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ACCTNG/GENERAL/JAN%20LEWIS/DSM/DSM%20-%20OR/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ariffs"/>
      <sheetName val="Outflow Credits"/>
      <sheetName val="COSS Table"/>
      <sheetName val="Impacts"/>
      <sheetName val="Attachment A"/>
      <sheetName val="Attachment B"/>
      <sheetName val="Sch F-2.0_Summary"/>
      <sheetName val="Sch F-2.1_Rate Design Targets"/>
      <sheetName val="Sch F-3.0_RSP"/>
      <sheetName val="Sch F-3.0_RSH"/>
      <sheetName val="Sch F-3.0_RPM"/>
      <sheetName val="Sch F-3.0_RSM"/>
      <sheetName val="Sch F-3.0_GS"/>
      <sheetName val="Sch F-3.0_GSTU"/>
      <sheetName val="Sch F-3.0_GSD"/>
      <sheetName val="Sch F-3.0_GP_1"/>
      <sheetName val="Sch F-3.0_GP_2"/>
      <sheetName val="Sch F-3.0_GP_3"/>
      <sheetName val="Sch F-3.0_GPD_1"/>
      <sheetName val="Sch F-3.0_GPD_2"/>
      <sheetName val="Sch F-3.0_GPD_3"/>
      <sheetName val="Sch F-3.0_GPTU_1"/>
      <sheetName val="Sch F-3.0_GPTU_2"/>
      <sheetName val="Sch F-3.0_GPTU_3"/>
      <sheetName val="Sch F-3.0_EIP_1"/>
      <sheetName val="Sch F-3.0_EIP_2"/>
      <sheetName val="Sch F-3.0_EIP_3"/>
      <sheetName val="Sch F-3.0_GML"/>
      <sheetName val="Sch F-3.0_GUL"/>
      <sheetName val="Sch F-3.0_GU-XL"/>
      <sheetName val="Sch F-3.0_LED"/>
      <sheetName val="Sch F-3.0_GU"/>
      <sheetName val="Sch F-3.0_GSG-2"/>
      <sheetName val="WP-1_RES"/>
      <sheetName val="WP-2_SEC"/>
      <sheetName val="WP-3_PRI"/>
      <sheetName val="WP-4_EIP"/>
      <sheetName val="WP-5_LIGHTING"/>
      <sheetName val="WP-6"/>
      <sheetName val="WP-7"/>
      <sheetName val="WP-8"/>
      <sheetName val="WP-9"/>
      <sheetName val="WP-10"/>
      <sheetName val="WP-11"/>
      <sheetName val="WP-12"/>
      <sheetName val="WP-13"/>
      <sheetName val="WP-14"/>
      <sheetName val="WP-15"/>
      <sheetName val="WP-16"/>
      <sheetName val="WP-17"/>
      <sheetName val="WP-18"/>
      <sheetName val="WP-19"/>
      <sheetName val="WP-20"/>
      <sheetName val="WP-21"/>
      <sheetName val="WP-22"/>
      <sheetName val="WP-23"/>
      <sheetName val="WP-24"/>
      <sheetName val="WP-25"/>
    </sheetNames>
    <sheetDataSet>
      <sheetData sheetId="0">
        <row r="9">
          <cell r="C9">
            <v>1171068.1708456625</v>
          </cell>
        </row>
        <row r="22">
          <cell r="C22">
            <v>4.4400000000000004E-3</v>
          </cell>
          <cell r="F22" t="str">
            <v>U-20697</v>
          </cell>
          <cell r="I22">
            <v>6</v>
          </cell>
        </row>
        <row r="23">
          <cell r="C23">
            <v>4.4400000000000004E-3</v>
          </cell>
          <cell r="F23" t="str">
            <v>HWMiller</v>
          </cell>
          <cell r="I23">
            <v>2</v>
          </cell>
        </row>
        <row r="24">
          <cell r="F24" t="str">
            <v>February 2020</v>
          </cell>
          <cell r="I24">
            <v>2</v>
          </cell>
        </row>
        <row r="30">
          <cell r="A30" t="str">
            <v>RSP0001</v>
          </cell>
          <cell r="B30" t="str">
            <v>Summer On-peak kWh Non-capacity</v>
          </cell>
          <cell r="E30" t="str">
            <v>SONPK</v>
          </cell>
          <cell r="F30">
            <v>9.0785000000000005E-2</v>
          </cell>
        </row>
        <row r="31">
          <cell r="A31" t="str">
            <v>RSP0002</v>
          </cell>
          <cell r="B31" t="str">
            <v>Summer Off-peak kWh Non-capacity</v>
          </cell>
          <cell r="E31" t="str">
            <v>SONPK</v>
          </cell>
          <cell r="F31">
            <v>6.1121000000000002E-2</v>
          </cell>
        </row>
        <row r="32">
          <cell r="A32" t="str">
            <v>RSP0003</v>
          </cell>
          <cell r="B32" t="str">
            <v>Summer On-peak kWh Capacity</v>
          </cell>
          <cell r="E32" t="str">
            <v>SONPK</v>
          </cell>
          <cell r="F32">
            <v>5.2967E-2</v>
          </cell>
        </row>
        <row r="33">
          <cell r="A33" t="str">
            <v>RSP0004</v>
          </cell>
          <cell r="B33" t="str">
            <v>Summer Off-peak kWh Capacity</v>
          </cell>
          <cell r="E33" t="str">
            <v>SONPK</v>
          </cell>
          <cell r="F33">
            <v>3.5659999999999997E-2</v>
          </cell>
        </row>
        <row r="34">
          <cell r="A34" t="str">
            <v>RSP0005</v>
          </cell>
          <cell r="B34" t="str">
            <v>Winter All kWh Non-capacity</v>
          </cell>
          <cell r="E34" t="str">
            <v>SONPK</v>
          </cell>
          <cell r="F34">
            <v>6.1121000000000002E-2</v>
          </cell>
        </row>
        <row r="35">
          <cell r="A35" t="str">
            <v>RSP0006</v>
          </cell>
          <cell r="B35" t="str">
            <v>Winter All kWh Capacity</v>
          </cell>
          <cell r="E35" t="str">
            <v>SONPK</v>
          </cell>
          <cell r="F35">
            <v>3.5659999999999997E-2</v>
          </cell>
        </row>
        <row r="36">
          <cell r="A36" t="str">
            <v>RSP0007</v>
          </cell>
          <cell r="B36" t="str">
            <v>Summer On-peak kWh Transmission</v>
          </cell>
          <cell r="E36" t="str">
            <v>SONPK</v>
          </cell>
          <cell r="F36">
            <v>0</v>
          </cell>
        </row>
        <row r="37">
          <cell r="A37" t="str">
            <v>RSP0008</v>
          </cell>
          <cell r="B37" t="str">
            <v>Summer Off-peak kWh Transmission</v>
          </cell>
          <cell r="E37" t="str">
            <v>SONPK</v>
          </cell>
          <cell r="F37">
            <v>0</v>
          </cell>
        </row>
        <row r="38">
          <cell r="A38" t="str">
            <v>RSP0009</v>
          </cell>
          <cell r="B38" t="str">
            <v>Winter All kWh Transmission</v>
          </cell>
          <cell r="E38" t="str">
            <v>SONPK</v>
          </cell>
          <cell r="F38">
            <v>0</v>
          </cell>
        </row>
        <row r="40">
          <cell r="A40" t="str">
            <v>RSH0001</v>
          </cell>
          <cell r="B40" t="str">
            <v>Summer On-peak kWh Non-capacity</v>
          </cell>
          <cell r="E40" t="str">
            <v>SMART HOURS</v>
          </cell>
          <cell r="F40">
            <v>8.8051000000000004E-2</v>
          </cell>
        </row>
        <row r="41">
          <cell r="A41" t="str">
            <v>RSH0002</v>
          </cell>
          <cell r="B41" t="str">
            <v>Summer Off-peak kWh Non-capacity</v>
          </cell>
          <cell r="E41" t="str">
            <v>SMART HOURS</v>
          </cell>
          <cell r="F41">
            <v>5.9279999999999999E-2</v>
          </cell>
        </row>
        <row r="42">
          <cell r="A42" t="str">
            <v>RSH0003</v>
          </cell>
          <cell r="B42" t="str">
            <v>Summer On-peak kWh Capacity</v>
          </cell>
          <cell r="E42" t="str">
            <v>SMART HOURS</v>
          </cell>
          <cell r="F42">
            <v>5.1101000000000001E-2</v>
          </cell>
        </row>
        <row r="43">
          <cell r="A43" t="str">
            <v>RSH0004</v>
          </cell>
          <cell r="B43" t="str">
            <v>Summer Off-peak kWh Capacity</v>
          </cell>
          <cell r="E43" t="str">
            <v>SMART HOURS</v>
          </cell>
          <cell r="F43">
            <v>3.4403999999999997E-2</v>
          </cell>
        </row>
        <row r="44">
          <cell r="A44" t="str">
            <v>RSH0005</v>
          </cell>
          <cell r="B44" t="str">
            <v>Winter On-peak kWh Non-capacity</v>
          </cell>
          <cell r="E44" t="str">
            <v>SMART HOURS</v>
          </cell>
          <cell r="F44">
            <v>6.6560999999999995E-2</v>
          </cell>
        </row>
        <row r="45">
          <cell r="A45" t="str">
            <v>RSH0006</v>
          </cell>
          <cell r="B45" t="str">
            <v>Winter Off-peak kWh Non-capacity</v>
          </cell>
          <cell r="E45" t="str">
            <v>SMART HOURS</v>
          </cell>
          <cell r="F45">
            <v>5.9279999999999999E-2</v>
          </cell>
        </row>
        <row r="46">
          <cell r="A46" t="str">
            <v>RSH0007</v>
          </cell>
          <cell r="B46" t="str">
            <v>Winter On-peak kWh Capacity</v>
          </cell>
          <cell r="E46" t="str">
            <v>SMART HOURS</v>
          </cell>
          <cell r="F46">
            <v>3.8628999999999997E-2</v>
          </cell>
        </row>
        <row r="47">
          <cell r="A47" t="str">
            <v>RSH0008</v>
          </cell>
          <cell r="B47" t="str">
            <v>Winter Off-peak kWh Capacity</v>
          </cell>
          <cell r="E47" t="str">
            <v>SMART HOURS</v>
          </cell>
          <cell r="F47">
            <v>3.4403999999999997E-2</v>
          </cell>
        </row>
        <row r="48">
          <cell r="A48" t="str">
            <v>RSH0009</v>
          </cell>
          <cell r="B48" t="str">
            <v>Summer Trans. On-peak kWh</v>
          </cell>
          <cell r="E48" t="str">
            <v>SMART HOURS</v>
          </cell>
          <cell r="F48">
            <v>0</v>
          </cell>
        </row>
        <row r="49">
          <cell r="A49" t="str">
            <v>RSH0010</v>
          </cell>
          <cell r="B49" t="str">
            <v>Summer Trans. Off-peak kWh</v>
          </cell>
          <cell r="E49" t="str">
            <v>SMART HOURS</v>
          </cell>
          <cell r="F49">
            <v>0</v>
          </cell>
        </row>
        <row r="50">
          <cell r="A50" t="str">
            <v>RSH0011</v>
          </cell>
          <cell r="B50" t="str">
            <v>Winter Trans. On-peak kWh</v>
          </cell>
          <cell r="E50" t="str">
            <v>SMART HOURS</v>
          </cell>
          <cell r="F50">
            <v>0</v>
          </cell>
        </row>
        <row r="51">
          <cell r="A51" t="str">
            <v>RSH0012</v>
          </cell>
          <cell r="B51" t="str">
            <v>Winter Trans. Off-peak kWh</v>
          </cell>
          <cell r="E51" t="str">
            <v>SMART HOURS</v>
          </cell>
          <cell r="F51">
            <v>0</v>
          </cell>
        </row>
        <row r="53">
          <cell r="A53" t="str">
            <v>RPM0001</v>
          </cell>
          <cell r="B53" t="str">
            <v>Summer On-peak kWh Non-capacity</v>
          </cell>
          <cell r="E53" t="str">
            <v>NIGHT SAVERS</v>
          </cell>
          <cell r="F53">
            <v>9.5145999999999994E-2</v>
          </cell>
        </row>
        <row r="54">
          <cell r="A54" t="str">
            <v>RPM0002</v>
          </cell>
          <cell r="B54" t="str">
            <v>Summer Off-peak kWh Non-capacity</v>
          </cell>
          <cell r="E54" t="str">
            <v>NIGHT SAVERS</v>
          </cell>
          <cell r="F54">
            <v>8.0874000000000001E-2</v>
          </cell>
        </row>
        <row r="55">
          <cell r="A55" t="str">
            <v>RPM0003</v>
          </cell>
          <cell r="B55" t="str">
            <v>Summer Super Off-peak kWh Non-capacity</v>
          </cell>
          <cell r="E55" t="str">
            <v>NIGHT SAVERS</v>
          </cell>
          <cell r="F55">
            <v>4.7572999999999997E-2</v>
          </cell>
        </row>
        <row r="56">
          <cell r="A56" t="str">
            <v>RPM0004</v>
          </cell>
          <cell r="B56" t="str">
            <v>Summer On-peak kWh Capacity</v>
          </cell>
          <cell r="E56" t="str">
            <v>NIGHT SAVERS</v>
          </cell>
          <cell r="F56">
            <v>5.5218999999999997E-2</v>
          </cell>
        </row>
        <row r="57">
          <cell r="A57" t="str">
            <v>RPM0005</v>
          </cell>
          <cell r="B57" t="str">
            <v>Summer Off-peak kWh Capacity</v>
          </cell>
          <cell r="E57" t="str">
            <v>NIGHT SAVERS</v>
          </cell>
          <cell r="F57">
            <v>4.6935999999999999E-2</v>
          </cell>
        </row>
        <row r="58">
          <cell r="A58" t="str">
            <v>RPM0006</v>
          </cell>
          <cell r="B58" t="str">
            <v>Summer Super Off-peak kWh Capacity</v>
          </cell>
          <cell r="E58" t="str">
            <v>NIGHT SAVERS</v>
          </cell>
          <cell r="F58">
            <v>2.7609000000000002E-2</v>
          </cell>
        </row>
        <row r="59">
          <cell r="A59" t="str">
            <v>RPM0007</v>
          </cell>
          <cell r="B59" t="str">
            <v>Winter On-peak kWh Non-capacity</v>
          </cell>
          <cell r="E59" t="str">
            <v>NIGHT SAVERS</v>
          </cell>
          <cell r="F59">
            <v>6.6601999999999995E-2</v>
          </cell>
        </row>
        <row r="60">
          <cell r="A60" t="str">
            <v>RPM0008</v>
          </cell>
          <cell r="B60" t="str">
            <v>Winter Off-peak kWh Non-capacity</v>
          </cell>
          <cell r="E60" t="str">
            <v>NIGHT SAVERS</v>
          </cell>
          <cell r="F60">
            <v>6.1844999999999997E-2</v>
          </cell>
        </row>
        <row r="61">
          <cell r="A61" t="str">
            <v>RPM0009</v>
          </cell>
          <cell r="B61" t="str">
            <v>Winter Super Off-peak kWh Non-capacity</v>
          </cell>
          <cell r="E61" t="str">
            <v>NIGHT SAVERS</v>
          </cell>
          <cell r="F61">
            <v>4.7572999999999997E-2</v>
          </cell>
        </row>
        <row r="62">
          <cell r="A62" t="str">
            <v>RPM0010</v>
          </cell>
          <cell r="B62" t="str">
            <v>Winter On-peak kWh Capacity</v>
          </cell>
          <cell r="E62" t="str">
            <v>NIGHT SAVERS</v>
          </cell>
          <cell r="F62">
            <v>3.8653E-2</v>
          </cell>
        </row>
        <row r="63">
          <cell r="A63" t="str">
            <v>RPM0011</v>
          </cell>
          <cell r="B63" t="str">
            <v>Winter Off-peak kWh Capacity</v>
          </cell>
          <cell r="E63" t="str">
            <v>NIGHT SAVERS</v>
          </cell>
          <cell r="F63">
            <v>3.5892E-2</v>
          </cell>
        </row>
        <row r="64">
          <cell r="A64" t="str">
            <v>RPM0012</v>
          </cell>
          <cell r="B64" t="str">
            <v>Winter Super Off-peak kWh Capacity</v>
          </cell>
          <cell r="E64" t="str">
            <v>NIGHT SAVERS</v>
          </cell>
          <cell r="F64">
            <v>2.7609000000000002E-2</v>
          </cell>
        </row>
        <row r="65">
          <cell r="A65" t="str">
            <v>RPM0013</v>
          </cell>
          <cell r="B65" t="str">
            <v>Summer On-peak kWh Transmission</v>
          </cell>
          <cell r="E65" t="str">
            <v>NIGHT SAVERS</v>
          </cell>
          <cell r="F65">
            <v>0</v>
          </cell>
        </row>
        <row r="66">
          <cell r="A66" t="str">
            <v>RPM0014</v>
          </cell>
          <cell r="B66" t="str">
            <v>Summer Off-peak kWh Transmission</v>
          </cell>
          <cell r="E66" t="str">
            <v>NIGHT SAVERS</v>
          </cell>
          <cell r="F66">
            <v>0</v>
          </cell>
        </row>
        <row r="67">
          <cell r="A67" t="str">
            <v>RPM0015</v>
          </cell>
          <cell r="B67" t="str">
            <v>Summer Supper Off-peak kWh Transmission</v>
          </cell>
          <cell r="E67" t="str">
            <v>NIGHT SAVERS</v>
          </cell>
          <cell r="F67">
            <v>0</v>
          </cell>
        </row>
        <row r="68">
          <cell r="A68" t="str">
            <v>RPM0016</v>
          </cell>
          <cell r="B68" t="str">
            <v>Winter On-peak kWh Transmission</v>
          </cell>
          <cell r="E68" t="str">
            <v>NIGHT SAVERS</v>
          </cell>
          <cell r="F68">
            <v>0</v>
          </cell>
        </row>
        <row r="69">
          <cell r="A69" t="str">
            <v>RPM0017</v>
          </cell>
          <cell r="B69" t="str">
            <v>Winter Off-peak kWh Transmission</v>
          </cell>
          <cell r="E69" t="str">
            <v>NIGHT SAVERS</v>
          </cell>
          <cell r="F69">
            <v>0</v>
          </cell>
        </row>
        <row r="70">
          <cell r="A70" t="str">
            <v>RPM0018</v>
          </cell>
          <cell r="B70" t="str">
            <v>Winter Supper Off-peak kWh Transmission</v>
          </cell>
          <cell r="E70" t="str">
            <v>NIGHT SAVERS</v>
          </cell>
          <cell r="F70">
            <v>0</v>
          </cell>
        </row>
        <row r="72">
          <cell r="A72" t="str">
            <v>RNT0001</v>
          </cell>
          <cell r="B72" t="str">
            <v>Summer First 600 kWh Non-capacity</v>
          </cell>
          <cell r="E72" t="str">
            <v>OPT OUT</v>
          </cell>
          <cell r="F72">
            <v>6.0528999999999999E-2</v>
          </cell>
        </row>
        <row r="73">
          <cell r="A73" t="str">
            <v>RNT0002</v>
          </cell>
          <cell r="B73" t="str">
            <v>Summer Excess kWh Non-capacity</v>
          </cell>
          <cell r="E73" t="str">
            <v>OPT OUT</v>
          </cell>
          <cell r="F73">
            <v>8.0046999999999993E-2</v>
          </cell>
        </row>
        <row r="74">
          <cell r="A74" t="str">
            <v>RNT0003</v>
          </cell>
          <cell r="B74" t="str">
            <v>Summer First 600 kWh Capacity</v>
          </cell>
          <cell r="E74" t="str">
            <v>OPT OUT</v>
          </cell>
          <cell r="F74">
            <v>3.5129000000000001E-2</v>
          </cell>
        </row>
        <row r="75">
          <cell r="A75" t="str">
            <v>RNT0004</v>
          </cell>
          <cell r="B75" t="str">
            <v>Summer Excess kWh Capacity</v>
          </cell>
          <cell r="E75" t="str">
            <v>OPT OUT</v>
          </cell>
          <cell r="F75">
            <v>4.6456999999999998E-2</v>
          </cell>
        </row>
        <row r="76">
          <cell r="A76" t="str">
            <v>RNT0005</v>
          </cell>
          <cell r="B76" t="str">
            <v>Winter All kWh Non-capacity</v>
          </cell>
          <cell r="E76" t="str">
            <v>OPT OUT</v>
          </cell>
          <cell r="F76">
            <v>6.0528999999999999E-2</v>
          </cell>
        </row>
        <row r="77">
          <cell r="A77" t="str">
            <v>RNT0006</v>
          </cell>
          <cell r="B77" t="str">
            <v>Winter All kWh Capacity</v>
          </cell>
          <cell r="E77" t="str">
            <v>OPT OUT</v>
          </cell>
          <cell r="F77">
            <v>3.5129000000000001E-2</v>
          </cell>
        </row>
        <row r="78">
          <cell r="A78" t="str">
            <v>RNT0007</v>
          </cell>
          <cell r="B78" t="str">
            <v>Summer First 600 kWh Transmission</v>
          </cell>
          <cell r="E78" t="str">
            <v>OPT OUT</v>
          </cell>
          <cell r="F78">
            <v>0</v>
          </cell>
        </row>
        <row r="79">
          <cell r="A79" t="str">
            <v>RNT0008</v>
          </cell>
          <cell r="B79" t="str">
            <v>Summer Excess kWh Transmission</v>
          </cell>
          <cell r="E79" t="str">
            <v>OPT OUT</v>
          </cell>
          <cell r="F79">
            <v>0</v>
          </cell>
        </row>
        <row r="80">
          <cell r="A80" t="str">
            <v>RNT0009</v>
          </cell>
          <cell r="B80" t="str">
            <v>Winter All kWh Transmission</v>
          </cell>
          <cell r="E80" t="str">
            <v>OPT OUT</v>
          </cell>
          <cell r="F80">
            <v>0</v>
          </cell>
        </row>
        <row r="82">
          <cell r="A82" t="str">
            <v>R0033</v>
          </cell>
          <cell r="B82" t="str">
            <v>System Access</v>
          </cell>
          <cell r="E82" t="str">
            <v>ALL</v>
          </cell>
          <cell r="F82">
            <v>7.5</v>
          </cell>
        </row>
        <row r="83">
          <cell r="A83" t="str">
            <v>R0034</v>
          </cell>
          <cell r="B83" t="str">
            <v>Distribution kWh</v>
          </cell>
          <cell r="E83" t="str">
            <v>ALL</v>
          </cell>
          <cell r="F83">
            <v>4.7053999999999999E-2</v>
          </cell>
        </row>
        <row r="84">
          <cell r="A84" t="str">
            <v>R0035</v>
          </cell>
          <cell r="B84" t="str">
            <v>Peak Savers</v>
          </cell>
          <cell r="E84" t="str">
            <v>TOU RATES</v>
          </cell>
          <cell r="F84">
            <v>-8</v>
          </cell>
        </row>
        <row r="85">
          <cell r="A85" t="str">
            <v>R0036</v>
          </cell>
          <cell r="B85" t="str">
            <v>Peak Time Rewards</v>
          </cell>
          <cell r="E85" t="str">
            <v>TOU RATES</v>
          </cell>
          <cell r="F85">
            <v>-0.95</v>
          </cell>
        </row>
        <row r="86">
          <cell r="A86" t="str">
            <v>R0037</v>
          </cell>
          <cell r="B86" t="str">
            <v>Critical Peak Charge</v>
          </cell>
          <cell r="E86" t="str">
            <v>TOU RATES</v>
          </cell>
          <cell r="F86">
            <v>0.95</v>
          </cell>
        </row>
        <row r="87">
          <cell r="A87" t="str">
            <v>R0038</v>
          </cell>
          <cell r="B87" t="str">
            <v>Critical Off-peak Credits</v>
          </cell>
          <cell r="E87" t="str">
            <v>TOU RATES</v>
          </cell>
          <cell r="F87">
            <v>-3.2259999999999997E-2</v>
          </cell>
        </row>
        <row r="88">
          <cell r="A88" t="str">
            <v>R0039</v>
          </cell>
          <cell r="B88" t="str">
            <v>Senior Citizen</v>
          </cell>
          <cell r="E88" t="str">
            <v>ALL</v>
          </cell>
          <cell r="F88">
            <v>-3.75</v>
          </cell>
        </row>
        <row r="89">
          <cell r="A89" t="str">
            <v>R0040</v>
          </cell>
          <cell r="B89" t="str">
            <v>Income Assistance</v>
          </cell>
          <cell r="E89" t="str">
            <v>ALL</v>
          </cell>
          <cell r="F89">
            <v>-7.5</v>
          </cell>
        </row>
        <row r="90">
          <cell r="A90" t="str">
            <v>R0042</v>
          </cell>
          <cell r="B90" t="str">
            <v>Low Income Credit (LIAC)</v>
          </cell>
          <cell r="E90" t="str">
            <v>ALL</v>
          </cell>
          <cell r="F90">
            <v>-7.5</v>
          </cell>
        </row>
        <row r="91">
          <cell r="A91" t="str">
            <v>R0043</v>
          </cell>
          <cell r="B91" t="str">
            <v>Opt-out Fee</v>
          </cell>
          <cell r="E91" t="str">
            <v>OPT OUT</v>
          </cell>
          <cell r="F91">
            <v>3</v>
          </cell>
        </row>
        <row r="93">
          <cell r="A93" t="str">
            <v>GS0001</v>
          </cell>
          <cell r="B93" t="str">
            <v>Summer Non-capacity</v>
          </cell>
          <cell r="E93" t="str">
            <v>GS</v>
          </cell>
          <cell r="F93">
            <v>6.2210000000000001E-2</v>
          </cell>
        </row>
        <row r="94">
          <cell r="A94" t="str">
            <v>GS0002</v>
          </cell>
          <cell r="B94" t="str">
            <v>Summer Capacity</v>
          </cell>
          <cell r="E94" t="str">
            <v>GS</v>
          </cell>
          <cell r="F94">
            <v>3.4293999999999998E-2</v>
          </cell>
        </row>
        <row r="95">
          <cell r="A95" t="str">
            <v>GS0003</v>
          </cell>
          <cell r="B95" t="str">
            <v>Winter Non-capacity</v>
          </cell>
          <cell r="E95" t="str">
            <v>GS</v>
          </cell>
          <cell r="F95">
            <v>6.1580000000000003E-2</v>
          </cell>
        </row>
        <row r="96">
          <cell r="A96" t="str">
            <v>GS0004</v>
          </cell>
          <cell r="B96" t="str">
            <v>Winter Capacity</v>
          </cell>
          <cell r="E96" t="str">
            <v>GS</v>
          </cell>
          <cell r="F96">
            <v>3.3946999999999998E-2</v>
          </cell>
        </row>
        <row r="97">
          <cell r="A97" t="str">
            <v>GS0005</v>
          </cell>
          <cell r="B97" t="str">
            <v>Summer All kWh Transmission</v>
          </cell>
          <cell r="E97" t="str">
            <v>GS</v>
          </cell>
          <cell r="F97">
            <v>0</v>
          </cell>
        </row>
        <row r="98">
          <cell r="A98" t="str">
            <v>GS0006</v>
          </cell>
          <cell r="B98" t="str">
            <v>Winter All kWh Transmission</v>
          </cell>
          <cell r="E98" t="str">
            <v>GS</v>
          </cell>
          <cell r="F98">
            <v>0</v>
          </cell>
        </row>
        <row r="99">
          <cell r="A99" t="str">
            <v>GS0007</v>
          </cell>
          <cell r="B99" t="str">
            <v>System Access</v>
          </cell>
          <cell r="E99" t="str">
            <v>GS</v>
          </cell>
          <cell r="F99">
            <v>20</v>
          </cell>
        </row>
        <row r="100">
          <cell r="A100" t="str">
            <v>GS0008</v>
          </cell>
          <cell r="B100" t="str">
            <v>Distribution kWh</v>
          </cell>
          <cell r="E100" t="str">
            <v>GS</v>
          </cell>
          <cell r="F100">
            <v>4.2472000000000003E-2</v>
          </cell>
        </row>
        <row r="101">
          <cell r="A101" t="str">
            <v>GS0009</v>
          </cell>
          <cell r="B101" t="str">
            <v>Education GEI</v>
          </cell>
          <cell r="E101" t="str">
            <v>GS</v>
          </cell>
          <cell r="F101">
            <v>-7.4799999999999997E-4</v>
          </cell>
        </row>
        <row r="103">
          <cell r="A103" t="str">
            <v>GST0001</v>
          </cell>
          <cell r="B103" t="str">
            <v>Summer On-peak kWh Non-capacity</v>
          </cell>
          <cell r="E103" t="str">
            <v>GSTU</v>
          </cell>
          <cell r="F103">
            <v>0.109946</v>
          </cell>
        </row>
        <row r="104">
          <cell r="A104" t="str">
            <v>GST0002</v>
          </cell>
          <cell r="B104" t="str">
            <v>Summer Mid-peak kWh Non-capacity</v>
          </cell>
          <cell r="E104" t="str">
            <v>GSTU</v>
          </cell>
          <cell r="F104">
            <v>8.6390999999999996E-2</v>
          </cell>
        </row>
        <row r="105">
          <cell r="A105" t="str">
            <v>GST0003</v>
          </cell>
          <cell r="B105" t="str">
            <v>Summer Off-peak kWh Non-capacity</v>
          </cell>
          <cell r="E105" t="str">
            <v>GSTU</v>
          </cell>
          <cell r="F105">
            <v>5.5495000000000003E-2</v>
          </cell>
        </row>
        <row r="106">
          <cell r="A106" t="str">
            <v>GST0004</v>
          </cell>
          <cell r="B106" t="str">
            <v>Summer On-peak kWh Capacity</v>
          </cell>
          <cell r="E106" t="str">
            <v>GSTU</v>
          </cell>
          <cell r="F106">
            <v>6.0609000000000003E-2</v>
          </cell>
        </row>
        <row r="107">
          <cell r="A107" t="str">
            <v>GST0005</v>
          </cell>
          <cell r="B107" t="str">
            <v>Summer Mid-peak kWh Capacity</v>
          </cell>
          <cell r="E107" t="str">
            <v>GSTU</v>
          </cell>
          <cell r="F107">
            <v>4.7624E-2</v>
          </cell>
        </row>
        <row r="108">
          <cell r="A108" t="str">
            <v>GST0006</v>
          </cell>
          <cell r="B108" t="str">
            <v>Summer Off-peak kWh Capacity</v>
          </cell>
          <cell r="E108" t="str">
            <v>GSTU</v>
          </cell>
          <cell r="F108">
            <v>3.0592000000000001E-2</v>
          </cell>
        </row>
        <row r="109">
          <cell r="A109" t="str">
            <v>GST0007</v>
          </cell>
          <cell r="B109" t="str">
            <v>Winter On-peak kWh Non-capacity</v>
          </cell>
          <cell r="E109" t="str">
            <v>GSTU</v>
          </cell>
          <cell r="F109">
            <v>5.7912999999999999E-2</v>
          </cell>
        </row>
        <row r="110">
          <cell r="A110" t="str">
            <v>GST0008</v>
          </cell>
          <cell r="B110" t="str">
            <v>Winter Off-peak kWh Non-capacity</v>
          </cell>
          <cell r="E110" t="str">
            <v>GSTU</v>
          </cell>
          <cell r="F110">
            <v>5.0720000000000001E-2</v>
          </cell>
        </row>
        <row r="111">
          <cell r="A111" t="str">
            <v>GST0009</v>
          </cell>
          <cell r="B111" t="str">
            <v>Winter On-peak kWh Capacity</v>
          </cell>
          <cell r="E111" t="str">
            <v>GSTU</v>
          </cell>
          <cell r="F111">
            <v>3.1925000000000002E-2</v>
          </cell>
        </row>
        <row r="112">
          <cell r="A112" t="str">
            <v>GST0010</v>
          </cell>
          <cell r="B112" t="str">
            <v>Winter Off-peak kWh Capacity</v>
          </cell>
          <cell r="E112" t="str">
            <v>GSTU</v>
          </cell>
          <cell r="F112">
            <v>2.7959999999999999E-2</v>
          </cell>
        </row>
        <row r="113">
          <cell r="A113" t="str">
            <v>GST0011</v>
          </cell>
          <cell r="B113" t="str">
            <v>Summer On-peak kWh Transmission</v>
          </cell>
          <cell r="E113" t="str">
            <v>GSTU</v>
          </cell>
          <cell r="F113">
            <v>0</v>
          </cell>
        </row>
        <row r="114">
          <cell r="A114" t="str">
            <v>GST0012</v>
          </cell>
          <cell r="B114" t="str">
            <v>Summer Mid-peak kWh Transmission</v>
          </cell>
          <cell r="E114" t="str">
            <v>GSTU</v>
          </cell>
          <cell r="F114">
            <v>0</v>
          </cell>
        </row>
        <row r="115">
          <cell r="A115" t="str">
            <v>GST0013</v>
          </cell>
          <cell r="B115" t="str">
            <v>Summer Off-peak kWh Transmission</v>
          </cell>
          <cell r="E115" t="str">
            <v>GSTU</v>
          </cell>
          <cell r="F115">
            <v>0</v>
          </cell>
        </row>
        <row r="116">
          <cell r="A116" t="str">
            <v>GST0014</v>
          </cell>
          <cell r="B116" t="str">
            <v>Winter On-peak kWh Transmission</v>
          </cell>
          <cell r="E116" t="str">
            <v>GSTU</v>
          </cell>
          <cell r="F116">
            <v>0</v>
          </cell>
        </row>
        <row r="117">
          <cell r="A117" t="str">
            <v>GST0015</v>
          </cell>
          <cell r="B117" t="str">
            <v>Winter Off-peak kWh Transmission</v>
          </cell>
          <cell r="E117" t="str">
            <v>GSTU</v>
          </cell>
          <cell r="F117">
            <v>0</v>
          </cell>
        </row>
        <row r="118">
          <cell r="A118" t="str">
            <v>GST0016</v>
          </cell>
          <cell r="B118" t="str">
            <v>System Access</v>
          </cell>
          <cell r="E118" t="str">
            <v>GSTU</v>
          </cell>
          <cell r="F118">
            <v>20</v>
          </cell>
        </row>
        <row r="119">
          <cell r="A119" t="str">
            <v>GST0017</v>
          </cell>
          <cell r="B119" t="str">
            <v>Distribution Peak kW</v>
          </cell>
          <cell r="E119" t="str">
            <v>GSTU</v>
          </cell>
          <cell r="F119">
            <v>0</v>
          </cell>
        </row>
        <row r="120">
          <cell r="A120" t="str">
            <v>GST0018</v>
          </cell>
          <cell r="B120" t="str">
            <v>Distribution kWh</v>
          </cell>
          <cell r="E120" t="str">
            <v>GSTU</v>
          </cell>
          <cell r="F120">
            <v>4.2472000000000003E-2</v>
          </cell>
        </row>
        <row r="121">
          <cell r="A121" t="str">
            <v>GST0019</v>
          </cell>
          <cell r="B121" t="str">
            <v>Education GEI</v>
          </cell>
          <cell r="E121" t="str">
            <v>GSTU</v>
          </cell>
          <cell r="F121">
            <v>-7.4799999999999997E-4</v>
          </cell>
        </row>
        <row r="122">
          <cell r="A122" t="str">
            <v>GST0020</v>
          </cell>
          <cell r="B122" t="str">
            <v>Interruptible Credit</v>
          </cell>
          <cell r="E122" t="str">
            <v>GSTU</v>
          </cell>
          <cell r="F122">
            <v>0</v>
          </cell>
        </row>
        <row r="124">
          <cell r="A124" t="str">
            <v>GSD0001</v>
          </cell>
          <cell r="B124" t="str">
            <v>Summer Peak kW Non-capacity</v>
          </cell>
          <cell r="E124" t="str">
            <v>GSD</v>
          </cell>
          <cell r="F124">
            <v>8.1</v>
          </cell>
        </row>
        <row r="125">
          <cell r="A125" t="str">
            <v>GSD0002</v>
          </cell>
          <cell r="B125" t="str">
            <v>Summer All kWh Non-capacity</v>
          </cell>
          <cell r="E125" t="str">
            <v>GSD</v>
          </cell>
          <cell r="F125">
            <v>4.3298000000000003E-2</v>
          </cell>
        </row>
        <row r="126">
          <cell r="A126" t="str">
            <v>GSD0003</v>
          </cell>
          <cell r="B126" t="str">
            <v>Summer Peak kW Capacity</v>
          </cell>
          <cell r="E126" t="str">
            <v>GSD</v>
          </cell>
          <cell r="F126">
            <v>13.04</v>
          </cell>
        </row>
        <row r="127">
          <cell r="A127" t="str">
            <v>GSD0004</v>
          </cell>
          <cell r="B127" t="str">
            <v>Summer All kWh Capacity</v>
          </cell>
          <cell r="E127" t="str">
            <v>GSD</v>
          </cell>
          <cell r="F127">
            <v>0</v>
          </cell>
        </row>
        <row r="128">
          <cell r="A128" t="str">
            <v>GSD0005</v>
          </cell>
          <cell r="B128" t="str">
            <v>Winter Peak kW Non-capacity</v>
          </cell>
          <cell r="E128" t="str">
            <v>GSD</v>
          </cell>
          <cell r="F128">
            <v>6.1</v>
          </cell>
        </row>
        <row r="129">
          <cell r="A129" t="str">
            <v>GSD0006</v>
          </cell>
          <cell r="B129" t="str">
            <v>Winter All kWh Non-capacity</v>
          </cell>
          <cell r="E129" t="str">
            <v>GSD</v>
          </cell>
          <cell r="F129">
            <v>4.0994000000000003E-2</v>
          </cell>
        </row>
        <row r="130">
          <cell r="A130" t="str">
            <v>GSD0007</v>
          </cell>
          <cell r="B130" t="str">
            <v>Winter Peak kW Capacity</v>
          </cell>
          <cell r="E130" t="str">
            <v>GSD</v>
          </cell>
          <cell r="F130">
            <v>11.04</v>
          </cell>
        </row>
        <row r="131">
          <cell r="A131" t="str">
            <v>GSD0008</v>
          </cell>
          <cell r="B131" t="str">
            <v>Winter All kWh Capacity</v>
          </cell>
          <cell r="E131" t="str">
            <v>GSD</v>
          </cell>
          <cell r="F131">
            <v>0</v>
          </cell>
        </row>
        <row r="132">
          <cell r="A132" t="str">
            <v>GSD0009</v>
          </cell>
          <cell r="B132" t="str">
            <v>Interruptible Credit</v>
          </cell>
          <cell r="E132" t="str">
            <v>GSD</v>
          </cell>
          <cell r="F132">
            <v>0</v>
          </cell>
        </row>
        <row r="133">
          <cell r="A133" t="str">
            <v>GSD0010</v>
          </cell>
          <cell r="B133" t="str">
            <v>Summer Peak kW Transmission</v>
          </cell>
          <cell r="E133" t="str">
            <v>GSD</v>
          </cell>
          <cell r="F133">
            <v>0</v>
          </cell>
        </row>
        <row r="134">
          <cell r="A134" t="str">
            <v>GSD0011</v>
          </cell>
          <cell r="B134" t="str">
            <v>Winter Peak kW Transmission</v>
          </cell>
          <cell r="E134" t="str">
            <v>GSD</v>
          </cell>
          <cell r="F134">
            <v>0</v>
          </cell>
        </row>
        <row r="135">
          <cell r="A135" t="str">
            <v>GSD0012</v>
          </cell>
          <cell r="B135" t="str">
            <v>System Access</v>
          </cell>
          <cell r="E135" t="str">
            <v>GSD</v>
          </cell>
          <cell r="F135">
            <v>30</v>
          </cell>
        </row>
        <row r="136">
          <cell r="A136" t="str">
            <v>GSD0013</v>
          </cell>
          <cell r="B136" t="str">
            <v>Distribution Peak kW</v>
          </cell>
          <cell r="E136" t="str">
            <v>GSD</v>
          </cell>
          <cell r="F136">
            <v>1.1499999999999999</v>
          </cell>
        </row>
        <row r="137">
          <cell r="A137" t="str">
            <v>GSD0014</v>
          </cell>
          <cell r="B137" t="str">
            <v>Distribution kWh</v>
          </cell>
          <cell r="E137" t="str">
            <v>GSD</v>
          </cell>
          <cell r="F137">
            <v>2.9721999999999998E-2</v>
          </cell>
        </row>
        <row r="138">
          <cell r="A138" t="str">
            <v>GSD0015</v>
          </cell>
          <cell r="B138" t="str">
            <v>Education GEI</v>
          </cell>
          <cell r="E138" t="str">
            <v>GSD</v>
          </cell>
          <cell r="F138">
            <v>-6.1600000000000001E-4</v>
          </cell>
        </row>
        <row r="140">
          <cell r="A140" t="str">
            <v>GP0001</v>
          </cell>
          <cell r="B140" t="str">
            <v>Summer Non-capacity</v>
          </cell>
          <cell r="E140" t="str">
            <v>GP VL 1</v>
          </cell>
          <cell r="F140">
            <v>4.8786999999999997E-2</v>
          </cell>
        </row>
        <row r="141">
          <cell r="A141" t="str">
            <v>GP0002</v>
          </cell>
          <cell r="B141" t="str">
            <v>Summer Capacity</v>
          </cell>
          <cell r="E141" t="str">
            <v>GP VL 1</v>
          </cell>
          <cell r="F141">
            <v>3.7321E-2</v>
          </cell>
        </row>
        <row r="142">
          <cell r="A142" t="str">
            <v>GP0003</v>
          </cell>
          <cell r="B142" t="str">
            <v>Winter Non-capacity</v>
          </cell>
          <cell r="E142" t="str">
            <v>GP VL 1</v>
          </cell>
          <cell r="F142">
            <v>4.8293000000000003E-2</v>
          </cell>
        </row>
        <row r="143">
          <cell r="A143" t="str">
            <v>GP0004</v>
          </cell>
          <cell r="B143" t="str">
            <v>Winter Capacity</v>
          </cell>
          <cell r="E143" t="str">
            <v>GP VL 1</v>
          </cell>
          <cell r="F143">
            <v>3.6942999999999997E-2</v>
          </cell>
        </row>
        <row r="144">
          <cell r="A144" t="str">
            <v>GP0005</v>
          </cell>
          <cell r="B144" t="str">
            <v>Summer All kWh Transmission</v>
          </cell>
          <cell r="E144" t="str">
            <v>GP VL 1</v>
          </cell>
          <cell r="F144">
            <v>0</v>
          </cell>
        </row>
        <row r="145">
          <cell r="A145" t="str">
            <v>GP0006</v>
          </cell>
          <cell r="B145" t="str">
            <v>Winter All kWh Transmission</v>
          </cell>
          <cell r="E145" t="str">
            <v>GP VL 1</v>
          </cell>
          <cell r="F145">
            <v>0</v>
          </cell>
        </row>
        <row r="146">
          <cell r="A146" t="str">
            <v>GP0007</v>
          </cell>
          <cell r="B146" t="str">
            <v>System Access</v>
          </cell>
          <cell r="E146" t="str">
            <v>GP VL 1</v>
          </cell>
          <cell r="F146">
            <v>100</v>
          </cell>
        </row>
        <row r="147">
          <cell r="A147" t="str">
            <v>GP0008</v>
          </cell>
          <cell r="B147" t="str">
            <v>Distribution kWh</v>
          </cell>
          <cell r="E147" t="str">
            <v>GP VL 1</v>
          </cell>
          <cell r="F147">
            <v>5.7330000000000002E-3</v>
          </cell>
        </row>
        <row r="148">
          <cell r="A148" t="str">
            <v>GP0009</v>
          </cell>
          <cell r="B148" t="str">
            <v>Substation Ownership Credit</v>
          </cell>
          <cell r="E148" t="str">
            <v>GP VL 1</v>
          </cell>
          <cell r="F148">
            <v>-2.8699999999999998E-4</v>
          </cell>
        </row>
        <row r="149">
          <cell r="A149" t="str">
            <v>GP0010</v>
          </cell>
          <cell r="B149" t="str">
            <v>Education GEI</v>
          </cell>
          <cell r="E149" t="str">
            <v>GP VL 1</v>
          </cell>
          <cell r="F149">
            <v>-5.71E-4</v>
          </cell>
        </row>
        <row r="151">
          <cell r="A151" t="str">
            <v>GP0011</v>
          </cell>
          <cell r="B151" t="str">
            <v>Summer Non-capacity</v>
          </cell>
          <cell r="E151" t="str">
            <v>GP VL 2</v>
          </cell>
          <cell r="F151">
            <v>5.3956999999999998E-2</v>
          </cell>
        </row>
        <row r="152">
          <cell r="A152" t="str">
            <v>GP0012</v>
          </cell>
          <cell r="B152" t="str">
            <v>Summer Capacity</v>
          </cell>
          <cell r="E152" t="str">
            <v>GP VL 2</v>
          </cell>
          <cell r="F152">
            <v>4.2491000000000001E-2</v>
          </cell>
        </row>
        <row r="153">
          <cell r="A153" t="str">
            <v>GP0013</v>
          </cell>
          <cell r="B153" t="str">
            <v>Winter Non-capacity</v>
          </cell>
          <cell r="E153" t="str">
            <v>GP VL 2</v>
          </cell>
          <cell r="F153">
            <v>5.3462999999999997E-2</v>
          </cell>
        </row>
        <row r="154">
          <cell r="A154" t="str">
            <v>GP0014</v>
          </cell>
          <cell r="B154" t="str">
            <v>Winter Capacity</v>
          </cell>
          <cell r="E154" t="str">
            <v>GP VL 2</v>
          </cell>
          <cell r="F154">
            <v>4.2112999999999998E-2</v>
          </cell>
        </row>
        <row r="155">
          <cell r="A155" t="str">
            <v>GP0015</v>
          </cell>
          <cell r="B155" t="str">
            <v>Summer All kWh Transmission</v>
          </cell>
          <cell r="E155" t="str">
            <v>GP VL 2</v>
          </cell>
          <cell r="F155">
            <v>0</v>
          </cell>
        </row>
        <row r="156">
          <cell r="A156" t="str">
            <v>GP0016</v>
          </cell>
          <cell r="B156" t="str">
            <v>Winter All kWh Transmission</v>
          </cell>
          <cell r="E156" t="str">
            <v>GP VL 2</v>
          </cell>
          <cell r="F156">
            <v>0</v>
          </cell>
        </row>
        <row r="157">
          <cell r="A157" t="str">
            <v>GP0017</v>
          </cell>
          <cell r="B157" t="str">
            <v>System Access</v>
          </cell>
          <cell r="E157" t="str">
            <v>GP VL 2</v>
          </cell>
          <cell r="F157">
            <v>100</v>
          </cell>
        </row>
        <row r="158">
          <cell r="A158" t="str">
            <v>GP0018</v>
          </cell>
          <cell r="B158" t="str">
            <v>Distribution kWh</v>
          </cell>
          <cell r="E158" t="str">
            <v>GP VL 2</v>
          </cell>
          <cell r="F158">
            <v>7.7229999999999998E-3</v>
          </cell>
        </row>
        <row r="159">
          <cell r="A159" t="str">
            <v>GP0019</v>
          </cell>
          <cell r="B159" t="str">
            <v>Substation Ownership Credit</v>
          </cell>
          <cell r="E159" t="str">
            <v>GP VL 2</v>
          </cell>
          <cell r="F159">
            <v>-2.8699999999999998E-4</v>
          </cell>
        </row>
        <row r="160">
          <cell r="A160" t="str">
            <v>GP0020</v>
          </cell>
          <cell r="B160" t="str">
            <v>Education GEI</v>
          </cell>
          <cell r="E160" t="str">
            <v>GP VL 2</v>
          </cell>
          <cell r="F160">
            <v>-5.71E-4</v>
          </cell>
        </row>
        <row r="162">
          <cell r="A162" t="str">
            <v>GP0021</v>
          </cell>
          <cell r="B162" t="str">
            <v>Summer Non-capacity</v>
          </cell>
          <cell r="E162" t="str">
            <v>GP VL 3</v>
          </cell>
          <cell r="F162">
            <v>5.8897999999999999E-2</v>
          </cell>
        </row>
        <row r="163">
          <cell r="A163" t="str">
            <v>GP0022</v>
          </cell>
          <cell r="B163" t="str">
            <v>Summer Capacity</v>
          </cell>
          <cell r="E163" t="str">
            <v>GP VL 3</v>
          </cell>
          <cell r="F163">
            <v>4.7432000000000002E-2</v>
          </cell>
        </row>
        <row r="164">
          <cell r="A164" t="str">
            <v>GP0023</v>
          </cell>
          <cell r="B164" t="str">
            <v>Winter Non-capacity</v>
          </cell>
          <cell r="E164" t="str">
            <v>GP VL 3</v>
          </cell>
          <cell r="F164">
            <v>5.8403999999999998E-2</v>
          </cell>
        </row>
        <row r="165">
          <cell r="A165" t="str">
            <v>GP0024</v>
          </cell>
          <cell r="B165" t="str">
            <v>Winter Capacity</v>
          </cell>
          <cell r="E165" t="str">
            <v>GP VL 3</v>
          </cell>
          <cell r="F165">
            <v>4.7053999999999999E-2</v>
          </cell>
        </row>
        <row r="166">
          <cell r="A166" t="str">
            <v>GP0025</v>
          </cell>
          <cell r="B166" t="str">
            <v>Summer All kWh Transmission</v>
          </cell>
          <cell r="E166" t="str">
            <v>GP VL 3</v>
          </cell>
          <cell r="F166">
            <v>0</v>
          </cell>
        </row>
        <row r="167">
          <cell r="A167" t="str">
            <v>GP0026</v>
          </cell>
          <cell r="B167" t="str">
            <v>Winter All kWh Transmission</v>
          </cell>
          <cell r="E167" t="str">
            <v>GP VL 3</v>
          </cell>
          <cell r="F167">
            <v>0</v>
          </cell>
        </row>
        <row r="168">
          <cell r="A168" t="str">
            <v>GP0027</v>
          </cell>
          <cell r="B168" t="str">
            <v>System Access</v>
          </cell>
          <cell r="E168" t="str">
            <v>GP VL 3</v>
          </cell>
          <cell r="F168">
            <v>100</v>
          </cell>
        </row>
        <row r="169">
          <cell r="A169" t="str">
            <v>GP0028</v>
          </cell>
          <cell r="B169" t="str">
            <v>Distribution kWh</v>
          </cell>
          <cell r="E169" t="str">
            <v>GP VL 3</v>
          </cell>
          <cell r="F169">
            <v>1.3386E-2</v>
          </cell>
        </row>
        <row r="170">
          <cell r="A170" t="str">
            <v>GP0029</v>
          </cell>
          <cell r="B170" t="str">
            <v>Education GEI</v>
          </cell>
          <cell r="E170" t="str">
            <v>GP VL 3</v>
          </cell>
          <cell r="F170">
            <v>-5.71E-4</v>
          </cell>
        </row>
        <row r="172">
          <cell r="A172" t="str">
            <v>GPD0001</v>
          </cell>
          <cell r="B172" t="str">
            <v>Summer On-peak kW Non-capacity</v>
          </cell>
          <cell r="E172" t="str">
            <v>GPD VL 1</v>
          </cell>
          <cell r="F172">
            <v>9.34</v>
          </cell>
        </row>
        <row r="173">
          <cell r="A173" t="str">
            <v>GPD0002</v>
          </cell>
          <cell r="B173" t="str">
            <v>Summer On-peak kWh Non-capacity</v>
          </cell>
          <cell r="E173" t="str">
            <v>GPD VL 1</v>
          </cell>
          <cell r="F173">
            <v>2.6509999999999999E-2</v>
          </cell>
        </row>
        <row r="174">
          <cell r="A174" t="str">
            <v>GPD0003</v>
          </cell>
          <cell r="B174" t="str">
            <v>Summer Off-peak kWh Non-capacity</v>
          </cell>
          <cell r="E174" t="str">
            <v>GPD VL 1</v>
          </cell>
          <cell r="F174">
            <v>1.7181999999999999E-2</v>
          </cell>
        </row>
        <row r="175">
          <cell r="A175" t="str">
            <v>GPD0004</v>
          </cell>
          <cell r="B175" t="str">
            <v>Summer On-peak kW Capacity</v>
          </cell>
          <cell r="E175" t="str">
            <v>GPD VL 1</v>
          </cell>
          <cell r="F175">
            <v>13.82</v>
          </cell>
        </row>
        <row r="176">
          <cell r="A176" t="str">
            <v>GPD0005</v>
          </cell>
          <cell r="B176" t="str">
            <v>Winter On-peak kW Non-capacity</v>
          </cell>
          <cell r="E176" t="str">
            <v>GPD VL 1</v>
          </cell>
          <cell r="F176">
            <v>8.34</v>
          </cell>
        </row>
        <row r="177">
          <cell r="A177" t="str">
            <v>GPD0006</v>
          </cell>
          <cell r="B177" t="str">
            <v>Winter On-peak kWh Non-capacity</v>
          </cell>
          <cell r="E177" t="str">
            <v>GPD VL 1</v>
          </cell>
          <cell r="F177">
            <v>2.1641000000000001E-2</v>
          </cell>
        </row>
        <row r="178">
          <cell r="A178" t="str">
            <v>GPD0007</v>
          </cell>
          <cell r="B178" t="str">
            <v>Winter Off-peak kWh Non-capacity</v>
          </cell>
          <cell r="E178" t="str">
            <v>GPD VL 1</v>
          </cell>
          <cell r="F178">
            <v>1.8953000000000001E-2</v>
          </cell>
        </row>
        <row r="179">
          <cell r="A179" t="str">
            <v>GPD0008</v>
          </cell>
          <cell r="B179" t="str">
            <v>Winter On-peak kW Capacity</v>
          </cell>
          <cell r="E179" t="str">
            <v>GPD VL 1</v>
          </cell>
          <cell r="F179">
            <v>12.82</v>
          </cell>
        </row>
        <row r="180">
          <cell r="A180" t="str">
            <v>GPD0009</v>
          </cell>
          <cell r="B180" t="str">
            <v>Summer Interruptible GI</v>
          </cell>
          <cell r="E180" t="str">
            <v>GPD VL 1</v>
          </cell>
          <cell r="F180">
            <v>-7</v>
          </cell>
        </row>
        <row r="181">
          <cell r="A181" t="str">
            <v>GPD0010</v>
          </cell>
          <cell r="B181" t="str">
            <v>Winter Interruptible GI</v>
          </cell>
          <cell r="E181" t="str">
            <v>GPD VL 1</v>
          </cell>
          <cell r="F181">
            <v>-6</v>
          </cell>
        </row>
        <row r="182">
          <cell r="A182" t="str">
            <v>GPD0011</v>
          </cell>
          <cell r="B182" t="str">
            <v>Summer Interruptible GI-2</v>
          </cell>
          <cell r="E182" t="str">
            <v>GPD VL 1</v>
          </cell>
          <cell r="F182">
            <v>2.8889999999999999E-2</v>
          </cell>
        </row>
        <row r="183">
          <cell r="A183" t="str">
            <v>GPD0012</v>
          </cell>
          <cell r="B183" t="str">
            <v>Winter Interruptible GI-2</v>
          </cell>
          <cell r="E183" t="str">
            <v>GPD VL 1</v>
          </cell>
          <cell r="F183">
            <v>2.5558999999999998E-2</v>
          </cell>
        </row>
        <row r="184">
          <cell r="A184" t="str">
            <v>GPD0013</v>
          </cell>
          <cell r="B184" t="str">
            <v>Summer On-peak kW Transmission</v>
          </cell>
          <cell r="E184" t="str">
            <v>GPD VL 1</v>
          </cell>
          <cell r="F184">
            <v>6.58</v>
          </cell>
        </row>
        <row r="185">
          <cell r="A185" t="str">
            <v>GPD0014</v>
          </cell>
          <cell r="B185" t="str">
            <v>Winter On-peak kW Transmission</v>
          </cell>
          <cell r="E185" t="str">
            <v>GPD VL 1</v>
          </cell>
          <cell r="F185">
            <v>6.58</v>
          </cell>
        </row>
        <row r="186">
          <cell r="A186" t="str">
            <v>GPD0015</v>
          </cell>
          <cell r="B186" t="str">
            <v>System Access</v>
          </cell>
          <cell r="E186" t="str">
            <v>GPD VL 1</v>
          </cell>
          <cell r="F186">
            <v>200</v>
          </cell>
        </row>
        <row r="187">
          <cell r="A187" t="str">
            <v>GPD0016</v>
          </cell>
          <cell r="B187" t="str">
            <v>Maximum kW</v>
          </cell>
          <cell r="E187" t="str">
            <v>GPD VL 1</v>
          </cell>
          <cell r="F187">
            <v>0.91</v>
          </cell>
        </row>
        <row r="188">
          <cell r="A188" t="str">
            <v>GPD0017</v>
          </cell>
          <cell r="B188" t="str">
            <v>Substation Ownership</v>
          </cell>
          <cell r="E188" t="str">
            <v>GPD VL 1</v>
          </cell>
          <cell r="F188">
            <v>-0.45</v>
          </cell>
        </row>
        <row r="189">
          <cell r="A189" t="str">
            <v>GPD0018</v>
          </cell>
          <cell r="B189" t="str">
            <v>Joint Substation Ownership</v>
          </cell>
          <cell r="E189" t="str">
            <v>GPD VL 1</v>
          </cell>
          <cell r="F189">
            <v>-0.31</v>
          </cell>
        </row>
        <row r="190">
          <cell r="A190" t="str">
            <v>GPD0019</v>
          </cell>
          <cell r="B190" t="str">
            <v>Distribution kWh</v>
          </cell>
          <cell r="E190" t="str">
            <v>GPD VL 1</v>
          </cell>
          <cell r="F190">
            <v>0</v>
          </cell>
        </row>
        <row r="191">
          <cell r="A191" t="str">
            <v>GPD0020</v>
          </cell>
          <cell r="B191" t="str">
            <v>Education GEI</v>
          </cell>
          <cell r="E191" t="str">
            <v>GPD VL 1</v>
          </cell>
          <cell r="F191">
            <v>-3.1399999999999999E-4</v>
          </cell>
        </row>
        <row r="193">
          <cell r="A193" t="str">
            <v>GPD0021</v>
          </cell>
          <cell r="B193" t="str">
            <v>Summer On-peak kW Non-capacity</v>
          </cell>
          <cell r="E193" t="str">
            <v>GPD VL 2</v>
          </cell>
          <cell r="F193">
            <v>9.84</v>
          </cell>
        </row>
        <row r="194">
          <cell r="A194" t="str">
            <v>GPD0022</v>
          </cell>
          <cell r="B194" t="str">
            <v>Summer On-peak kWh Non-capacity</v>
          </cell>
          <cell r="E194" t="str">
            <v>GPD VL 2</v>
          </cell>
          <cell r="F194">
            <v>3.4238999999999999E-2</v>
          </cell>
        </row>
        <row r="195">
          <cell r="A195" t="str">
            <v>GPD0023</v>
          </cell>
          <cell r="B195" t="str">
            <v>Summer Off-peak kWh Non-capacity</v>
          </cell>
          <cell r="E195" t="str">
            <v>GPD VL 2</v>
          </cell>
          <cell r="F195">
            <v>2.2190999999999999E-2</v>
          </cell>
        </row>
        <row r="196">
          <cell r="A196" t="str">
            <v>GPD0024</v>
          </cell>
          <cell r="B196" t="str">
            <v>Summer On-peak kW Capacity</v>
          </cell>
          <cell r="E196" t="str">
            <v>GPD VL 2</v>
          </cell>
          <cell r="F196">
            <v>14.32</v>
          </cell>
        </row>
        <row r="197">
          <cell r="A197" t="str">
            <v>GPD0025</v>
          </cell>
          <cell r="B197" t="str">
            <v>Winter On-peak kW Non-capacity</v>
          </cell>
          <cell r="E197" t="str">
            <v>GPD VL 2</v>
          </cell>
          <cell r="F197">
            <v>8.84</v>
          </cell>
        </row>
        <row r="198">
          <cell r="A198" t="str">
            <v>GPD0026</v>
          </cell>
          <cell r="B198" t="str">
            <v>Winter On-peak kWh Non-capacity</v>
          </cell>
          <cell r="E198" t="str">
            <v>GPD VL 2</v>
          </cell>
          <cell r="F198">
            <v>2.7949999999999999E-2</v>
          </cell>
        </row>
        <row r="199">
          <cell r="A199" t="str">
            <v>GPD0027</v>
          </cell>
          <cell r="B199" t="str">
            <v>Winter Off-peak kWh Non-capacity</v>
          </cell>
          <cell r="E199" t="str">
            <v>GPD VL 2</v>
          </cell>
          <cell r="F199">
            <v>2.4479000000000001E-2</v>
          </cell>
        </row>
        <row r="200">
          <cell r="A200" t="str">
            <v>GPD0028</v>
          </cell>
          <cell r="B200" t="str">
            <v>Winter On-peak kW Capacity</v>
          </cell>
          <cell r="E200" t="str">
            <v>GPD VL 2</v>
          </cell>
          <cell r="F200">
            <v>13.32</v>
          </cell>
        </row>
        <row r="201">
          <cell r="A201" t="str">
            <v>GPD0029</v>
          </cell>
          <cell r="B201" t="str">
            <v>Summer Interruptible GI</v>
          </cell>
          <cell r="E201" t="str">
            <v>GPD VL 2</v>
          </cell>
          <cell r="F201">
            <v>-7</v>
          </cell>
        </row>
        <row r="202">
          <cell r="A202" t="str">
            <v>GPD0030</v>
          </cell>
          <cell r="B202" t="str">
            <v>Winter Interruptible GI</v>
          </cell>
          <cell r="E202" t="str">
            <v>GPD VL 2</v>
          </cell>
          <cell r="F202">
            <v>-6</v>
          </cell>
        </row>
        <row r="203">
          <cell r="A203" t="str">
            <v>GPD0031</v>
          </cell>
          <cell r="B203" t="str">
            <v>Summer Interruptible GI-2</v>
          </cell>
          <cell r="E203" t="str">
            <v>GPD VL 2</v>
          </cell>
          <cell r="F203">
            <v>3.9453000000000002E-2</v>
          </cell>
        </row>
        <row r="204">
          <cell r="A204" t="str">
            <v>GPD0032</v>
          </cell>
          <cell r="B204" t="str">
            <v>Winter Interruptible GI-2</v>
          </cell>
          <cell r="E204" t="str">
            <v>GPD VL 2</v>
          </cell>
          <cell r="F204">
            <v>3.6122000000000001E-2</v>
          </cell>
        </row>
        <row r="205">
          <cell r="A205" t="str">
            <v>GPD0033</v>
          </cell>
          <cell r="B205" t="str">
            <v>Summer On-peak kW Transmission</v>
          </cell>
          <cell r="E205" t="str">
            <v>GPD VL 2</v>
          </cell>
          <cell r="F205">
            <v>6.71</v>
          </cell>
        </row>
        <row r="206">
          <cell r="A206" t="str">
            <v>GPD0034</v>
          </cell>
          <cell r="B206" t="str">
            <v>Winter On-peak kW Transmission</v>
          </cell>
          <cell r="E206" t="str">
            <v>GPD VL 2</v>
          </cell>
          <cell r="F206">
            <v>6.71</v>
          </cell>
        </row>
        <row r="207">
          <cell r="A207" t="str">
            <v>GPD0035</v>
          </cell>
          <cell r="B207" t="str">
            <v>System Access</v>
          </cell>
          <cell r="E207" t="str">
            <v>GPD VL 2</v>
          </cell>
          <cell r="F207">
            <v>200</v>
          </cell>
        </row>
        <row r="208">
          <cell r="A208" t="str">
            <v>GPD0036</v>
          </cell>
          <cell r="B208" t="str">
            <v>Maximum kW</v>
          </cell>
          <cell r="E208" t="str">
            <v>GPD VL 2</v>
          </cell>
          <cell r="F208">
            <v>1.86</v>
          </cell>
        </row>
        <row r="209">
          <cell r="A209" t="str">
            <v>GPD0037</v>
          </cell>
          <cell r="B209" t="str">
            <v>Substation Ownership</v>
          </cell>
          <cell r="E209" t="str">
            <v>GPD VL 2</v>
          </cell>
          <cell r="F209">
            <v>-0.97</v>
          </cell>
        </row>
        <row r="210">
          <cell r="A210" t="str">
            <v>GPD0038</v>
          </cell>
          <cell r="B210" t="str">
            <v>Distribution kWh</v>
          </cell>
          <cell r="E210" t="str">
            <v>GPD VL 2</v>
          </cell>
          <cell r="F210">
            <v>0</v>
          </cell>
        </row>
        <row r="211">
          <cell r="A211" t="str">
            <v>GPD0039</v>
          </cell>
          <cell r="B211" t="str">
            <v>Education GEI</v>
          </cell>
          <cell r="E211" t="str">
            <v>GPD VL 2</v>
          </cell>
          <cell r="F211">
            <v>-3.1399999999999999E-4</v>
          </cell>
        </row>
        <row r="213">
          <cell r="A213" t="str">
            <v>GPD0040</v>
          </cell>
          <cell r="B213" t="str">
            <v>Summer On-peak kW Non-capacity</v>
          </cell>
          <cell r="E213" t="str">
            <v>GPD VL 3</v>
          </cell>
          <cell r="F213">
            <v>10.34</v>
          </cell>
        </row>
        <row r="214">
          <cell r="A214" t="str">
            <v>GPD0041</v>
          </cell>
          <cell r="B214" t="str">
            <v>Summer On-peak kWh Non-capacity</v>
          </cell>
          <cell r="E214" t="str">
            <v>GPD VL 3</v>
          </cell>
          <cell r="F214">
            <v>4.2155999999999999E-2</v>
          </cell>
        </row>
        <row r="215">
          <cell r="A215" t="str">
            <v>GPD0042</v>
          </cell>
          <cell r="B215" t="str">
            <v>Summer Off-peak kWh Non-capacity</v>
          </cell>
          <cell r="E215" t="str">
            <v>GPD VL 3</v>
          </cell>
          <cell r="F215">
            <v>2.7321999999999999E-2</v>
          </cell>
        </row>
        <row r="216">
          <cell r="A216" t="str">
            <v>GPD0043</v>
          </cell>
          <cell r="B216" t="str">
            <v>Summer On-peak kW Capacity</v>
          </cell>
          <cell r="E216" t="str">
            <v>GPD VL 3</v>
          </cell>
          <cell r="F216">
            <v>14.82</v>
          </cell>
        </row>
        <row r="217">
          <cell r="A217" t="str">
            <v>GPD0044</v>
          </cell>
          <cell r="B217" t="str">
            <v>Winter On-peak kW Non-capacity</v>
          </cell>
          <cell r="E217" t="str">
            <v>GPD VL 3</v>
          </cell>
          <cell r="F217">
            <v>9.34</v>
          </cell>
        </row>
        <row r="218">
          <cell r="A218" t="str">
            <v>GPD0045</v>
          </cell>
          <cell r="B218" t="str">
            <v>Winter On-peak kWh Non-capacity</v>
          </cell>
          <cell r="E218" t="str">
            <v>GPD VL 3</v>
          </cell>
          <cell r="F218">
            <v>3.4412999999999999E-2</v>
          </cell>
        </row>
        <row r="219">
          <cell r="A219" t="str">
            <v>GPD0046</v>
          </cell>
          <cell r="B219" t="str">
            <v>Winter Off-peak kWh Non-capacity</v>
          </cell>
          <cell r="E219" t="str">
            <v>GPD VL 3</v>
          </cell>
          <cell r="F219">
            <v>3.0138999999999999E-2</v>
          </cell>
        </row>
        <row r="220">
          <cell r="A220" t="str">
            <v>GPD0047</v>
          </cell>
          <cell r="B220" t="str">
            <v>Winter On-peak kW Capacity</v>
          </cell>
          <cell r="E220" t="str">
            <v>GPD VL 3</v>
          </cell>
          <cell r="F220">
            <v>13.82</v>
          </cell>
        </row>
        <row r="221">
          <cell r="A221" t="str">
            <v>GPD0048</v>
          </cell>
          <cell r="B221" t="str">
            <v>Summer Interruptible GI</v>
          </cell>
          <cell r="E221" t="str">
            <v>GPD VL 3</v>
          </cell>
          <cell r="F221">
            <v>-7</v>
          </cell>
        </row>
        <row r="222">
          <cell r="A222" t="str">
            <v>GPD0049</v>
          </cell>
          <cell r="B222" t="str">
            <v>Winter Interruptible GI</v>
          </cell>
          <cell r="E222" t="str">
            <v>GPD VL 3</v>
          </cell>
          <cell r="F222">
            <v>-6</v>
          </cell>
        </row>
        <row r="223">
          <cell r="A223" t="str">
            <v>GPD0050</v>
          </cell>
          <cell r="B223" t="str">
            <v>Summer Interruptible GI-2</v>
          </cell>
          <cell r="E223" t="str">
            <v>GPD VL 3</v>
          </cell>
          <cell r="F223">
            <v>4.9806999999999997E-2</v>
          </cell>
        </row>
        <row r="224">
          <cell r="A224" t="str">
            <v>GPD0051</v>
          </cell>
          <cell r="B224" t="str">
            <v>Winter Interruptible GI-2</v>
          </cell>
          <cell r="E224" t="str">
            <v>GPD VL 3</v>
          </cell>
          <cell r="F224">
            <v>4.6476000000000003E-2</v>
          </cell>
        </row>
        <row r="225">
          <cell r="A225" t="str">
            <v>GPD0052</v>
          </cell>
          <cell r="B225" t="str">
            <v>Summer On-peak kW Transmission</v>
          </cell>
          <cell r="E225" t="str">
            <v>GPD VL 3</v>
          </cell>
          <cell r="F225">
            <v>6.98</v>
          </cell>
        </row>
        <row r="226">
          <cell r="A226" t="str">
            <v>GPD0053</v>
          </cell>
          <cell r="B226" t="str">
            <v>Winter On-peak kW Transmission</v>
          </cell>
          <cell r="E226" t="str">
            <v>GPD VL 3</v>
          </cell>
          <cell r="F226">
            <v>6.98</v>
          </cell>
        </row>
        <row r="227">
          <cell r="A227" t="str">
            <v>GPD0054</v>
          </cell>
          <cell r="B227" t="str">
            <v>System Access</v>
          </cell>
          <cell r="E227" t="str">
            <v>GPD VL 3</v>
          </cell>
          <cell r="F227">
            <v>200</v>
          </cell>
        </row>
        <row r="228">
          <cell r="A228" t="str">
            <v>GPD0055</v>
          </cell>
          <cell r="B228" t="str">
            <v>Maximum kW</v>
          </cell>
          <cell r="E228" t="str">
            <v>GPD VL 3</v>
          </cell>
          <cell r="F228">
            <v>3.6</v>
          </cell>
        </row>
        <row r="229">
          <cell r="A229" t="str">
            <v>GPD0056</v>
          </cell>
          <cell r="B229" t="str">
            <v>Distribution kWh</v>
          </cell>
          <cell r="E229" t="str">
            <v>GPD VL 3</v>
          </cell>
          <cell r="F229">
            <v>0</v>
          </cell>
        </row>
        <row r="230">
          <cell r="A230" t="str">
            <v>GPD0057</v>
          </cell>
          <cell r="B230" t="str">
            <v>Education GEI</v>
          </cell>
          <cell r="E230" t="str">
            <v>GPD VL 3</v>
          </cell>
          <cell r="F230">
            <v>-3.1399999999999999E-4</v>
          </cell>
        </row>
        <row r="232">
          <cell r="A232" t="str">
            <v>GPT0001</v>
          </cell>
          <cell r="B232" t="str">
            <v>Summer On-peak kWh Non-capacity</v>
          </cell>
          <cell r="E232" t="str">
            <v>GPTU VL 1</v>
          </cell>
          <cell r="F232">
            <v>9.3060000000000004E-2</v>
          </cell>
        </row>
        <row r="233">
          <cell r="A233" t="str">
            <v>GPT0002</v>
          </cell>
          <cell r="B233" t="str">
            <v>Summer Mid-peak kWh Non-capacity</v>
          </cell>
          <cell r="E233" t="str">
            <v>GPTU VL 1</v>
          </cell>
          <cell r="F233">
            <v>8.1694000000000003E-2</v>
          </cell>
        </row>
        <row r="234">
          <cell r="A234" t="str">
            <v>GPT0003</v>
          </cell>
          <cell r="B234" t="str">
            <v>Summer Low-peak kWh Non-capacity</v>
          </cell>
          <cell r="E234" t="str">
            <v>GPTU VL 1</v>
          </cell>
          <cell r="F234">
            <v>6.5923999999999996E-2</v>
          </cell>
        </row>
        <row r="235">
          <cell r="A235" t="str">
            <v>GPT0004</v>
          </cell>
          <cell r="B235" t="str">
            <v>Summer Off-peak kWh Non-capacity</v>
          </cell>
          <cell r="E235" t="str">
            <v>GPTU VL 1</v>
          </cell>
          <cell r="F235">
            <v>4.9286000000000003E-2</v>
          </cell>
        </row>
        <row r="236">
          <cell r="A236" t="str">
            <v>GPT0005</v>
          </cell>
          <cell r="B236" t="str">
            <v>Summer On-peak kWh Capacity</v>
          </cell>
          <cell r="E236" t="str">
            <v>GPTU VL 1</v>
          </cell>
          <cell r="F236">
            <v>2.5831E-2</v>
          </cell>
        </row>
        <row r="237">
          <cell r="A237" t="str">
            <v>GPT0006</v>
          </cell>
          <cell r="B237" t="str">
            <v>Summer Mid-peak kWh Capacity</v>
          </cell>
          <cell r="E237" t="str">
            <v>GPTU VL 1</v>
          </cell>
          <cell r="F237">
            <v>2.2676000000000002E-2</v>
          </cell>
        </row>
        <row r="238">
          <cell r="A238" t="str">
            <v>GPT0007</v>
          </cell>
          <cell r="B238" t="str">
            <v>Summer Low-peak kWh Capacity</v>
          </cell>
          <cell r="E238" t="str">
            <v>GPTU VL 1</v>
          </cell>
          <cell r="F238">
            <v>1.8298999999999999E-2</v>
          </cell>
        </row>
        <row r="239">
          <cell r="A239" t="str">
            <v>GPT0008</v>
          </cell>
          <cell r="B239" t="str">
            <v>Summer Off-peak kWh Capacity</v>
          </cell>
          <cell r="E239" t="str">
            <v>GPTU VL 1</v>
          </cell>
          <cell r="F239">
            <v>1.3681E-2</v>
          </cell>
        </row>
        <row r="240">
          <cell r="A240" t="str">
            <v>GPT0009</v>
          </cell>
          <cell r="B240" t="str">
            <v>Winter On-peak kWh Non-capacity</v>
          </cell>
          <cell r="E240" t="str">
            <v>GPTU VL 1</v>
          </cell>
          <cell r="F240">
            <v>5.8500999999999997E-2</v>
          </cell>
        </row>
        <row r="241">
          <cell r="A241" t="str">
            <v>GPT0010</v>
          </cell>
          <cell r="B241" t="str">
            <v>Winter Mid-peak kWh Non-capacity</v>
          </cell>
          <cell r="E241" t="str">
            <v>GPTU VL 1</v>
          </cell>
          <cell r="F241">
            <v>5.6822999999999999E-2</v>
          </cell>
        </row>
        <row r="242">
          <cell r="A242" t="str">
            <v>GPT0011</v>
          </cell>
          <cell r="B242" t="str">
            <v>Winter Off-peak kWh Non-capacity</v>
          </cell>
          <cell r="E242" t="str">
            <v>GPTU VL 1</v>
          </cell>
          <cell r="F242">
            <v>4.9917999999999997E-2</v>
          </cell>
        </row>
        <row r="243">
          <cell r="A243" t="str">
            <v>GPT0012</v>
          </cell>
          <cell r="B243" t="str">
            <v>Winter On-peak kWh Capacity</v>
          </cell>
          <cell r="E243" t="str">
            <v>GPTU VL 1</v>
          </cell>
          <cell r="F243">
            <v>1.6239E-2</v>
          </cell>
        </row>
        <row r="244">
          <cell r="A244" t="str">
            <v>GPT0013</v>
          </cell>
          <cell r="B244" t="str">
            <v>Winter Mid-peak kWh Capacity</v>
          </cell>
          <cell r="E244" t="str">
            <v>GPTU VL 1</v>
          </cell>
          <cell r="F244">
            <v>1.5772999999999999E-2</v>
          </cell>
        </row>
        <row r="245">
          <cell r="A245" t="str">
            <v>GPT0014</v>
          </cell>
          <cell r="B245" t="str">
            <v>Winter Off-peak kWh Capacity</v>
          </cell>
          <cell r="E245" t="str">
            <v>GPTU VL 1</v>
          </cell>
          <cell r="F245">
            <v>1.3856E-2</v>
          </cell>
        </row>
        <row r="246">
          <cell r="A246" t="str">
            <v>GPT0015</v>
          </cell>
          <cell r="B246" t="str">
            <v>Summer On-peak kWh Transmission</v>
          </cell>
          <cell r="E246" t="str">
            <v>GPTU VL 1</v>
          </cell>
          <cell r="F246">
            <v>0</v>
          </cell>
        </row>
        <row r="247">
          <cell r="A247" t="str">
            <v>GPT0016</v>
          </cell>
          <cell r="B247" t="str">
            <v>Summer Mid-peak kWh Transmission</v>
          </cell>
          <cell r="E247" t="str">
            <v>GPTU VL 1</v>
          </cell>
          <cell r="F247">
            <v>0</v>
          </cell>
        </row>
        <row r="248">
          <cell r="A248" t="str">
            <v>GPT0017</v>
          </cell>
          <cell r="B248" t="str">
            <v>Summer Low-peak kWh Transmission</v>
          </cell>
          <cell r="E248" t="str">
            <v>GPTU VL 1</v>
          </cell>
          <cell r="F248">
            <v>0</v>
          </cell>
        </row>
        <row r="249">
          <cell r="A249" t="str">
            <v>GPT0018</v>
          </cell>
          <cell r="B249" t="str">
            <v>Summer Off-peak kWh Transmission</v>
          </cell>
          <cell r="E249" t="str">
            <v>GPTU VL 1</v>
          </cell>
          <cell r="F249">
            <v>0</v>
          </cell>
        </row>
        <row r="250">
          <cell r="A250" t="str">
            <v>GPT0019</v>
          </cell>
          <cell r="B250" t="str">
            <v>Winter On-peak kWh Transmission</v>
          </cell>
          <cell r="E250" t="str">
            <v>GPTU VL 1</v>
          </cell>
          <cell r="F250">
            <v>0</v>
          </cell>
        </row>
        <row r="251">
          <cell r="A251" t="str">
            <v>GPT0020</v>
          </cell>
          <cell r="B251" t="str">
            <v>Winter Mid-peak kWh Transmission</v>
          </cell>
          <cell r="E251" t="str">
            <v>GPTU VL 1</v>
          </cell>
          <cell r="F251">
            <v>0</v>
          </cell>
        </row>
        <row r="252">
          <cell r="A252" t="str">
            <v>GPT0021</v>
          </cell>
          <cell r="B252" t="str">
            <v>Winter Off-peak kWh Transmission</v>
          </cell>
          <cell r="E252" t="str">
            <v>GPTU VL 1</v>
          </cell>
          <cell r="F252">
            <v>0</v>
          </cell>
        </row>
        <row r="255">
          <cell r="A255" t="str">
            <v>GPT0022</v>
          </cell>
          <cell r="B255" t="str">
            <v>Summer On-peak kWh Non-capacity</v>
          </cell>
          <cell r="E255" t="str">
            <v>GPTU VL 2</v>
          </cell>
          <cell r="F255">
            <v>9.5060000000000006E-2</v>
          </cell>
        </row>
        <row r="256">
          <cell r="A256" t="str">
            <v>GPT0023</v>
          </cell>
          <cell r="B256" t="str">
            <v>Summer Mid-peak kWh Non-capacity</v>
          </cell>
          <cell r="E256" t="str">
            <v>GPTU VL 2</v>
          </cell>
          <cell r="F256">
            <v>8.3694000000000005E-2</v>
          </cell>
        </row>
        <row r="257">
          <cell r="A257" t="str">
            <v>GPT0024</v>
          </cell>
          <cell r="B257" t="str">
            <v>Summer Low-peak kWh Non-capacity</v>
          </cell>
          <cell r="E257" t="str">
            <v>GPTU VL 2</v>
          </cell>
          <cell r="F257">
            <v>6.7923999999999998E-2</v>
          </cell>
        </row>
        <row r="258">
          <cell r="A258" t="str">
            <v>GPT0025</v>
          </cell>
          <cell r="B258" t="str">
            <v>Summer Off-peak kWh Non-capacity</v>
          </cell>
          <cell r="E258" t="str">
            <v>GPTU VL 2</v>
          </cell>
          <cell r="F258">
            <v>5.1285999999999998E-2</v>
          </cell>
        </row>
        <row r="259">
          <cell r="A259" t="str">
            <v>GPT0026</v>
          </cell>
          <cell r="B259" t="str">
            <v>Summer On-peak kWh Capacity</v>
          </cell>
          <cell r="E259" t="str">
            <v>GPTU VL 2</v>
          </cell>
          <cell r="F259">
            <v>2.7831000000000002E-2</v>
          </cell>
        </row>
        <row r="260">
          <cell r="A260" t="str">
            <v>GPT0027</v>
          </cell>
          <cell r="B260" t="str">
            <v>Summer Mid-peak kWh Capacity</v>
          </cell>
          <cell r="E260" t="str">
            <v>GPTU VL 2</v>
          </cell>
          <cell r="F260">
            <v>2.4676E-2</v>
          </cell>
        </row>
        <row r="261">
          <cell r="A261" t="str">
            <v>GPT0028</v>
          </cell>
          <cell r="B261" t="str">
            <v>Summer Low-peak kWh Capacity</v>
          </cell>
          <cell r="E261" t="str">
            <v>GPTU VL 2</v>
          </cell>
          <cell r="F261">
            <v>2.0299000000000001E-2</v>
          </cell>
        </row>
        <row r="262">
          <cell r="A262" t="str">
            <v>GPT0029</v>
          </cell>
          <cell r="B262" t="str">
            <v>Summer Off-peak kWh Capacity</v>
          </cell>
          <cell r="E262" t="str">
            <v>GPTU VL 2</v>
          </cell>
          <cell r="F262">
            <v>1.5681E-2</v>
          </cell>
        </row>
        <row r="263">
          <cell r="A263" t="str">
            <v>GPT0030</v>
          </cell>
          <cell r="B263" t="str">
            <v>Winter On-peak kWh Non-capacity</v>
          </cell>
          <cell r="E263" t="str">
            <v>GPTU VL 2</v>
          </cell>
          <cell r="F263">
            <v>6.0500999999999999E-2</v>
          </cell>
        </row>
        <row r="264">
          <cell r="A264" t="str">
            <v>GPT0031</v>
          </cell>
          <cell r="B264" t="str">
            <v>Winter Mid-peak kWh Non-capacity</v>
          </cell>
          <cell r="E264" t="str">
            <v>GPTU VL 2</v>
          </cell>
          <cell r="F264">
            <v>5.8823E-2</v>
          </cell>
        </row>
        <row r="265">
          <cell r="A265" t="str">
            <v>GPT0032</v>
          </cell>
          <cell r="B265" t="str">
            <v>Winter Off-peak kWh Non-capacity</v>
          </cell>
          <cell r="E265" t="str">
            <v>GPTU VL 2</v>
          </cell>
          <cell r="F265">
            <v>5.1917999999999999E-2</v>
          </cell>
        </row>
        <row r="266">
          <cell r="A266" t="str">
            <v>GPT0033</v>
          </cell>
          <cell r="B266" t="str">
            <v>Winter On-peak kWh Capacity</v>
          </cell>
          <cell r="E266" t="str">
            <v>GPTU VL 2</v>
          </cell>
          <cell r="F266">
            <v>1.8238999999999998E-2</v>
          </cell>
        </row>
        <row r="267">
          <cell r="A267" t="str">
            <v>GPT0034</v>
          </cell>
          <cell r="B267" t="str">
            <v>Winter Mid-peak kWh Capacity</v>
          </cell>
          <cell r="E267" t="str">
            <v>GPTU VL 2</v>
          </cell>
          <cell r="F267">
            <v>1.7773000000000001E-2</v>
          </cell>
        </row>
        <row r="268">
          <cell r="A268" t="str">
            <v>GPT0035</v>
          </cell>
          <cell r="B268" t="str">
            <v>Winter Off-peak kWh Capacity</v>
          </cell>
          <cell r="E268" t="str">
            <v>GPTU VL 2</v>
          </cell>
          <cell r="F268">
            <v>1.5855999999999999E-2</v>
          </cell>
        </row>
        <row r="269">
          <cell r="A269" t="str">
            <v>GPT0036</v>
          </cell>
          <cell r="B269" t="str">
            <v>Summer On-peak kWh Transmission</v>
          </cell>
          <cell r="E269" t="str">
            <v>GPTU VL 2</v>
          </cell>
          <cell r="F269">
            <v>0</v>
          </cell>
        </row>
        <row r="270">
          <cell r="A270" t="str">
            <v>GPT0037</v>
          </cell>
          <cell r="B270" t="str">
            <v>Summer Mid-peak kWh Transmission</v>
          </cell>
          <cell r="E270" t="str">
            <v>GPTU VL 2</v>
          </cell>
          <cell r="F270">
            <v>0</v>
          </cell>
        </row>
        <row r="271">
          <cell r="A271" t="str">
            <v>GPT0038</v>
          </cell>
          <cell r="B271" t="str">
            <v>Summer Low-peak kWh Transmission</v>
          </cell>
          <cell r="E271" t="str">
            <v>GPTU VL 2</v>
          </cell>
          <cell r="F271">
            <v>0</v>
          </cell>
        </row>
        <row r="272">
          <cell r="A272" t="str">
            <v>GPT0039</v>
          </cell>
          <cell r="B272" t="str">
            <v>Summer Off-peak kWh Transmission</v>
          </cell>
          <cell r="E272" t="str">
            <v>GPTU VL 2</v>
          </cell>
          <cell r="F272">
            <v>0</v>
          </cell>
        </row>
        <row r="273">
          <cell r="A273" t="str">
            <v>GPT0040</v>
          </cell>
          <cell r="B273" t="str">
            <v>Winter On-peak kWh Transmission</v>
          </cell>
          <cell r="E273" t="str">
            <v>GPTU VL 2</v>
          </cell>
          <cell r="F273">
            <v>0</v>
          </cell>
        </row>
        <row r="274">
          <cell r="A274" t="str">
            <v>GPT0041</v>
          </cell>
          <cell r="B274" t="str">
            <v>Winter Mid-peak kWh Transmission</v>
          </cell>
          <cell r="E274" t="str">
            <v>GPTU VL 2</v>
          </cell>
          <cell r="F274">
            <v>0</v>
          </cell>
        </row>
        <row r="275">
          <cell r="A275" t="str">
            <v>GPT0042</v>
          </cell>
          <cell r="B275" t="str">
            <v>Winter Off-peak kWh Transmission</v>
          </cell>
          <cell r="E275" t="str">
            <v>GPTU VL 2</v>
          </cell>
          <cell r="F275">
            <v>0</v>
          </cell>
        </row>
        <row r="277">
          <cell r="A277" t="str">
            <v>GPT0043</v>
          </cell>
          <cell r="B277" t="str">
            <v>Summer On-peak kWh Non-capacity</v>
          </cell>
          <cell r="E277" t="str">
            <v>GPTU VL 3</v>
          </cell>
          <cell r="F277">
            <v>0.10006</v>
          </cell>
        </row>
        <row r="278">
          <cell r="A278" t="str">
            <v>GPT0044</v>
          </cell>
          <cell r="B278" t="str">
            <v>Summer Mid-peak kWh Non-capacity</v>
          </cell>
          <cell r="E278" t="str">
            <v>GPTU VL 3</v>
          </cell>
          <cell r="F278">
            <v>8.8693999999999995E-2</v>
          </cell>
        </row>
        <row r="279">
          <cell r="A279" t="str">
            <v>GPT0045</v>
          </cell>
          <cell r="B279" t="str">
            <v>Summer Low-peak kWh Non-capacity</v>
          </cell>
          <cell r="E279" t="str">
            <v>GPTU VL 3</v>
          </cell>
          <cell r="F279">
            <v>7.2924000000000003E-2</v>
          </cell>
        </row>
        <row r="280">
          <cell r="A280" t="str">
            <v>GPT0046</v>
          </cell>
          <cell r="B280" t="str">
            <v>Summer Off-peak kWh Non-capacity</v>
          </cell>
          <cell r="E280" t="str">
            <v>GPTU VL 3</v>
          </cell>
          <cell r="F280">
            <v>5.6286000000000003E-2</v>
          </cell>
        </row>
        <row r="281">
          <cell r="A281" t="str">
            <v>GPT0047</v>
          </cell>
          <cell r="B281" t="str">
            <v>Summer On-peak kWh Capacity</v>
          </cell>
          <cell r="E281" t="str">
            <v>GPTU VL 3</v>
          </cell>
          <cell r="F281">
            <v>3.2830999999999999E-2</v>
          </cell>
        </row>
        <row r="282">
          <cell r="A282" t="str">
            <v>GPT0048</v>
          </cell>
          <cell r="B282" t="str">
            <v>Summer Mid-peak kWh Capacity</v>
          </cell>
          <cell r="E282" t="str">
            <v>GPTU VL 3</v>
          </cell>
          <cell r="F282">
            <v>2.9676000000000001E-2</v>
          </cell>
        </row>
        <row r="283">
          <cell r="A283" t="str">
            <v>GPT0049</v>
          </cell>
          <cell r="B283" t="str">
            <v>Summer Low-peak kWh Capacity</v>
          </cell>
          <cell r="E283" t="str">
            <v>GPTU VL 3</v>
          </cell>
          <cell r="F283">
            <v>2.5298999999999999E-2</v>
          </cell>
        </row>
        <row r="284">
          <cell r="A284" t="str">
            <v>GPT0050</v>
          </cell>
          <cell r="B284" t="str">
            <v>Summer Off-peak kWh Capacity</v>
          </cell>
          <cell r="E284" t="str">
            <v>GPTU VL 3</v>
          </cell>
          <cell r="F284">
            <v>2.0681000000000001E-2</v>
          </cell>
        </row>
        <row r="285">
          <cell r="A285" t="str">
            <v>GPT0051</v>
          </cell>
          <cell r="B285" t="str">
            <v>Winter On-peak kWh Non-capacity</v>
          </cell>
          <cell r="E285" t="str">
            <v>GPTU VL 3</v>
          </cell>
          <cell r="F285">
            <v>6.5501000000000004E-2</v>
          </cell>
        </row>
        <row r="286">
          <cell r="A286" t="str">
            <v>GPT0052</v>
          </cell>
          <cell r="B286" t="str">
            <v>Winter Mid-peak kWh Non-capacity</v>
          </cell>
          <cell r="E286" t="str">
            <v>GPTU VL 3</v>
          </cell>
          <cell r="F286">
            <v>6.3823000000000005E-2</v>
          </cell>
        </row>
        <row r="287">
          <cell r="A287" t="str">
            <v>GPT0053</v>
          </cell>
          <cell r="B287" t="str">
            <v>Winter Off-peak kWh Non-capacity</v>
          </cell>
          <cell r="E287" t="str">
            <v>GPTU VL 3</v>
          </cell>
          <cell r="F287">
            <v>5.6918000000000003E-2</v>
          </cell>
        </row>
        <row r="288">
          <cell r="A288" t="str">
            <v>GPT0054</v>
          </cell>
          <cell r="B288" t="str">
            <v>Winter On-peak kWh Capacity</v>
          </cell>
          <cell r="E288" t="str">
            <v>GPTU VL 3</v>
          </cell>
          <cell r="F288">
            <v>2.3238999999999999E-2</v>
          </cell>
        </row>
        <row r="289">
          <cell r="A289" t="str">
            <v>GPT0055</v>
          </cell>
          <cell r="B289" t="str">
            <v>Winter Mid-peak kWh Capacity</v>
          </cell>
          <cell r="E289" t="str">
            <v>GPTU VL 3</v>
          </cell>
          <cell r="F289">
            <v>2.2773000000000002E-2</v>
          </cell>
        </row>
        <row r="290">
          <cell r="A290" t="str">
            <v>GPT0056</v>
          </cell>
          <cell r="B290" t="str">
            <v>Winter Off-peak kWh Capacity</v>
          </cell>
          <cell r="E290" t="str">
            <v>GPTU VL 3</v>
          </cell>
          <cell r="F290">
            <v>2.0856E-2</v>
          </cell>
        </row>
        <row r="291">
          <cell r="A291" t="str">
            <v>GPT0057</v>
          </cell>
          <cell r="B291" t="str">
            <v>Summer On-peak kWh Transmission</v>
          </cell>
          <cell r="E291" t="str">
            <v>GPTU VL 3</v>
          </cell>
          <cell r="F291">
            <v>0</v>
          </cell>
        </row>
        <row r="292">
          <cell r="A292" t="str">
            <v>GPT0058</v>
          </cell>
          <cell r="B292" t="str">
            <v>Summer Mid-peak kWh Transmission</v>
          </cell>
          <cell r="E292" t="str">
            <v>GPTU VL 3</v>
          </cell>
          <cell r="F292">
            <v>0</v>
          </cell>
        </row>
        <row r="293">
          <cell r="A293" t="str">
            <v>GPT0059</v>
          </cell>
          <cell r="B293" t="str">
            <v>Summer Low-peak kWh Transmission</v>
          </cell>
          <cell r="E293" t="str">
            <v>GPTU VL 3</v>
          </cell>
          <cell r="F293">
            <v>0</v>
          </cell>
        </row>
        <row r="294">
          <cell r="A294" t="str">
            <v>GPT0060</v>
          </cell>
          <cell r="B294" t="str">
            <v>Summer Off-peak kWh Transmission</v>
          </cell>
          <cell r="E294" t="str">
            <v>GPTU VL 3</v>
          </cell>
          <cell r="F294">
            <v>0</v>
          </cell>
        </row>
        <row r="295">
          <cell r="A295" t="str">
            <v>GPT0061</v>
          </cell>
          <cell r="B295" t="str">
            <v>Winter On-peak kWh Transmission</v>
          </cell>
          <cell r="E295" t="str">
            <v>GPTU VL 3</v>
          </cell>
          <cell r="F295">
            <v>0</v>
          </cell>
        </row>
        <row r="296">
          <cell r="A296" t="str">
            <v>GPT0062</v>
          </cell>
          <cell r="B296" t="str">
            <v>Winter Mid-peak kWh Transmission</v>
          </cell>
          <cell r="E296" t="str">
            <v>GPTU VL 3</v>
          </cell>
          <cell r="F296">
            <v>0</v>
          </cell>
        </row>
        <row r="297">
          <cell r="A297" t="str">
            <v>GPT0063</v>
          </cell>
          <cell r="B297" t="str">
            <v>Winter Off-peak kWh Transmission</v>
          </cell>
          <cell r="E297" t="str">
            <v>GPTU VL 3</v>
          </cell>
          <cell r="F297">
            <v>0</v>
          </cell>
        </row>
        <row r="299">
          <cell r="A299" t="str">
            <v>EIP0001</v>
          </cell>
          <cell r="B299" t="str">
            <v>Summer Critical-peak kWh Non-capacity</v>
          </cell>
          <cell r="E299" t="str">
            <v>EIP VL 1</v>
          </cell>
          <cell r="F299">
            <v>9.4745999999999997E-2</v>
          </cell>
        </row>
        <row r="300">
          <cell r="A300" t="str">
            <v>EIP0002</v>
          </cell>
          <cell r="B300" t="str">
            <v>Summer High-peak kWh Non-capacity</v>
          </cell>
          <cell r="E300" t="str">
            <v>EIP VL 1</v>
          </cell>
          <cell r="F300">
            <v>6.3163999999999998E-2</v>
          </cell>
        </row>
        <row r="301">
          <cell r="A301" t="str">
            <v>EIP0003</v>
          </cell>
          <cell r="B301" t="str">
            <v>Summer Mid-peak kWh Non-capacity</v>
          </cell>
          <cell r="E301" t="str">
            <v>EIP VL 1</v>
          </cell>
          <cell r="F301">
            <v>5.8664000000000001E-2</v>
          </cell>
        </row>
        <row r="302">
          <cell r="A302" t="str">
            <v>EIP0004</v>
          </cell>
          <cell r="B302" t="str">
            <v>Summer Low-peak kWh Non-capacity</v>
          </cell>
          <cell r="E302" t="str">
            <v>EIP VL 1</v>
          </cell>
          <cell r="F302">
            <v>4.7171999999999999E-2</v>
          </cell>
        </row>
        <row r="303">
          <cell r="A303" t="str">
            <v>EIP0005</v>
          </cell>
          <cell r="B303" t="str">
            <v>Summer Off-peak kWh Non-capacity</v>
          </cell>
          <cell r="E303" t="str">
            <v>EIP VL 1</v>
          </cell>
          <cell r="F303">
            <v>3.3312000000000001E-2</v>
          </cell>
        </row>
        <row r="304">
          <cell r="A304" t="str">
            <v>EIP0006</v>
          </cell>
          <cell r="B304" t="str">
            <v>Summer Critical-peak kWh Capacity</v>
          </cell>
          <cell r="E304" t="str">
            <v>EIP VL 1</v>
          </cell>
          <cell r="F304">
            <v>4.2915000000000002E-2</v>
          </cell>
        </row>
        <row r="305">
          <cell r="A305" t="str">
            <v>EIP0007</v>
          </cell>
          <cell r="B305" t="str">
            <v>Summer High-peak kWh Capacity</v>
          </cell>
          <cell r="E305" t="str">
            <v>EIP VL 1</v>
          </cell>
          <cell r="F305">
            <v>2.861E-2</v>
          </cell>
        </row>
        <row r="306">
          <cell r="A306" t="str">
            <v>EIP0008</v>
          </cell>
          <cell r="B306" t="str">
            <v>Summer Mid-peak kWh Capacity</v>
          </cell>
          <cell r="E306" t="str">
            <v>EIP VL 1</v>
          </cell>
          <cell r="F306">
            <v>2.6571999999999998E-2</v>
          </cell>
        </row>
        <row r="307">
          <cell r="A307" t="str">
            <v>EIP0009</v>
          </cell>
          <cell r="B307" t="str">
            <v>Summer Low-peak kWh Capacity</v>
          </cell>
          <cell r="E307" t="str">
            <v>EIP VL 1</v>
          </cell>
          <cell r="F307">
            <v>2.1367000000000001E-2</v>
          </cell>
        </row>
        <row r="308">
          <cell r="A308" t="str">
            <v>EIP0010</v>
          </cell>
          <cell r="B308" t="str">
            <v>Summer Off-peak kWh Capacity</v>
          </cell>
          <cell r="E308" t="str">
            <v>EIP VL 1</v>
          </cell>
          <cell r="F308">
            <v>1.5089E-2</v>
          </cell>
        </row>
        <row r="309">
          <cell r="A309" t="str">
            <v>EIP0011</v>
          </cell>
          <cell r="B309" t="str">
            <v>Winter Critical-peak kWh Non-capacity</v>
          </cell>
          <cell r="E309" t="str">
            <v>EIP VL 1</v>
          </cell>
          <cell r="F309">
            <v>9.0809000000000001E-2</v>
          </cell>
        </row>
        <row r="310">
          <cell r="A310" t="str">
            <v>EIP0012</v>
          </cell>
          <cell r="B310" t="str">
            <v>Winter High-peak kWh Non-capacity</v>
          </cell>
          <cell r="E310" t="str">
            <v>EIP VL 1</v>
          </cell>
          <cell r="F310">
            <v>6.0539000000000003E-2</v>
          </cell>
        </row>
        <row r="311">
          <cell r="A311" t="str">
            <v>EIP0013</v>
          </cell>
          <cell r="B311" t="str">
            <v>Winter Mid-peak kWh Non-capacity</v>
          </cell>
          <cell r="E311" t="str">
            <v>EIP VL 1</v>
          </cell>
          <cell r="F311">
            <v>4.7652E-2</v>
          </cell>
        </row>
        <row r="312">
          <cell r="A312" t="str">
            <v>EIP0014</v>
          </cell>
          <cell r="B312" t="str">
            <v>Winter Off-peak kWh Non-capacity</v>
          </cell>
          <cell r="E312" t="str">
            <v>EIP VL 1</v>
          </cell>
          <cell r="F312">
            <v>3.3492000000000001E-2</v>
          </cell>
        </row>
        <row r="313">
          <cell r="A313" t="str">
            <v>EIP0015</v>
          </cell>
          <cell r="B313" t="str">
            <v>Winter Critical-peak kWh Capacity</v>
          </cell>
          <cell r="E313" t="str">
            <v>EIP VL 1</v>
          </cell>
          <cell r="F313">
            <v>4.1132000000000002E-2</v>
          </cell>
        </row>
        <row r="314">
          <cell r="A314" t="str">
            <v>EIP0016</v>
          </cell>
          <cell r="B314" t="str">
            <v>Winter High-peak kWh Capacity</v>
          </cell>
          <cell r="E314" t="str">
            <v>EIP VL 1</v>
          </cell>
          <cell r="F314">
            <v>2.7421000000000001E-2</v>
          </cell>
        </row>
        <row r="315">
          <cell r="A315" t="str">
            <v>EIP0017</v>
          </cell>
          <cell r="B315" t="str">
            <v>Winter Mid-peak kWh Capacity</v>
          </cell>
          <cell r="E315" t="str">
            <v>EIP VL 1</v>
          </cell>
          <cell r="F315">
            <v>2.1583999999999999E-2</v>
          </cell>
        </row>
        <row r="316">
          <cell r="A316" t="str">
            <v>EIP0018</v>
          </cell>
          <cell r="B316" t="str">
            <v>Winter Off-peak kWh Capacity</v>
          </cell>
          <cell r="E316" t="str">
            <v>EIP VL 1</v>
          </cell>
          <cell r="F316">
            <v>1.5169999999999999E-2</v>
          </cell>
        </row>
        <row r="317">
          <cell r="A317" t="str">
            <v>EIP0019</v>
          </cell>
          <cell r="B317" t="str">
            <v>Summer Critical-peak kWh Transmission</v>
          </cell>
          <cell r="E317" t="str">
            <v>EIP VL 1</v>
          </cell>
          <cell r="F317">
            <v>0</v>
          </cell>
        </row>
        <row r="318">
          <cell r="A318" t="str">
            <v>EIP0020</v>
          </cell>
          <cell r="B318" t="str">
            <v>Summer High-peak kWh Transmission</v>
          </cell>
          <cell r="E318" t="str">
            <v>EIP VL 1</v>
          </cell>
          <cell r="F318">
            <v>0</v>
          </cell>
        </row>
        <row r="319">
          <cell r="A319" t="str">
            <v>EIP0021</v>
          </cell>
          <cell r="B319" t="str">
            <v>Summer Mid-peak kWh Transmission</v>
          </cell>
          <cell r="E319" t="str">
            <v>EIP VL 1</v>
          </cell>
          <cell r="F319">
            <v>0</v>
          </cell>
        </row>
        <row r="320">
          <cell r="A320" t="str">
            <v>EIP0022</v>
          </cell>
          <cell r="B320" t="str">
            <v>Summer Low-peak kWh Transmission</v>
          </cell>
          <cell r="E320" t="str">
            <v>EIP VL 1</v>
          </cell>
          <cell r="F320">
            <v>0</v>
          </cell>
        </row>
        <row r="321">
          <cell r="A321" t="str">
            <v>EIP0023</v>
          </cell>
          <cell r="B321" t="str">
            <v>Summer Off-peak kWh Transmission</v>
          </cell>
          <cell r="E321" t="str">
            <v>EIP VL 1</v>
          </cell>
          <cell r="F321">
            <v>0</v>
          </cell>
        </row>
        <row r="322">
          <cell r="A322" t="str">
            <v>EIP0024</v>
          </cell>
          <cell r="B322" t="str">
            <v>Winter Critical-peak kWh Transmission</v>
          </cell>
          <cell r="E322" t="str">
            <v>EIP VL 1</v>
          </cell>
          <cell r="F322">
            <v>0</v>
          </cell>
        </row>
        <row r="323">
          <cell r="A323" t="str">
            <v>EIP0025</v>
          </cell>
          <cell r="B323" t="str">
            <v>Winter High-peak kWh Transmission</v>
          </cell>
          <cell r="E323" t="str">
            <v>EIP VL 1</v>
          </cell>
          <cell r="F323">
            <v>0</v>
          </cell>
        </row>
        <row r="324">
          <cell r="A324" t="str">
            <v>EIP0026</v>
          </cell>
          <cell r="B324" t="str">
            <v>Winter Mid-peak kWh Transmission</v>
          </cell>
          <cell r="E324" t="str">
            <v>EIP VL 1</v>
          </cell>
          <cell r="F324">
            <v>0</v>
          </cell>
        </row>
        <row r="325">
          <cell r="A325" t="str">
            <v>EIP0027</v>
          </cell>
          <cell r="B325" t="str">
            <v>Winter Off-peak kWh Transmission</v>
          </cell>
          <cell r="E325" t="str">
            <v>EIP VL 1</v>
          </cell>
          <cell r="F325">
            <v>0</v>
          </cell>
        </row>
        <row r="327">
          <cell r="A327" t="str">
            <v>EIP0028</v>
          </cell>
          <cell r="B327" t="str">
            <v>Summer Critical-peak kWh Non-capacity</v>
          </cell>
          <cell r="E327" t="str">
            <v>EIP VL 2</v>
          </cell>
          <cell r="F327">
            <v>9.9746000000000001E-2</v>
          </cell>
        </row>
        <row r="328">
          <cell r="A328" t="str">
            <v>EIP0029</v>
          </cell>
          <cell r="B328" t="str">
            <v>Summer High-peak kWh Non-capacity</v>
          </cell>
          <cell r="E328" t="str">
            <v>EIP VL 2</v>
          </cell>
          <cell r="F328">
            <v>6.8164000000000002E-2</v>
          </cell>
        </row>
        <row r="329">
          <cell r="A329" t="str">
            <v>EIP0030</v>
          </cell>
          <cell r="B329" t="str">
            <v>Summer Mid-peak kWh Non-capacity</v>
          </cell>
          <cell r="E329" t="str">
            <v>EIP VL 2</v>
          </cell>
          <cell r="F329">
            <v>6.3663999999999998E-2</v>
          </cell>
        </row>
        <row r="330">
          <cell r="A330" t="str">
            <v>EIP0031</v>
          </cell>
          <cell r="B330" t="str">
            <v>Summer Low-peak kWh Non-capacity</v>
          </cell>
          <cell r="E330" t="str">
            <v>EIP VL 2</v>
          </cell>
          <cell r="F330">
            <v>5.2171999999999996E-2</v>
          </cell>
        </row>
        <row r="331">
          <cell r="A331" t="str">
            <v>EIP0032</v>
          </cell>
          <cell r="B331" t="str">
            <v>Summer Off-peak kWh Non-capacity</v>
          </cell>
          <cell r="E331" t="str">
            <v>EIP VL 2</v>
          </cell>
          <cell r="F331">
            <v>3.8311999999999999E-2</v>
          </cell>
        </row>
        <row r="332">
          <cell r="A332" t="str">
            <v>EIP0033</v>
          </cell>
          <cell r="B332" t="str">
            <v>Summer Critical-peak kWh Capacity</v>
          </cell>
          <cell r="E332" t="str">
            <v>EIP VL 2</v>
          </cell>
          <cell r="F332">
            <v>4.7914999999999999E-2</v>
          </cell>
        </row>
        <row r="333">
          <cell r="A333" t="str">
            <v>EIP0034</v>
          </cell>
          <cell r="B333" t="str">
            <v>Summer High-peak kWh Capacity</v>
          </cell>
          <cell r="E333" t="str">
            <v>EIP VL 2</v>
          </cell>
          <cell r="F333">
            <v>3.3610000000000001E-2</v>
          </cell>
        </row>
        <row r="334">
          <cell r="A334" t="str">
            <v>EIP0035</v>
          </cell>
          <cell r="B334" t="str">
            <v>Summer Mid-peak kWh Capacity</v>
          </cell>
          <cell r="E334" t="str">
            <v>EIP VL 2</v>
          </cell>
          <cell r="F334">
            <v>3.1572000000000003E-2</v>
          </cell>
        </row>
        <row r="335">
          <cell r="A335" t="str">
            <v>EIP0036</v>
          </cell>
          <cell r="B335" t="str">
            <v>Summer Low-peak kWh Capacity</v>
          </cell>
          <cell r="E335" t="str">
            <v>EIP VL 2</v>
          </cell>
          <cell r="F335">
            <v>2.6367000000000002E-2</v>
          </cell>
        </row>
        <row r="336">
          <cell r="A336" t="str">
            <v>EIP0037</v>
          </cell>
          <cell r="B336" t="str">
            <v>Summer Off-peak kWh Capacity</v>
          </cell>
          <cell r="E336" t="str">
            <v>EIP VL 2</v>
          </cell>
          <cell r="F336">
            <v>2.0088999999999999E-2</v>
          </cell>
        </row>
        <row r="337">
          <cell r="A337" t="str">
            <v>EIP0038</v>
          </cell>
          <cell r="B337" t="str">
            <v>Winter Critical-peak kWh Non-capacity</v>
          </cell>
          <cell r="E337" t="str">
            <v>EIP VL 2</v>
          </cell>
          <cell r="F337">
            <v>9.5809000000000005E-2</v>
          </cell>
        </row>
        <row r="338">
          <cell r="A338" t="str">
            <v>EIP0039</v>
          </cell>
          <cell r="B338" t="str">
            <v>Winter High-peak kWh Non-capacity</v>
          </cell>
          <cell r="E338" t="str">
            <v>EIP VL 2</v>
          </cell>
          <cell r="F338">
            <v>6.5539E-2</v>
          </cell>
        </row>
        <row r="339">
          <cell r="A339" t="str">
            <v>EIP0040</v>
          </cell>
          <cell r="B339" t="str">
            <v>Winter Mid-peak kWh Non-capacity</v>
          </cell>
          <cell r="E339" t="str">
            <v>EIP VL 2</v>
          </cell>
          <cell r="F339">
            <v>5.2651999999999997E-2</v>
          </cell>
        </row>
        <row r="340">
          <cell r="A340" t="str">
            <v>EIP0041</v>
          </cell>
          <cell r="B340" t="str">
            <v>Winter Off-peak kWh Non-capacity</v>
          </cell>
          <cell r="E340" t="str">
            <v>EIP VL 2</v>
          </cell>
          <cell r="F340">
            <v>3.8491999999999998E-2</v>
          </cell>
        </row>
        <row r="341">
          <cell r="A341" t="str">
            <v>EIP0042</v>
          </cell>
          <cell r="B341" t="str">
            <v>Winter Critical-peak kWh Capacity</v>
          </cell>
          <cell r="E341" t="str">
            <v>EIP VL 2</v>
          </cell>
          <cell r="F341">
            <v>4.6131999999999999E-2</v>
          </cell>
        </row>
        <row r="342">
          <cell r="A342" t="str">
            <v>EIP0043</v>
          </cell>
          <cell r="B342" t="str">
            <v>Winter High-peak kWh Capacity</v>
          </cell>
          <cell r="E342" t="str">
            <v>EIP VL 2</v>
          </cell>
          <cell r="F342">
            <v>3.2420999999999998E-2</v>
          </cell>
        </row>
        <row r="343">
          <cell r="A343" t="str">
            <v>EIP0044</v>
          </cell>
          <cell r="B343" t="str">
            <v>Winter Mid-peak kWh Capacity</v>
          </cell>
          <cell r="E343" t="str">
            <v>EIP VL 2</v>
          </cell>
          <cell r="F343">
            <v>2.6584E-2</v>
          </cell>
        </row>
        <row r="344">
          <cell r="A344" t="str">
            <v>EIP0045</v>
          </cell>
          <cell r="B344" t="str">
            <v>Winter Off-peak kWh Capacity</v>
          </cell>
          <cell r="E344" t="str">
            <v>EIP VL 2</v>
          </cell>
          <cell r="F344">
            <v>2.017E-2</v>
          </cell>
        </row>
        <row r="345">
          <cell r="A345" t="str">
            <v>EIP0046</v>
          </cell>
          <cell r="B345" t="str">
            <v>Summer Critical-peak kWh Transmission</v>
          </cell>
          <cell r="E345" t="str">
            <v>EIP VL 2</v>
          </cell>
          <cell r="F345">
            <v>0</v>
          </cell>
        </row>
        <row r="346">
          <cell r="A346" t="str">
            <v>EIP0047</v>
          </cell>
          <cell r="B346" t="str">
            <v>Summer High-peak kWh Transmission</v>
          </cell>
          <cell r="E346" t="str">
            <v>EIP VL 2</v>
          </cell>
          <cell r="F346">
            <v>0</v>
          </cell>
        </row>
        <row r="347">
          <cell r="A347" t="str">
            <v>EIP0048</v>
          </cell>
          <cell r="B347" t="str">
            <v>Summer Mid-peak kWh Transmission</v>
          </cell>
          <cell r="E347" t="str">
            <v>EIP VL 2</v>
          </cell>
          <cell r="F347">
            <v>0</v>
          </cell>
        </row>
        <row r="348">
          <cell r="A348" t="str">
            <v>EIP0049</v>
          </cell>
          <cell r="B348" t="str">
            <v>Summer Low-peak kWh Transmission</v>
          </cell>
          <cell r="E348" t="str">
            <v>EIP VL 2</v>
          </cell>
          <cell r="F348">
            <v>0</v>
          </cell>
        </row>
        <row r="349">
          <cell r="A349" t="str">
            <v>EIP0050</v>
          </cell>
          <cell r="B349" t="str">
            <v>Summer Off-peak kWh Transmission</v>
          </cell>
          <cell r="E349" t="str">
            <v>EIP VL 2</v>
          </cell>
          <cell r="F349">
            <v>0</v>
          </cell>
        </row>
        <row r="350">
          <cell r="A350" t="str">
            <v>EIP0051</v>
          </cell>
          <cell r="B350" t="str">
            <v>Winter Critical-peak kWh Transmission</v>
          </cell>
          <cell r="E350" t="str">
            <v>EIP VL 2</v>
          </cell>
          <cell r="F350">
            <v>0</v>
          </cell>
        </row>
        <row r="351">
          <cell r="A351" t="str">
            <v>EIP0052</v>
          </cell>
          <cell r="B351" t="str">
            <v>Winter High-peak kWh Transmission</v>
          </cell>
          <cell r="E351" t="str">
            <v>EIP VL 2</v>
          </cell>
          <cell r="F351">
            <v>0</v>
          </cell>
        </row>
        <row r="352">
          <cell r="A352" t="str">
            <v>EIP0053</v>
          </cell>
          <cell r="B352" t="str">
            <v>Winter Mid-peak kWh Transmission</v>
          </cell>
          <cell r="E352" t="str">
            <v>EIP VL 2</v>
          </cell>
          <cell r="F352">
            <v>0</v>
          </cell>
        </row>
        <row r="353">
          <cell r="A353" t="str">
            <v>EIP0054</v>
          </cell>
          <cell r="B353" t="str">
            <v>Winter Off-peak kWh Transmission</v>
          </cell>
          <cell r="E353" t="str">
            <v>EIP VL 2</v>
          </cell>
          <cell r="F353">
            <v>0</v>
          </cell>
        </row>
        <row r="355">
          <cell r="A355" t="str">
            <v>EIP0055</v>
          </cell>
          <cell r="B355" t="str">
            <v>Summer Critical-peak kWh Non-capacity</v>
          </cell>
          <cell r="E355" t="str">
            <v>EIP VL 3</v>
          </cell>
          <cell r="F355">
            <v>9.6745999999999999E-2</v>
          </cell>
        </row>
        <row r="356">
          <cell r="A356" t="str">
            <v>EIP0056</v>
          </cell>
          <cell r="B356" t="str">
            <v>Summer High-peak kWh Non-capacity</v>
          </cell>
          <cell r="E356" t="str">
            <v>EIP VL 3</v>
          </cell>
          <cell r="F356">
            <v>6.5164E-2</v>
          </cell>
        </row>
        <row r="357">
          <cell r="A357" t="str">
            <v>EIP0057</v>
          </cell>
          <cell r="B357" t="str">
            <v>Summer Mid-peak kWh Non-capacity</v>
          </cell>
          <cell r="E357" t="str">
            <v>EIP VL 3</v>
          </cell>
          <cell r="F357">
            <v>6.0664000000000003E-2</v>
          </cell>
        </row>
        <row r="358">
          <cell r="A358" t="str">
            <v>EIP0058</v>
          </cell>
          <cell r="B358" t="str">
            <v>Summer Low-peak kWh Non-capacity</v>
          </cell>
          <cell r="E358" t="str">
            <v>EIP VL 3</v>
          </cell>
          <cell r="F358">
            <v>4.9172E-2</v>
          </cell>
        </row>
        <row r="359">
          <cell r="A359" t="str">
            <v>EIP0059</v>
          </cell>
          <cell r="B359" t="str">
            <v>Summer Off-peak kWh Non-capacity</v>
          </cell>
          <cell r="E359" t="str">
            <v>EIP VL 3</v>
          </cell>
          <cell r="F359">
            <v>3.5312000000000003E-2</v>
          </cell>
        </row>
        <row r="360">
          <cell r="A360" t="str">
            <v>EIP0060</v>
          </cell>
          <cell r="B360" t="str">
            <v>Summer Critical-peak kWh Capacity</v>
          </cell>
          <cell r="E360" t="str">
            <v>EIP VL 3</v>
          </cell>
          <cell r="F360">
            <v>4.4914999999999997E-2</v>
          </cell>
        </row>
        <row r="361">
          <cell r="A361" t="str">
            <v>EIP0061</v>
          </cell>
          <cell r="B361" t="str">
            <v>Summer High-peak kWh Capacity</v>
          </cell>
          <cell r="E361" t="str">
            <v>EIP VL 3</v>
          </cell>
          <cell r="F361">
            <v>3.0609999999999998E-2</v>
          </cell>
        </row>
        <row r="362">
          <cell r="A362" t="str">
            <v>EIP0062</v>
          </cell>
          <cell r="B362" t="str">
            <v>Summer Mid-peak kWh Capacity</v>
          </cell>
          <cell r="E362" t="str">
            <v>EIP VL 3</v>
          </cell>
          <cell r="F362">
            <v>2.8572E-2</v>
          </cell>
        </row>
        <row r="363">
          <cell r="A363" t="str">
            <v>EIP0063</v>
          </cell>
          <cell r="B363" t="str">
            <v>Summer Low-peak kWh Capacity</v>
          </cell>
          <cell r="E363" t="str">
            <v>EIP VL 3</v>
          </cell>
          <cell r="F363">
            <v>2.3366999999999999E-2</v>
          </cell>
        </row>
        <row r="364">
          <cell r="A364" t="str">
            <v>EIP0064</v>
          </cell>
          <cell r="B364" t="str">
            <v>Summer Off-peak kWh Capacity</v>
          </cell>
          <cell r="E364" t="str">
            <v>EIP VL 3</v>
          </cell>
          <cell r="F364">
            <v>1.7089E-2</v>
          </cell>
        </row>
        <row r="365">
          <cell r="A365" t="str">
            <v>EIP0065</v>
          </cell>
          <cell r="B365" t="str">
            <v>Winter Critical-peak kWh Non-capacity</v>
          </cell>
          <cell r="E365" t="str">
            <v>EIP VL 3</v>
          </cell>
          <cell r="F365">
            <v>9.2809000000000003E-2</v>
          </cell>
        </row>
        <row r="366">
          <cell r="A366" t="str">
            <v>EIP0066</v>
          </cell>
          <cell r="B366" t="str">
            <v>Winter High-peak kWh Non-capacity</v>
          </cell>
          <cell r="E366" t="str">
            <v>EIP VL 3</v>
          </cell>
          <cell r="F366">
            <v>6.2538999999999997E-2</v>
          </cell>
        </row>
        <row r="367">
          <cell r="A367" t="str">
            <v>EIP0067</v>
          </cell>
          <cell r="B367" t="str">
            <v>Winter Mid-peak kWh Non-capacity</v>
          </cell>
          <cell r="E367" t="str">
            <v>EIP VL 3</v>
          </cell>
          <cell r="F367">
            <v>4.9652000000000002E-2</v>
          </cell>
        </row>
        <row r="368">
          <cell r="A368" t="str">
            <v>EIP0068</v>
          </cell>
          <cell r="B368" t="str">
            <v>Winter Off-peak kWh Non-capacity</v>
          </cell>
          <cell r="E368" t="str">
            <v>EIP VL 3</v>
          </cell>
          <cell r="F368">
            <v>3.5492000000000003E-2</v>
          </cell>
        </row>
        <row r="369">
          <cell r="A369" t="str">
            <v>EIP0069</v>
          </cell>
          <cell r="B369" t="str">
            <v>Winter Critical-peak kWh Capacity</v>
          </cell>
          <cell r="E369" t="str">
            <v>EIP VL 3</v>
          </cell>
          <cell r="F369">
            <v>4.3131999999999997E-2</v>
          </cell>
        </row>
        <row r="370">
          <cell r="A370" t="str">
            <v>EIP0070</v>
          </cell>
          <cell r="B370" t="str">
            <v>Winter High-peak kWh Capacity</v>
          </cell>
          <cell r="E370" t="str">
            <v>EIP VL 3</v>
          </cell>
          <cell r="F370">
            <v>2.9420999999999999E-2</v>
          </cell>
        </row>
        <row r="371">
          <cell r="A371" t="str">
            <v>EIP0071</v>
          </cell>
          <cell r="B371" t="str">
            <v>Winter Mid-peak kWh Capacity</v>
          </cell>
          <cell r="E371" t="str">
            <v>EIP VL 3</v>
          </cell>
          <cell r="F371">
            <v>2.3584000000000001E-2</v>
          </cell>
        </row>
        <row r="372">
          <cell r="A372" t="str">
            <v>EIP0072</v>
          </cell>
          <cell r="B372" t="str">
            <v>Winter Off-peak kWh Capacity</v>
          </cell>
          <cell r="E372" t="str">
            <v>EIP VL 3</v>
          </cell>
          <cell r="F372">
            <v>1.7170000000000001E-2</v>
          </cell>
        </row>
        <row r="373">
          <cell r="A373" t="str">
            <v>EIP0073</v>
          </cell>
          <cell r="B373" t="str">
            <v>Summer Critical-peak kWh Transmission</v>
          </cell>
          <cell r="E373" t="str">
            <v>EIP VL 3</v>
          </cell>
          <cell r="F373">
            <v>0</v>
          </cell>
        </row>
        <row r="374">
          <cell r="A374" t="str">
            <v>EIP0074</v>
          </cell>
          <cell r="B374" t="str">
            <v>Summer High-peak kWh Transmission</v>
          </cell>
          <cell r="E374" t="str">
            <v>EIP VL 3</v>
          </cell>
          <cell r="F374">
            <v>0</v>
          </cell>
        </row>
        <row r="375">
          <cell r="A375" t="str">
            <v>EIP0075</v>
          </cell>
          <cell r="B375" t="str">
            <v>Summer Mid-peak kWh Transmission</v>
          </cell>
          <cell r="E375" t="str">
            <v>EIP VL 3</v>
          </cell>
          <cell r="F375">
            <v>0</v>
          </cell>
        </row>
        <row r="376">
          <cell r="A376" t="str">
            <v>EIP0076</v>
          </cell>
          <cell r="B376" t="str">
            <v>Summer Low-peak kWh Transmission</v>
          </cell>
          <cell r="E376" t="str">
            <v>EIP VL 3</v>
          </cell>
          <cell r="F376">
            <v>0</v>
          </cell>
        </row>
        <row r="377">
          <cell r="A377" t="str">
            <v>EIP0077</v>
          </cell>
          <cell r="B377" t="str">
            <v>Summer Off-peak kWh Transmission</v>
          </cell>
          <cell r="E377" t="str">
            <v>EIP VL 3</v>
          </cell>
          <cell r="F377">
            <v>0</v>
          </cell>
        </row>
        <row r="378">
          <cell r="A378" t="str">
            <v>EIP0078</v>
          </cell>
          <cell r="B378" t="str">
            <v>Winter Critical-peak kWh Transmission</v>
          </cell>
          <cell r="E378" t="str">
            <v>EIP VL 3</v>
          </cell>
          <cell r="F378">
            <v>0</v>
          </cell>
        </row>
        <row r="379">
          <cell r="A379" t="str">
            <v>EIP0079</v>
          </cell>
          <cell r="B379" t="str">
            <v>Winter High-peak kWh Transmission</v>
          </cell>
          <cell r="E379" t="str">
            <v>EIP VL 3</v>
          </cell>
          <cell r="F379">
            <v>0</v>
          </cell>
        </row>
        <row r="380">
          <cell r="A380" t="str">
            <v>EIP0080</v>
          </cell>
          <cell r="B380" t="str">
            <v>Winter Mid-peak kWh Transmission</v>
          </cell>
          <cell r="E380" t="str">
            <v>EIP VL 3</v>
          </cell>
          <cell r="F380">
            <v>0</v>
          </cell>
        </row>
        <row r="381">
          <cell r="A381" t="str">
            <v>EIP0081</v>
          </cell>
          <cell r="B381" t="str">
            <v>Winter Off-peak kWh Transmission</v>
          </cell>
          <cell r="E381" t="str">
            <v>EIP VL 3</v>
          </cell>
          <cell r="F381">
            <v>0</v>
          </cell>
        </row>
        <row r="383">
          <cell r="A383" t="str">
            <v>L0001</v>
          </cell>
          <cell r="B383" t="str">
            <v>Secondary All kWh</v>
          </cell>
          <cell r="E383" t="str">
            <v>GML</v>
          </cell>
          <cell r="F383">
            <v>5.1457000000000003E-2</v>
          </cell>
        </row>
        <row r="384">
          <cell r="A384" t="str">
            <v>L0002</v>
          </cell>
          <cell r="B384" t="str">
            <v>Primary All kWh</v>
          </cell>
          <cell r="E384" t="str">
            <v>GML</v>
          </cell>
          <cell r="F384">
            <v>2.5253000000000001E-2</v>
          </cell>
        </row>
        <row r="385">
          <cell r="A385" t="str">
            <v>L0003</v>
          </cell>
          <cell r="B385" t="str">
            <v>Secondary System Access</v>
          </cell>
          <cell r="E385" t="str">
            <v>GML</v>
          </cell>
          <cell r="F385">
            <v>10</v>
          </cell>
        </row>
        <row r="386">
          <cell r="A386" t="str">
            <v>L0004</v>
          </cell>
          <cell r="B386" t="str">
            <v>Primary System Access</v>
          </cell>
          <cell r="E386" t="str">
            <v>GML</v>
          </cell>
          <cell r="F386">
            <v>20</v>
          </cell>
        </row>
        <row r="387">
          <cell r="A387" t="str">
            <v>L0005</v>
          </cell>
          <cell r="B387" t="str">
            <v>Secondary Distribution kWh</v>
          </cell>
          <cell r="E387" t="str">
            <v>GML</v>
          </cell>
          <cell r="F387">
            <v>6.2024999999999997E-2</v>
          </cell>
        </row>
        <row r="388">
          <cell r="A388" t="str">
            <v>L0006</v>
          </cell>
          <cell r="B388" t="str">
            <v>Primary Distribution kWh</v>
          </cell>
          <cell r="E388" t="str">
            <v>GML</v>
          </cell>
          <cell r="F388">
            <v>4.7267999999999998E-2</v>
          </cell>
        </row>
        <row r="389">
          <cell r="A389" t="str">
            <v>L0007</v>
          </cell>
          <cell r="B389" t="str">
            <v>Secondary Transmission kWh</v>
          </cell>
          <cell r="E389" t="str">
            <v>GML</v>
          </cell>
          <cell r="F389">
            <v>0</v>
          </cell>
        </row>
        <row r="390">
          <cell r="A390" t="str">
            <v>L0008</v>
          </cell>
          <cell r="B390" t="str">
            <v>Primary Transmission kWh</v>
          </cell>
          <cell r="E390" t="str">
            <v>GML</v>
          </cell>
          <cell r="F390">
            <v>0</v>
          </cell>
        </row>
        <row r="392">
          <cell r="A392" t="str">
            <v>L0009</v>
          </cell>
          <cell r="B392" t="str">
            <v>Non-capacity All kWh</v>
          </cell>
          <cell r="E392" t="str">
            <v>GU</v>
          </cell>
          <cell r="F392">
            <v>5.5846E-2</v>
          </cell>
        </row>
        <row r="393">
          <cell r="A393" t="str">
            <v>L0010</v>
          </cell>
          <cell r="B393" t="str">
            <v>Capacity All kWh</v>
          </cell>
          <cell r="E393" t="str">
            <v>GU</v>
          </cell>
          <cell r="F393">
            <v>2.0185999999999999E-2</v>
          </cell>
        </row>
        <row r="394">
          <cell r="A394" t="str">
            <v>L0011</v>
          </cell>
          <cell r="B394" t="str">
            <v>System Access</v>
          </cell>
          <cell r="E394" t="str">
            <v>GU</v>
          </cell>
          <cell r="F394">
            <v>2</v>
          </cell>
        </row>
        <row r="395">
          <cell r="A395" t="str">
            <v>L0012</v>
          </cell>
          <cell r="B395" t="str">
            <v>Distribution kWh</v>
          </cell>
          <cell r="E395" t="str">
            <v>GU</v>
          </cell>
          <cell r="F395">
            <v>1.7235E-2</v>
          </cell>
        </row>
        <row r="396">
          <cell r="A396" t="str">
            <v>L0013</v>
          </cell>
          <cell r="B396" t="str">
            <v>Transmission kWh</v>
          </cell>
          <cell r="E396" t="str">
            <v>GU</v>
          </cell>
          <cell r="F396">
            <v>0</v>
          </cell>
        </row>
        <row r="398">
          <cell r="A398" t="str">
            <v>L0014</v>
          </cell>
          <cell r="B398" t="str">
            <v>MV 3500 Lumens</v>
          </cell>
          <cell r="E398" t="str">
            <v>GUL</v>
          </cell>
          <cell r="F398">
            <v>8.31</v>
          </cell>
        </row>
        <row r="399">
          <cell r="A399" t="str">
            <v>L0015</v>
          </cell>
          <cell r="B399" t="str">
            <v>MV 7500 Lumens</v>
          </cell>
          <cell r="E399" t="str">
            <v>GUL</v>
          </cell>
          <cell r="F399">
            <v>13.58</v>
          </cell>
        </row>
        <row r="400">
          <cell r="A400" t="str">
            <v>L0016</v>
          </cell>
          <cell r="B400" t="str">
            <v>MV 10000 Lumens</v>
          </cell>
          <cell r="E400" t="str">
            <v>GUL</v>
          </cell>
          <cell r="F400">
            <v>18.25</v>
          </cell>
        </row>
        <row r="401">
          <cell r="A401" t="str">
            <v>L0017</v>
          </cell>
          <cell r="B401" t="str">
            <v>MV 20000 Lumens</v>
          </cell>
          <cell r="E401" t="str">
            <v>GUL</v>
          </cell>
          <cell r="F401">
            <v>29.75</v>
          </cell>
        </row>
        <row r="402">
          <cell r="A402" t="str">
            <v>L0018</v>
          </cell>
          <cell r="B402" t="str">
            <v>MV 35000 Lumens</v>
          </cell>
          <cell r="E402" t="str">
            <v>GUL</v>
          </cell>
          <cell r="F402">
            <v>50.02</v>
          </cell>
        </row>
        <row r="403">
          <cell r="A403" t="str">
            <v>L0019</v>
          </cell>
          <cell r="B403" t="str">
            <v>MV 50000 Lumens</v>
          </cell>
          <cell r="E403" t="str">
            <v>GUL</v>
          </cell>
          <cell r="F403">
            <v>70.150000000000006</v>
          </cell>
        </row>
        <row r="404">
          <cell r="A404" t="str">
            <v>L0020</v>
          </cell>
          <cell r="B404" t="str">
            <v>HPS 5000 Lumens</v>
          </cell>
          <cell r="E404" t="str">
            <v>GUL</v>
          </cell>
          <cell r="F404">
            <v>5.39</v>
          </cell>
        </row>
        <row r="405">
          <cell r="A405" t="str">
            <v>L0021</v>
          </cell>
          <cell r="B405" t="str">
            <v>HPS 8500 Lumens</v>
          </cell>
          <cell r="E405" t="str">
            <v>GUL</v>
          </cell>
          <cell r="F405">
            <v>7.6</v>
          </cell>
        </row>
        <row r="406">
          <cell r="A406" t="str">
            <v>L0022</v>
          </cell>
          <cell r="B406" t="str">
            <v>HPS 14000 Lumens</v>
          </cell>
          <cell r="E406" t="str">
            <v>GUL</v>
          </cell>
          <cell r="F406">
            <v>11.11</v>
          </cell>
        </row>
        <row r="407">
          <cell r="A407" t="str">
            <v>L0023</v>
          </cell>
          <cell r="B407" t="str">
            <v>HPS 20000 Lumens</v>
          </cell>
          <cell r="E407" t="str">
            <v>GUL</v>
          </cell>
          <cell r="F407">
            <v>16.04</v>
          </cell>
        </row>
        <row r="408">
          <cell r="A408" t="str">
            <v>L0024</v>
          </cell>
          <cell r="B408" t="str">
            <v>HPS 24000 Lumens</v>
          </cell>
          <cell r="E408" t="str">
            <v>GUL</v>
          </cell>
          <cell r="F408">
            <v>20.66</v>
          </cell>
        </row>
        <row r="409">
          <cell r="A409" t="str">
            <v>L0025</v>
          </cell>
          <cell r="B409" t="str">
            <v>HPS 45000 Lumens</v>
          </cell>
          <cell r="E409" t="str">
            <v>GUL</v>
          </cell>
          <cell r="F409">
            <v>31.18</v>
          </cell>
        </row>
        <row r="410">
          <cell r="A410" t="str">
            <v>L0026</v>
          </cell>
          <cell r="B410" t="str">
            <v>IN 2500 Lumens</v>
          </cell>
          <cell r="E410" t="str">
            <v>GUL</v>
          </cell>
          <cell r="F410">
            <v>13.12</v>
          </cell>
        </row>
        <row r="411">
          <cell r="A411" t="str">
            <v>L0027</v>
          </cell>
          <cell r="B411" t="str">
            <v>IN 4000 Lumens</v>
          </cell>
          <cell r="E411" t="str">
            <v>GUL</v>
          </cell>
          <cell r="F411">
            <v>19.809999999999999</v>
          </cell>
        </row>
        <row r="412">
          <cell r="A412" t="str">
            <v>L0028</v>
          </cell>
          <cell r="B412" t="str">
            <v>IN 6000 Lumens</v>
          </cell>
          <cell r="E412" t="str">
            <v>GUL</v>
          </cell>
          <cell r="F412">
            <v>26.31</v>
          </cell>
        </row>
        <row r="413">
          <cell r="A413" t="str">
            <v>L0029</v>
          </cell>
          <cell r="B413" t="str">
            <v>IN 10000 Lumens</v>
          </cell>
          <cell r="E413" t="str">
            <v>GUL</v>
          </cell>
          <cell r="F413">
            <v>44.82</v>
          </cell>
        </row>
        <row r="414">
          <cell r="A414" t="str">
            <v>L0030</v>
          </cell>
          <cell r="B414" t="str">
            <v>FL 20000 Lumens</v>
          </cell>
          <cell r="E414" t="str">
            <v>GUL</v>
          </cell>
          <cell r="F414">
            <v>30.53</v>
          </cell>
        </row>
        <row r="415">
          <cell r="A415" t="str">
            <v>L0031</v>
          </cell>
          <cell r="B415" t="str">
            <v>MH 9750 Lumens</v>
          </cell>
          <cell r="E415" t="str">
            <v>GUL</v>
          </cell>
          <cell r="F415">
            <v>11.04</v>
          </cell>
        </row>
        <row r="416">
          <cell r="A416" t="str">
            <v>L0032</v>
          </cell>
          <cell r="B416" t="str">
            <v>MH 10500 Lumens</v>
          </cell>
          <cell r="E416" t="str">
            <v>GUL</v>
          </cell>
          <cell r="F416">
            <v>13.64</v>
          </cell>
        </row>
        <row r="417">
          <cell r="A417" t="str">
            <v>L0033</v>
          </cell>
          <cell r="B417" t="str">
            <v>MH 15500 Lumens</v>
          </cell>
          <cell r="E417" t="str">
            <v>GUL</v>
          </cell>
          <cell r="F417">
            <v>18.84</v>
          </cell>
        </row>
        <row r="418">
          <cell r="A418" t="str">
            <v>L0034</v>
          </cell>
          <cell r="B418" t="str">
            <v>MH 24000 Lumens</v>
          </cell>
          <cell r="E418" t="str">
            <v>GUL</v>
          </cell>
          <cell r="F418">
            <v>29.88</v>
          </cell>
        </row>
        <row r="419">
          <cell r="A419" t="str">
            <v>L0035</v>
          </cell>
          <cell r="B419" t="str">
            <v>Fixture</v>
          </cell>
          <cell r="E419" t="str">
            <v>GUL</v>
          </cell>
          <cell r="F419">
            <v>6</v>
          </cell>
        </row>
        <row r="421">
          <cell r="A421" t="str">
            <v>L0036</v>
          </cell>
          <cell r="B421" t="str">
            <v>Non-capacity All kWh</v>
          </cell>
          <cell r="E421" t="str">
            <v>GU-XL</v>
          </cell>
          <cell r="F421">
            <v>4.8280999999999998E-2</v>
          </cell>
        </row>
        <row r="422">
          <cell r="A422" t="str">
            <v>L0037</v>
          </cell>
          <cell r="B422" t="str">
            <v>Capacity All kWh</v>
          </cell>
          <cell r="E422" t="str">
            <v>GU-XL</v>
          </cell>
          <cell r="F422">
            <v>0</v>
          </cell>
        </row>
        <row r="423">
          <cell r="A423" t="str">
            <v>L0038</v>
          </cell>
          <cell r="B423" t="str">
            <v>Company Owned Fixture</v>
          </cell>
          <cell r="E423" t="str">
            <v>GU-XL</v>
          </cell>
          <cell r="F423">
            <v>6</v>
          </cell>
        </row>
        <row r="424">
          <cell r="A424" t="str">
            <v>L0039</v>
          </cell>
          <cell r="B424" t="str">
            <v>Company Owned Distribution kWh</v>
          </cell>
          <cell r="E424" t="str">
            <v>GU-XL</v>
          </cell>
          <cell r="F424">
            <v>5.1751999999999999E-2</v>
          </cell>
        </row>
        <row r="425">
          <cell r="A425" t="str">
            <v>L0040</v>
          </cell>
          <cell r="B425" t="str">
            <v>Customer Owned Distribution kWh</v>
          </cell>
          <cell r="E425" t="str">
            <v>GU-XL</v>
          </cell>
          <cell r="F425">
            <v>4.2193000000000001E-2</v>
          </cell>
        </row>
        <row r="426">
          <cell r="A426" t="str">
            <v>L0041</v>
          </cell>
          <cell r="B426" t="str">
            <v>Transmission</v>
          </cell>
          <cell r="E426" t="str">
            <v>GU-XL</v>
          </cell>
          <cell r="F426">
            <v>0</v>
          </cell>
        </row>
        <row r="428">
          <cell r="F428" t="str">
            <v>Customer Owned</v>
          </cell>
        </row>
        <row r="429">
          <cell r="F429" t="str">
            <v>Production</v>
          </cell>
        </row>
        <row r="430">
          <cell r="A430" t="str">
            <v>L0042</v>
          </cell>
          <cell r="B430" t="str">
            <v>15 - 24 Watts</v>
          </cell>
          <cell r="E430" t="str">
            <v>LED</v>
          </cell>
          <cell r="F430">
            <v>0</v>
          </cell>
        </row>
        <row r="431">
          <cell r="A431" t="str">
            <v>L0043</v>
          </cell>
          <cell r="B431" t="str">
            <v>25 - 34 Watts</v>
          </cell>
          <cell r="E431" t="str">
            <v>LED</v>
          </cell>
          <cell r="F431">
            <v>0</v>
          </cell>
        </row>
        <row r="432">
          <cell r="A432" t="str">
            <v>L0044</v>
          </cell>
          <cell r="B432" t="str">
            <v>35 - 44 Watts</v>
          </cell>
          <cell r="E432" t="str">
            <v>LED</v>
          </cell>
          <cell r="F432">
            <v>0</v>
          </cell>
        </row>
        <row r="433">
          <cell r="A433" t="str">
            <v>L0045</v>
          </cell>
          <cell r="B433" t="str">
            <v>45 - 54 Watts</v>
          </cell>
          <cell r="E433" t="str">
            <v>LED</v>
          </cell>
          <cell r="F433">
            <v>0</v>
          </cell>
        </row>
        <row r="434">
          <cell r="A434" t="str">
            <v>L0046</v>
          </cell>
          <cell r="B434" t="str">
            <v>55 - 64 Watts</v>
          </cell>
          <cell r="E434" t="str">
            <v>LED</v>
          </cell>
          <cell r="F434">
            <v>0</v>
          </cell>
        </row>
        <row r="435">
          <cell r="A435" t="str">
            <v>L0047</v>
          </cell>
          <cell r="B435" t="str">
            <v>65 - 74 Watts</v>
          </cell>
          <cell r="E435" t="str">
            <v>LED</v>
          </cell>
          <cell r="F435">
            <v>0</v>
          </cell>
        </row>
        <row r="436">
          <cell r="A436" t="str">
            <v>L0048</v>
          </cell>
          <cell r="B436" t="str">
            <v>75 - 84 Watts</v>
          </cell>
          <cell r="E436" t="str">
            <v>LED</v>
          </cell>
          <cell r="F436">
            <v>0</v>
          </cell>
        </row>
        <row r="437">
          <cell r="A437" t="str">
            <v>L0049</v>
          </cell>
          <cell r="B437" t="str">
            <v>85 - 94 Watts</v>
          </cell>
          <cell r="E437" t="str">
            <v>LED</v>
          </cell>
          <cell r="F437">
            <v>0</v>
          </cell>
        </row>
        <row r="438">
          <cell r="A438" t="str">
            <v>L0050</v>
          </cell>
          <cell r="B438" t="str">
            <v>95 - 104 Watts</v>
          </cell>
          <cell r="E438" t="str">
            <v>LED</v>
          </cell>
          <cell r="F438">
            <v>0</v>
          </cell>
        </row>
        <row r="439">
          <cell r="A439" t="str">
            <v>L0051</v>
          </cell>
          <cell r="B439" t="str">
            <v>105 - 114 Watts</v>
          </cell>
          <cell r="E439" t="str">
            <v>LED</v>
          </cell>
          <cell r="F439">
            <v>0</v>
          </cell>
        </row>
        <row r="440">
          <cell r="A440" t="str">
            <v>L0052</v>
          </cell>
          <cell r="B440" t="str">
            <v>115 - 124 Watts</v>
          </cell>
          <cell r="E440" t="str">
            <v>LED</v>
          </cell>
          <cell r="F440">
            <v>0</v>
          </cell>
        </row>
        <row r="441">
          <cell r="A441" t="str">
            <v>L0053</v>
          </cell>
          <cell r="B441" t="str">
            <v>125 - 134 Watts</v>
          </cell>
          <cell r="E441" t="str">
            <v>LED</v>
          </cell>
          <cell r="F441">
            <v>0</v>
          </cell>
        </row>
        <row r="442">
          <cell r="A442" t="str">
            <v>L0054</v>
          </cell>
          <cell r="B442" t="str">
            <v>135 - 144 Watts</v>
          </cell>
          <cell r="E442" t="str">
            <v>LED</v>
          </cell>
          <cell r="F442">
            <v>0</v>
          </cell>
        </row>
        <row r="443">
          <cell r="A443" t="str">
            <v>L0055</v>
          </cell>
          <cell r="B443" t="str">
            <v>145 - 154 Watts</v>
          </cell>
          <cell r="E443" t="str">
            <v>LED</v>
          </cell>
          <cell r="F443">
            <v>0</v>
          </cell>
        </row>
        <row r="444">
          <cell r="A444" t="str">
            <v>L0056</v>
          </cell>
          <cell r="B444" t="str">
            <v>155 - 164 Watts</v>
          </cell>
          <cell r="E444" t="str">
            <v>LED</v>
          </cell>
          <cell r="F444">
            <v>0</v>
          </cell>
        </row>
        <row r="445">
          <cell r="A445" t="str">
            <v>L0057</v>
          </cell>
          <cell r="B445" t="str">
            <v>165 - 174 Watts</v>
          </cell>
          <cell r="E445" t="str">
            <v>LED</v>
          </cell>
          <cell r="F445">
            <v>0</v>
          </cell>
        </row>
        <row r="446">
          <cell r="A446" t="str">
            <v>L0058</v>
          </cell>
          <cell r="B446" t="str">
            <v>175 - 184 Watts</v>
          </cell>
          <cell r="E446" t="str">
            <v>LED</v>
          </cell>
          <cell r="F446">
            <v>0</v>
          </cell>
        </row>
        <row r="447">
          <cell r="A447" t="str">
            <v>L0059</v>
          </cell>
          <cell r="B447" t="str">
            <v>185 - 194 Watts</v>
          </cell>
          <cell r="E447" t="str">
            <v>LED</v>
          </cell>
          <cell r="F447">
            <v>0</v>
          </cell>
        </row>
        <row r="448">
          <cell r="A448" t="str">
            <v>L0060</v>
          </cell>
          <cell r="B448" t="str">
            <v>195 - 204 Watts</v>
          </cell>
          <cell r="E448" t="str">
            <v>LED</v>
          </cell>
          <cell r="F448">
            <v>0</v>
          </cell>
        </row>
        <row r="449">
          <cell r="A449" t="str">
            <v>L0061</v>
          </cell>
          <cell r="B449" t="str">
            <v>205 - 214 Watts</v>
          </cell>
          <cell r="E449" t="str">
            <v>LED</v>
          </cell>
          <cell r="F4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8">
          <cell r="E18">
            <v>1972285.751306368</v>
          </cell>
        </row>
      </sheetData>
      <sheetData sheetId="8" refreshError="1"/>
      <sheetData sheetId="9">
        <row r="37">
          <cell r="D37">
            <v>12247759.335999999</v>
          </cell>
        </row>
      </sheetData>
      <sheetData sheetId="10">
        <row r="42">
          <cell r="D42">
            <v>60975</v>
          </cell>
        </row>
      </sheetData>
      <sheetData sheetId="11">
        <row r="46">
          <cell r="D46">
            <v>8045</v>
          </cell>
        </row>
      </sheetData>
      <sheetData sheetId="12">
        <row r="30">
          <cell r="D30">
            <v>130888.776</v>
          </cell>
        </row>
      </sheetData>
      <sheetData sheetId="13">
        <row r="25">
          <cell r="D25">
            <v>3826453</v>
          </cell>
        </row>
      </sheetData>
      <sheetData sheetId="14">
        <row r="40">
          <cell r="D40">
            <v>3265</v>
          </cell>
        </row>
      </sheetData>
      <sheetData sheetId="15">
        <row r="40">
          <cell r="D40">
            <v>3256731</v>
          </cell>
        </row>
      </sheetData>
      <sheetData sheetId="16">
        <row r="27">
          <cell r="D27">
            <v>5198</v>
          </cell>
        </row>
      </sheetData>
      <sheetData sheetId="17">
        <row r="27">
          <cell r="D27">
            <v>54657</v>
          </cell>
        </row>
      </sheetData>
      <sheetData sheetId="18">
        <row r="27">
          <cell r="D27">
            <v>892638</v>
          </cell>
        </row>
      </sheetData>
      <sheetData sheetId="19">
        <row r="40">
          <cell r="D40">
            <v>76651</v>
          </cell>
        </row>
      </sheetData>
      <sheetData sheetId="20">
        <row r="44">
          <cell r="L44">
            <v>5166.9123600000003</v>
          </cell>
        </row>
      </sheetData>
      <sheetData sheetId="21">
        <row r="44">
          <cell r="L44">
            <v>11163.43872</v>
          </cell>
        </row>
      </sheetData>
      <sheetData sheetId="22">
        <row r="43">
          <cell r="D43">
            <v>241562</v>
          </cell>
        </row>
      </sheetData>
      <sheetData sheetId="23">
        <row r="43">
          <cell r="D43">
            <v>951742</v>
          </cell>
        </row>
      </sheetData>
      <sheetData sheetId="24">
        <row r="43">
          <cell r="D43">
            <v>3172245</v>
          </cell>
        </row>
      </sheetData>
      <sheetData sheetId="25">
        <row r="47">
          <cell r="D47">
            <v>264981</v>
          </cell>
        </row>
      </sheetData>
      <sheetData sheetId="26">
        <row r="47">
          <cell r="D47">
            <v>78222</v>
          </cell>
        </row>
      </sheetData>
      <sheetData sheetId="27">
        <row r="47">
          <cell r="D47">
            <v>15334</v>
          </cell>
        </row>
      </sheetData>
      <sheetData sheetId="28">
        <row r="20">
          <cell r="H20">
            <v>59.979960000000005</v>
          </cell>
        </row>
      </sheetData>
      <sheetData sheetId="29">
        <row r="52">
          <cell r="L52">
            <v>351.68227768799994</v>
          </cell>
        </row>
      </sheetData>
      <sheetData sheetId="30">
        <row r="20">
          <cell r="H20">
            <v>91.592331819089452</v>
          </cell>
        </row>
      </sheetData>
      <sheetData sheetId="31">
        <row r="17">
          <cell r="D17">
            <v>12</v>
          </cell>
        </row>
      </sheetData>
      <sheetData sheetId="32">
        <row r="20">
          <cell r="H20">
            <v>421.85328000000004</v>
          </cell>
        </row>
      </sheetData>
      <sheetData sheetId="33">
        <row r="18">
          <cell r="G18">
            <v>947.75380838599995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9">
          <cell r="D9">
            <v>4029.1870124799998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9">
          <cell r="D9">
            <v>3887.3721880119883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zoomScaleSheetLayoutView="100" workbookViewId="0">
      <selection activeCell="A2" sqref="A2"/>
    </sheetView>
  </sheetViews>
  <sheetFormatPr defaultColWidth="7.6640625" defaultRowHeight="12.7"/>
  <cols>
    <col min="1" max="1" width="7.6640625" style="672"/>
    <col min="2" max="2" width="7.6640625" style="672" bestFit="1" customWidth="1"/>
    <col min="3" max="3" width="0.6640625" style="672" customWidth="1"/>
    <col min="4" max="4" width="18.1640625" style="672" customWidth="1"/>
    <col min="5" max="5" width="28.1640625" style="672" bestFit="1" customWidth="1"/>
    <col min="6" max="6" width="10.6640625" style="673" customWidth="1"/>
    <col min="7" max="7" width="9.1640625" style="673" customWidth="1"/>
    <col min="8" max="8" width="10.1640625" style="673" customWidth="1"/>
    <col min="9" max="9" width="1.33203125" style="673" customWidth="1"/>
    <col min="10" max="11" width="7.1640625" style="673" customWidth="1"/>
    <col min="12" max="12" width="3.1640625" style="673" customWidth="1"/>
    <col min="13" max="13" width="10.6640625" style="673" customWidth="1"/>
    <col min="14" max="14" width="9.83203125" style="673" customWidth="1"/>
    <col min="15" max="15" width="10.1640625" style="673" customWidth="1"/>
    <col min="16" max="16" width="1.33203125" style="673" customWidth="1"/>
    <col min="17" max="18" width="7.1640625" style="673" customWidth="1"/>
    <col min="19" max="19" width="3.1640625" style="673" customWidth="1"/>
    <col min="20" max="20" width="10.6640625" style="673" customWidth="1"/>
    <col min="21" max="21" width="9.83203125" style="673" customWidth="1"/>
    <col min="22" max="22" width="10.1640625" style="673" customWidth="1"/>
    <col min="23" max="23" width="1.33203125" style="673" customWidth="1"/>
    <col min="24" max="25" width="7.1640625" style="673" customWidth="1"/>
    <col min="26" max="26" width="0.6640625" style="672" customWidth="1"/>
    <col min="27" max="16384" width="7.6640625" style="672"/>
  </cols>
  <sheetData>
    <row r="1" spans="1:30">
      <c r="A1" s="719" t="s">
        <v>666</v>
      </c>
      <c r="Z1" s="674" t="s">
        <v>647</v>
      </c>
      <c r="AD1" s="674"/>
    </row>
    <row r="2" spans="1:30">
      <c r="Q2" s="718"/>
      <c r="X2" s="718"/>
      <c r="Z2" s="675" t="s">
        <v>655</v>
      </c>
      <c r="AD2" s="674"/>
    </row>
    <row r="3" spans="1:30">
      <c r="Q3" s="718"/>
      <c r="X3" s="718"/>
      <c r="Z3" s="675" t="s">
        <v>664</v>
      </c>
      <c r="AD3" s="674"/>
    </row>
    <row r="4" spans="1:30">
      <c r="Q4" s="718"/>
      <c r="X4" s="718"/>
      <c r="Z4" s="675"/>
      <c r="AD4" s="674"/>
    </row>
    <row r="5" spans="1:30" ht="13" thickBot="1">
      <c r="Q5" s="674"/>
      <c r="X5" s="674"/>
      <c r="Z5" s="674"/>
      <c r="AD5" s="674"/>
    </row>
    <row r="6" spans="1:30" s="676" customFormat="1" ht="2" customHeight="1" thickTop="1">
      <c r="A6" s="672"/>
      <c r="B6" s="672"/>
      <c r="C6" s="677"/>
      <c r="D6" s="678"/>
      <c r="E6" s="678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80"/>
    </row>
    <row r="7" spans="1:30" s="676" customFormat="1" ht="6" customHeight="1">
      <c r="A7" s="672"/>
      <c r="B7" s="672"/>
      <c r="C7" s="681"/>
      <c r="D7" s="682"/>
      <c r="E7" s="682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4"/>
    </row>
    <row r="8" spans="1:30">
      <c r="C8" s="685"/>
      <c r="D8" s="686"/>
      <c r="E8" s="686"/>
      <c r="F8" s="723" t="s">
        <v>653</v>
      </c>
      <c r="G8" s="723"/>
      <c r="H8" s="723"/>
      <c r="I8" s="723"/>
      <c r="J8" s="723"/>
      <c r="K8" s="723"/>
      <c r="L8" s="687"/>
      <c r="M8" s="723" t="s">
        <v>654</v>
      </c>
      <c r="N8" s="723"/>
      <c r="O8" s="723"/>
      <c r="P8" s="723"/>
      <c r="Q8" s="723"/>
      <c r="R8" s="723"/>
      <c r="S8" s="687"/>
      <c r="T8" s="723" t="s">
        <v>662</v>
      </c>
      <c r="U8" s="723"/>
      <c r="V8" s="723"/>
      <c r="W8" s="723"/>
      <c r="X8" s="723"/>
      <c r="Y8" s="723"/>
      <c r="Z8" s="688"/>
    </row>
    <row r="9" spans="1:30">
      <c r="C9" s="685"/>
      <c r="D9" s="686"/>
      <c r="E9" s="686"/>
      <c r="F9" s="720" t="s">
        <v>648</v>
      </c>
      <c r="G9" s="720" t="s">
        <v>649</v>
      </c>
      <c r="H9" s="720" t="s">
        <v>412</v>
      </c>
      <c r="I9" s="720"/>
      <c r="J9" s="720" t="s">
        <v>494</v>
      </c>
      <c r="K9" s="720" t="s">
        <v>659</v>
      </c>
      <c r="L9" s="687"/>
      <c r="M9" s="720" t="s">
        <v>661</v>
      </c>
      <c r="N9" s="720" t="s">
        <v>649</v>
      </c>
      <c r="O9" s="720" t="s">
        <v>412</v>
      </c>
      <c r="P9" s="720"/>
      <c r="Q9" s="720" t="s">
        <v>494</v>
      </c>
      <c r="R9" s="720" t="s">
        <v>659</v>
      </c>
      <c r="S9" s="720"/>
      <c r="T9" s="720" t="s">
        <v>648</v>
      </c>
      <c r="U9" s="720" t="s">
        <v>649</v>
      </c>
      <c r="V9" s="720" t="s">
        <v>412</v>
      </c>
      <c r="W9" s="720"/>
      <c r="X9" s="720" t="s">
        <v>494</v>
      </c>
      <c r="Y9" s="720" t="s">
        <v>659</v>
      </c>
      <c r="Z9" s="688"/>
    </row>
    <row r="10" spans="1:30">
      <c r="C10" s="685"/>
      <c r="D10" s="686"/>
      <c r="E10" s="686"/>
      <c r="F10" s="720" t="s">
        <v>650</v>
      </c>
      <c r="G10" s="720" t="s">
        <v>651</v>
      </c>
      <c r="H10" s="720" t="s">
        <v>650</v>
      </c>
      <c r="I10" s="720"/>
      <c r="J10" s="720" t="s">
        <v>651</v>
      </c>
      <c r="K10" s="720" t="s">
        <v>660</v>
      </c>
      <c r="L10" s="687"/>
      <c r="M10" s="720" t="s">
        <v>650</v>
      </c>
      <c r="N10" s="720" t="s">
        <v>651</v>
      </c>
      <c r="O10" s="720" t="s">
        <v>650</v>
      </c>
      <c r="P10" s="720"/>
      <c r="Q10" s="720" t="s">
        <v>651</v>
      </c>
      <c r="R10" s="720" t="s">
        <v>660</v>
      </c>
      <c r="S10" s="720"/>
      <c r="T10" s="720" t="s">
        <v>650</v>
      </c>
      <c r="U10" s="720" t="s">
        <v>651</v>
      </c>
      <c r="V10" s="720" t="s">
        <v>650</v>
      </c>
      <c r="W10" s="720"/>
      <c r="X10" s="720" t="s">
        <v>651</v>
      </c>
      <c r="Y10" s="720" t="s">
        <v>660</v>
      </c>
      <c r="Z10" s="688"/>
    </row>
    <row r="11" spans="1:30">
      <c r="C11" s="685"/>
      <c r="D11" s="686" t="s">
        <v>418</v>
      </c>
      <c r="E11" s="686" t="s">
        <v>588</v>
      </c>
      <c r="F11" s="724" t="s">
        <v>652</v>
      </c>
      <c r="G11" s="724"/>
      <c r="H11" s="724"/>
      <c r="I11" s="687"/>
      <c r="J11" s="687"/>
      <c r="K11" s="687"/>
      <c r="L11" s="687"/>
      <c r="M11" s="724" t="s">
        <v>652</v>
      </c>
      <c r="N11" s="724"/>
      <c r="O11" s="724"/>
      <c r="P11" s="687"/>
      <c r="Q11" s="687"/>
      <c r="R11" s="687"/>
      <c r="S11" s="687"/>
      <c r="T11" s="724" t="s">
        <v>652</v>
      </c>
      <c r="U11" s="724"/>
      <c r="V11" s="724"/>
      <c r="W11" s="687"/>
      <c r="X11" s="687"/>
      <c r="Y11" s="687"/>
      <c r="Z11" s="688"/>
    </row>
    <row r="12" spans="1:30" ht="6" customHeight="1" thickBot="1">
      <c r="B12" s="709"/>
      <c r="C12" s="710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12"/>
      <c r="AA12" s="709"/>
    </row>
    <row r="13" spans="1:30" ht="6" customHeight="1" thickTop="1">
      <c r="B13" s="709"/>
      <c r="C13" s="711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3"/>
      <c r="AA13" s="709"/>
    </row>
    <row r="14" spans="1:30">
      <c r="C14" s="689"/>
      <c r="D14" s="690" t="str">
        <f>Summary!B8</f>
        <v>Schedule 16,17,19</v>
      </c>
      <c r="E14" s="690" t="str">
        <f>Summary!C8</f>
        <v>Residential</v>
      </c>
      <c r="F14" s="693">
        <f>Summary!F8</f>
        <v>176071.75485958633</v>
      </c>
      <c r="G14" s="693">
        <f ca="1">H14-F14</f>
        <v>16093.867484619492</v>
      </c>
      <c r="H14" s="693">
        <f ca="1">Summary!G8</f>
        <v>192165.62234420583</v>
      </c>
      <c r="I14" s="691"/>
      <c r="J14" s="717">
        <f ca="1">G14/F14</f>
        <v>9.1405163181647306E-2</v>
      </c>
      <c r="K14" s="721">
        <f ca="1">J14/$J$27</f>
        <v>1.3821633591862681</v>
      </c>
      <c r="L14" s="691"/>
      <c r="M14" s="693">
        <f t="shared" ref="M14:M25" ca="1" si="0">H14</f>
        <v>192165.62234420583</v>
      </c>
      <c r="N14" s="693">
        <f t="shared" ref="N14:N25" ca="1" si="1">O14-M14</f>
        <v>12413.089056516998</v>
      </c>
      <c r="O14" s="693">
        <f ca="1">Summary!K8</f>
        <v>204578.71140072282</v>
      </c>
      <c r="P14" s="691"/>
      <c r="Q14" s="717">
        <f t="shared" ref="Q14:Q19" ca="1" si="2">N14/M14</f>
        <v>6.4595784121484284E-2</v>
      </c>
      <c r="R14" s="721">
        <f ca="1">Q14/$Q$27</f>
        <v>0.99797772762277825</v>
      </c>
      <c r="S14" s="691"/>
      <c r="T14" s="693">
        <f>F14</f>
        <v>176071.75485958633</v>
      </c>
      <c r="U14" s="693">
        <f t="shared" ref="U14:U25" ca="1" si="3">V14-T14</f>
        <v>28506.956541136489</v>
      </c>
      <c r="V14" s="693">
        <f ca="1">O14</f>
        <v>204578.71140072282</v>
      </c>
      <c r="W14" s="691"/>
      <c r="X14" s="717">
        <f t="shared" ref="X14:X25" ca="1" si="4">U14/T14</f>
        <v>0.16190533549160233</v>
      </c>
      <c r="Y14" s="721">
        <f ca="1">X14/$X$27</f>
        <v>1.1980640258436668</v>
      </c>
      <c r="Z14" s="692"/>
    </row>
    <row r="15" spans="1:30">
      <c r="C15" s="689"/>
      <c r="D15" s="690" t="str">
        <f>Summary!B9</f>
        <v>Schedule 24</v>
      </c>
      <c r="E15" s="690" t="str">
        <f>Summary!C9</f>
        <v>General - Small</v>
      </c>
      <c r="F15" s="706">
        <f>Summary!F9</f>
        <v>58004.210238475229</v>
      </c>
      <c r="G15" s="695">
        <f t="shared" ref="G15:G24" ca="1" si="5">H15-F15</f>
        <v>-0.82677882058487739</v>
      </c>
      <c r="H15" s="706">
        <f ca="1">Summary!G9</f>
        <v>58003.383459654644</v>
      </c>
      <c r="I15" s="691"/>
      <c r="J15" s="717">
        <f t="shared" ref="J15:J19" ca="1" si="6">G15/F15</f>
        <v>-1.4253772565572494E-5</v>
      </c>
      <c r="K15" s="721">
        <f t="shared" ref="K15:K27" ca="1" si="7">J15/$J$27</f>
        <v>-2.1553533175316733E-4</v>
      </c>
      <c r="L15" s="691"/>
      <c r="M15" s="706">
        <f t="shared" ca="1" si="0"/>
        <v>58003.383459654644</v>
      </c>
      <c r="N15" s="695">
        <f t="shared" ca="1" si="1"/>
        <v>3753.6099084136731</v>
      </c>
      <c r="O15" s="706">
        <f ca="1">Summary!K9</f>
        <v>61756.993368068317</v>
      </c>
      <c r="P15" s="691"/>
      <c r="Q15" s="717">
        <f t="shared" ca="1" si="2"/>
        <v>6.4713637110920735E-2</v>
      </c>
      <c r="R15" s="721">
        <f t="shared" ref="R15:R25" ca="1" si="8">Q15/$Q$27</f>
        <v>0.99979850679886417</v>
      </c>
      <c r="S15" s="691"/>
      <c r="T15" s="695">
        <f t="shared" ref="T15:T25" si="9">F15</f>
        <v>58004.210238475229</v>
      </c>
      <c r="U15" s="695">
        <f t="shared" ca="1" si="3"/>
        <v>3752.7831295930882</v>
      </c>
      <c r="V15" s="695">
        <f t="shared" ref="V15:V25" ca="1" si="10">O15</f>
        <v>61756.993368068317</v>
      </c>
      <c r="W15" s="691"/>
      <c r="X15" s="717">
        <f t="shared" ca="1" si="4"/>
        <v>6.46984609248899E-2</v>
      </c>
      <c r="Y15" s="721">
        <f t="shared" ref="Y15:Y25" ca="1" si="11">X15/$X$27</f>
        <v>0.47875444207076912</v>
      </c>
      <c r="Z15" s="692"/>
    </row>
    <row r="16" spans="1:30">
      <c r="C16" s="689"/>
      <c r="D16" s="690" t="str">
        <f>Summary!B10</f>
        <v>Schedule 29,36</v>
      </c>
      <c r="E16" s="690" t="str">
        <f>Summary!C10</f>
        <v>General</v>
      </c>
      <c r="F16" s="706">
        <f>Summary!F10</f>
        <v>84757.248952502094</v>
      </c>
      <c r="G16" s="695">
        <f t="shared" ca="1" si="5"/>
        <v>2807.3858078497869</v>
      </c>
      <c r="H16" s="706">
        <f ca="1">Summary!G10</f>
        <v>87564.634760351881</v>
      </c>
      <c r="I16" s="691"/>
      <c r="J16" s="717">
        <f t="shared" ca="1" si="6"/>
        <v>3.3122663165047327E-2</v>
      </c>
      <c r="K16" s="721">
        <f t="shared" ca="1" si="7"/>
        <v>0.50085717033749744</v>
      </c>
      <c r="L16" s="691"/>
      <c r="M16" s="706">
        <f t="shared" ca="1" si="0"/>
        <v>87564.634760351881</v>
      </c>
      <c r="N16" s="695">
        <f t="shared" ca="1" si="1"/>
        <v>5655.127521677292</v>
      </c>
      <c r="O16" s="706">
        <f ca="1">Summary!K10</f>
        <v>93219.762282029173</v>
      </c>
      <c r="P16" s="691"/>
      <c r="Q16" s="717">
        <f t="shared" ca="1" si="2"/>
        <v>6.4582322956685922E-2</v>
      </c>
      <c r="R16" s="721">
        <f t="shared" ca="1" si="8"/>
        <v>0.99776975828175507</v>
      </c>
      <c r="S16" s="691"/>
      <c r="T16" s="695">
        <f t="shared" si="9"/>
        <v>84757.248952502094</v>
      </c>
      <c r="U16" s="695">
        <f t="shared" ca="1" si="3"/>
        <v>8462.5133295270789</v>
      </c>
      <c r="V16" s="695">
        <f t="shared" ca="1" si="10"/>
        <v>93219.762282029173</v>
      </c>
      <c r="W16" s="691"/>
      <c r="X16" s="717">
        <f t="shared" ca="1" si="4"/>
        <v>9.9844124651443864E-2</v>
      </c>
      <c r="Y16" s="721">
        <f t="shared" ca="1" si="11"/>
        <v>0.73882465684986731</v>
      </c>
      <c r="Z16" s="692"/>
    </row>
    <row r="17" spans="3:26">
      <c r="C17" s="689"/>
      <c r="D17" s="690" t="str">
        <f>Summary!B11</f>
        <v>Schedule 47,48T</v>
      </c>
      <c r="E17" s="690" t="str">
        <f>Summary!C11</f>
        <v>General - Large</v>
      </c>
      <c r="F17" s="706">
        <f>Summary!F11</f>
        <v>32092.43848177883</v>
      </c>
      <c r="G17" s="695">
        <f t="shared" ca="1" si="5"/>
        <v>2931.6591622158085</v>
      </c>
      <c r="H17" s="706">
        <f ca="1">Summary!G11</f>
        <v>35024.097643994639</v>
      </c>
      <c r="I17" s="691"/>
      <c r="J17" s="717">
        <f t="shared" ca="1" si="6"/>
        <v>9.135046449899159E-2</v>
      </c>
      <c r="K17" s="721">
        <f t="shared" ca="1" si="7"/>
        <v>1.3813362449147006</v>
      </c>
      <c r="L17" s="691"/>
      <c r="M17" s="706">
        <f t="shared" ca="1" si="0"/>
        <v>35024.097643994639</v>
      </c>
      <c r="N17" s="695">
        <f t="shared" ca="1" si="1"/>
        <v>2278.3726273120847</v>
      </c>
      <c r="O17" s="706">
        <f ca="1">Summary!K11</f>
        <v>37302.470271306724</v>
      </c>
      <c r="P17" s="691"/>
      <c r="Q17" s="717">
        <f t="shared" ca="1" si="2"/>
        <v>6.5051572505044758E-2</v>
      </c>
      <c r="R17" s="721">
        <f t="shared" ca="1" si="8"/>
        <v>1.0050194666695105</v>
      </c>
      <c r="S17" s="691"/>
      <c r="T17" s="695">
        <f t="shared" si="9"/>
        <v>32092.43848177883</v>
      </c>
      <c r="U17" s="695">
        <f t="shared" ca="1" si="3"/>
        <v>5210.0317895278931</v>
      </c>
      <c r="V17" s="695">
        <f t="shared" ca="1" si="10"/>
        <v>37302.470271306724</v>
      </c>
      <c r="W17" s="691"/>
      <c r="X17" s="717">
        <f t="shared" ca="1" si="4"/>
        <v>0.16234452836876201</v>
      </c>
      <c r="Y17" s="721">
        <f t="shared" ca="1" si="11"/>
        <v>1.2013139569526949</v>
      </c>
      <c r="Z17" s="692"/>
    </row>
    <row r="18" spans="3:26">
      <c r="C18" s="689"/>
      <c r="D18" s="690" t="str">
        <f>Summary!B12</f>
        <v>Schedule 48T-DF</v>
      </c>
      <c r="E18" s="690" t="str">
        <f>Summary!C12</f>
        <v>General - Large (Dedicated Facilities)</v>
      </c>
      <c r="F18" s="706">
        <f>Summary!F12</f>
        <v>38671.30532491656</v>
      </c>
      <c r="G18" s="695">
        <f t="shared" ca="1" si="5"/>
        <v>3533.0689562443149</v>
      </c>
      <c r="H18" s="706">
        <f ca="1">Summary!G12</f>
        <v>42204.374281160875</v>
      </c>
      <c r="I18" s="691"/>
      <c r="J18" s="717">
        <f t="shared" ca="1" si="6"/>
        <v>9.1361512795067212E-2</v>
      </c>
      <c r="K18" s="721">
        <f t="shared" ca="1" si="7"/>
        <v>1.3815033093286311</v>
      </c>
      <c r="L18" s="691"/>
      <c r="M18" s="706">
        <f t="shared" ca="1" si="0"/>
        <v>42204.374281160875</v>
      </c>
      <c r="N18" s="695">
        <f t="shared" ca="1" si="1"/>
        <v>2751.3932401686034</v>
      </c>
      <c r="O18" s="706">
        <f ca="1">Summary!K12</f>
        <v>44955.767521329479</v>
      </c>
      <c r="P18" s="691"/>
      <c r="Q18" s="717">
        <f t="shared" ca="1" si="2"/>
        <v>6.519213439439063E-2</v>
      </c>
      <c r="R18" s="721">
        <f t="shared" ca="1" si="8"/>
        <v>1.0071910888090596</v>
      </c>
      <c r="S18" s="691"/>
      <c r="T18" s="695">
        <f t="shared" si="9"/>
        <v>38671.30532491656</v>
      </c>
      <c r="U18" s="695">
        <f t="shared" ca="1" si="3"/>
        <v>6284.4621964129183</v>
      </c>
      <c r="V18" s="695">
        <f t="shared" ca="1" si="10"/>
        <v>44955.767521329479</v>
      </c>
      <c r="W18" s="691"/>
      <c r="X18" s="717">
        <f t="shared" ca="1" si="4"/>
        <v>0.16250969921006869</v>
      </c>
      <c r="Y18" s="721">
        <f t="shared" ca="1" si="11"/>
        <v>1.202536185006434</v>
      </c>
      <c r="Z18" s="692"/>
    </row>
    <row r="19" spans="3:26">
      <c r="C19" s="689"/>
      <c r="D19" s="690" t="str">
        <f>Summary!B13</f>
        <v>Schedule 40</v>
      </c>
      <c r="E19" s="690" t="str">
        <f>Summary!C13</f>
        <v>Agricultural Pumping</v>
      </c>
      <c r="F19" s="706">
        <f>Summary!F13</f>
        <v>14475.016400296861</v>
      </c>
      <c r="G19" s="695">
        <f t="shared" ca="1" si="5"/>
        <v>1317.0590284418595</v>
      </c>
      <c r="H19" s="706">
        <f ca="1">Summary!G13</f>
        <v>15792.075428738721</v>
      </c>
      <c r="I19" s="691"/>
      <c r="J19" s="717">
        <f t="shared" ca="1" si="6"/>
        <v>9.0988430825877931E-2</v>
      </c>
      <c r="K19" s="721">
        <f t="shared" ca="1" si="7"/>
        <v>1.3758618312125457</v>
      </c>
      <c r="L19" s="691"/>
      <c r="M19" s="706">
        <f t="shared" ca="1" si="0"/>
        <v>15792.075428738721</v>
      </c>
      <c r="N19" s="695">
        <f t="shared" ca="1" si="1"/>
        <v>1032.5872209722875</v>
      </c>
      <c r="O19" s="706">
        <f ca="1">Summary!K13</f>
        <v>16824.662649711008</v>
      </c>
      <c r="P19" s="691"/>
      <c r="Q19" s="717">
        <f t="shared" ca="1" si="2"/>
        <v>6.5386416473997178E-2</v>
      </c>
      <c r="R19" s="721">
        <f t="shared" ca="1" si="8"/>
        <v>1.0101926653199806</v>
      </c>
      <c r="S19" s="691"/>
      <c r="T19" s="695">
        <f t="shared" si="9"/>
        <v>14475.016400296861</v>
      </c>
      <c r="U19" s="695">
        <f t="shared" ca="1" si="3"/>
        <v>2349.646249414147</v>
      </c>
      <c r="V19" s="695">
        <f t="shared" ca="1" si="10"/>
        <v>16824.662649711008</v>
      </c>
      <c r="W19" s="691"/>
      <c r="X19" s="717">
        <f t="shared" ca="1" si="4"/>
        <v>0.16232425473217144</v>
      </c>
      <c r="Y19" s="721">
        <f t="shared" ca="1" si="11"/>
        <v>1.2011639364817916</v>
      </c>
      <c r="Z19" s="692"/>
    </row>
    <row r="20" spans="3:26">
      <c r="C20" s="689"/>
      <c r="D20" s="690" t="str">
        <f>Summary!B15</f>
        <v>Schedule 15</v>
      </c>
      <c r="E20" s="690" t="str">
        <f>Summary!C15</f>
        <v>Outdoor Area Lighting</v>
      </c>
      <c r="F20" s="706">
        <f>Summary!F15</f>
        <v>295.39940153675803</v>
      </c>
      <c r="G20" s="695">
        <f t="shared" ca="1" si="5"/>
        <v>25.328747804066666</v>
      </c>
      <c r="H20" s="706">
        <f ca="1">Summary!G15</f>
        <v>320.7281493408247</v>
      </c>
      <c r="I20" s="691"/>
      <c r="J20" s="717">
        <f t="shared" ref="J20:J25" ca="1" si="12">G20/F20</f>
        <v>8.5744072846115377E-2</v>
      </c>
      <c r="K20" s="721">
        <f t="shared" ca="1" si="7"/>
        <v>1.2965604089539471</v>
      </c>
      <c r="L20" s="691"/>
      <c r="M20" s="706">
        <f t="shared" ca="1" si="0"/>
        <v>320.7281493408247</v>
      </c>
      <c r="N20" s="695">
        <f t="shared" ca="1" si="1"/>
        <v>19.9375866687148</v>
      </c>
      <c r="O20" s="706">
        <f ca="1">Summary!K15</f>
        <v>340.6657360095395</v>
      </c>
      <c r="P20" s="691"/>
      <c r="Q20" s="717">
        <f t="shared" ref="Q20:Q25" ca="1" si="13">N20/M20</f>
        <v>6.2163507349421776E-2</v>
      </c>
      <c r="R20" s="721">
        <f t="shared" ca="1" si="8"/>
        <v>0.96040007330763733</v>
      </c>
      <c r="S20" s="691"/>
      <c r="T20" s="695">
        <f t="shared" si="9"/>
        <v>295.39940153675803</v>
      </c>
      <c r="U20" s="695">
        <f t="shared" ca="1" si="3"/>
        <v>45.266334472781466</v>
      </c>
      <c r="V20" s="695">
        <f t="shared" ca="1" si="10"/>
        <v>340.6657360095395</v>
      </c>
      <c r="W20" s="691"/>
      <c r="X20" s="717">
        <f t="shared" ca="1" si="4"/>
        <v>0.15323773249807598</v>
      </c>
      <c r="Y20" s="721">
        <f t="shared" ca="1" si="11"/>
        <v>1.1339256618712368</v>
      </c>
      <c r="Z20" s="692"/>
    </row>
    <row r="21" spans="3:26">
      <c r="C21" s="689"/>
      <c r="D21" s="690" t="str">
        <f>Summary!B16</f>
        <v>Schedule 51</v>
      </c>
      <c r="E21" s="690" t="str">
        <f>Summary!C16</f>
        <v>Company-Owned Street Lighting</v>
      </c>
      <c r="F21" s="706">
        <f>Summary!F16</f>
        <v>464.27096133082063</v>
      </c>
      <c r="G21" s="695">
        <f t="shared" ca="1" si="5"/>
        <v>43.494055544507944</v>
      </c>
      <c r="H21" s="706">
        <f ca="1">Summary!G16</f>
        <v>507.76501687532857</v>
      </c>
      <c r="I21" s="691"/>
      <c r="J21" s="717">
        <f t="shared" ca="1" si="12"/>
        <v>9.3682481066300949E-2</v>
      </c>
      <c r="K21" s="721">
        <f t="shared" ca="1" si="7"/>
        <v>1.4165993278758335</v>
      </c>
      <c r="L21" s="691"/>
      <c r="M21" s="706">
        <f t="shared" ca="1" si="0"/>
        <v>507.76501687532857</v>
      </c>
      <c r="N21" s="695">
        <f t="shared" ca="1" si="1"/>
        <v>34.090237311756141</v>
      </c>
      <c r="O21" s="706">
        <f ca="1">Summary!K16</f>
        <v>541.85525418708471</v>
      </c>
      <c r="P21" s="691"/>
      <c r="Q21" s="717">
        <f t="shared" ca="1" si="13"/>
        <v>6.7137821982183363E-2</v>
      </c>
      <c r="R21" s="721">
        <f t="shared" ca="1" si="8"/>
        <v>1.0372511446461004</v>
      </c>
      <c r="S21" s="691"/>
      <c r="T21" s="695">
        <f t="shared" si="9"/>
        <v>464.27096133082063</v>
      </c>
      <c r="U21" s="695">
        <f t="shared" ca="1" si="3"/>
        <v>77.584292856264085</v>
      </c>
      <c r="V21" s="695">
        <f t="shared" ca="1" si="10"/>
        <v>541.85525418708471</v>
      </c>
      <c r="W21" s="691"/>
      <c r="X21" s="717">
        <f t="shared" ca="1" si="4"/>
        <v>0.16710994078516289</v>
      </c>
      <c r="Y21" s="721">
        <f t="shared" ca="1" si="11"/>
        <v>1.2365769652227019</v>
      </c>
      <c r="Z21" s="692"/>
    </row>
    <row r="22" spans="3:26">
      <c r="C22" s="689"/>
      <c r="D22" s="690" t="str">
        <f>Summary!B17</f>
        <v>Schedule 53</v>
      </c>
      <c r="E22" s="690" t="str">
        <f>Summary!C17</f>
        <v>Customer-Owned Street Lighting</v>
      </c>
      <c r="F22" s="706">
        <f>Summary!F17</f>
        <v>107.67492750922015</v>
      </c>
      <c r="G22" s="695">
        <f t="shared" ca="1" si="5"/>
        <v>10.137067272675267</v>
      </c>
      <c r="H22" s="706">
        <f ca="1">Summary!G17</f>
        <v>117.81199478189542</v>
      </c>
      <c r="I22" s="691"/>
      <c r="J22" s="717">
        <f t="shared" ca="1" si="12"/>
        <v>9.4145104224075141E-2</v>
      </c>
      <c r="K22" s="721">
        <f t="shared" ca="1" si="7"/>
        <v>1.4235947836633347</v>
      </c>
      <c r="L22" s="691"/>
      <c r="M22" s="706">
        <f t="shared" ca="1" si="0"/>
        <v>117.81199478189542</v>
      </c>
      <c r="N22" s="695">
        <f t="shared" ca="1" si="1"/>
        <v>7.8984649166261391</v>
      </c>
      <c r="O22" s="706">
        <f ca="1">Summary!K17</f>
        <v>125.71045969852156</v>
      </c>
      <c r="P22" s="691"/>
      <c r="Q22" s="717">
        <f t="shared" ca="1" si="13"/>
        <v>6.7042960534269155E-2</v>
      </c>
      <c r="R22" s="721">
        <f t="shared" ca="1" si="8"/>
        <v>1.0357855751276563</v>
      </c>
      <c r="S22" s="691"/>
      <c r="T22" s="695">
        <f t="shared" si="9"/>
        <v>107.67492750922015</v>
      </c>
      <c r="U22" s="695">
        <f t="shared" ca="1" si="3"/>
        <v>18.035532189301406</v>
      </c>
      <c r="V22" s="695">
        <f t="shared" ca="1" si="10"/>
        <v>125.71045969852156</v>
      </c>
      <c r="W22" s="691"/>
      <c r="X22" s="717">
        <f t="shared" ca="1" si="4"/>
        <v>0.16749983126533363</v>
      </c>
      <c r="Y22" s="721">
        <f t="shared" ca="1" si="11"/>
        <v>1.2394620693910925</v>
      </c>
      <c r="Z22" s="692"/>
    </row>
    <row r="23" spans="3:26">
      <c r="C23" s="689"/>
      <c r="D23" s="690" t="str">
        <f>Summary!B18</f>
        <v>Schedule 54</v>
      </c>
      <c r="E23" s="690" t="str">
        <f>Summary!C18</f>
        <v>Recreational Field Lighting</v>
      </c>
      <c r="F23" s="706">
        <f>Summary!F18</f>
        <v>21.271452803859034</v>
      </c>
      <c r="G23" s="695">
        <f t="shared" ca="1" si="5"/>
        <v>1.8409192352090358</v>
      </c>
      <c r="H23" s="706">
        <f ca="1">Summary!G18</f>
        <v>23.11237203906807</v>
      </c>
      <c r="I23" s="691"/>
      <c r="J23" s="717">
        <f t="shared" ca="1" si="12"/>
        <v>8.6544123346152413E-2</v>
      </c>
      <c r="K23" s="721">
        <f t="shared" ca="1" si="7"/>
        <v>1.3086581991460866</v>
      </c>
      <c r="L23" s="691"/>
      <c r="M23" s="706">
        <f t="shared" ca="1" si="0"/>
        <v>23.11237203906807</v>
      </c>
      <c r="N23" s="695">
        <f t="shared" ca="1" si="1"/>
        <v>1.4374971858850998</v>
      </c>
      <c r="O23" s="706">
        <f ca="1">Summary!K18</f>
        <v>24.54986922495317</v>
      </c>
      <c r="P23" s="691"/>
      <c r="Q23" s="717">
        <f t="shared" ca="1" si="13"/>
        <v>6.2196004090589313E-2</v>
      </c>
      <c r="R23" s="721">
        <f t="shared" ca="1" si="8"/>
        <v>0.96090213430661109</v>
      </c>
      <c r="S23" s="691"/>
      <c r="T23" s="695">
        <f t="shared" si="9"/>
        <v>21.271452803859034</v>
      </c>
      <c r="U23" s="695">
        <f t="shared" ca="1" si="3"/>
        <v>3.2784164210941356</v>
      </c>
      <c r="V23" s="695">
        <f t="shared" ca="1" si="10"/>
        <v>24.54986922495317</v>
      </c>
      <c r="W23" s="691"/>
      <c r="X23" s="717">
        <f t="shared" ca="1" si="4"/>
        <v>0.15412282608639549</v>
      </c>
      <c r="Y23" s="721">
        <f t="shared" ca="1" si="11"/>
        <v>1.1404751605918981</v>
      </c>
      <c r="Z23" s="692"/>
    </row>
    <row r="24" spans="3:26">
      <c r="C24" s="689"/>
      <c r="D24" s="690" t="str">
        <f>Summary!B19</f>
        <v>Schedule 15,51,53,54</v>
      </c>
      <c r="E24" s="690" t="str">
        <f>Summary!C19</f>
        <v>All Lighting</v>
      </c>
      <c r="F24" s="706">
        <f>Summary!F19</f>
        <v>888.61674318065786</v>
      </c>
      <c r="G24" s="695">
        <f t="shared" ca="1" si="5"/>
        <v>80.800789856458891</v>
      </c>
      <c r="H24" s="706">
        <f ca="1">Summary!G19</f>
        <v>969.41753303711675</v>
      </c>
      <c r="I24" s="691"/>
      <c r="J24" s="717">
        <f t="shared" ca="1" si="12"/>
        <v>9.0928727684384744E-2</v>
      </c>
      <c r="K24" s="721">
        <f t="shared" ca="1" si="7"/>
        <v>1.3749590431015917</v>
      </c>
      <c r="L24" s="691"/>
      <c r="M24" s="706">
        <f t="shared" ca="1" si="0"/>
        <v>969.41753303711675</v>
      </c>
      <c r="N24" s="695">
        <f t="shared" ca="1" si="1"/>
        <v>63.363786082982188</v>
      </c>
      <c r="O24" s="706">
        <f ca="1">Summary!K19</f>
        <v>1032.7813191200989</v>
      </c>
      <c r="P24" s="691"/>
      <c r="Q24" s="717">
        <f t="shared" ca="1" si="13"/>
        <v>6.536273991710044E-2</v>
      </c>
      <c r="R24" s="721">
        <f t="shared" ca="1" si="8"/>
        <v>1.0098268724625816</v>
      </c>
      <c r="S24" s="691"/>
      <c r="T24" s="695">
        <f t="shared" si="9"/>
        <v>888.61674318065786</v>
      </c>
      <c r="U24" s="695">
        <f t="shared" ca="1" si="3"/>
        <v>144.16457593944108</v>
      </c>
      <c r="V24" s="695">
        <f t="shared" ca="1" si="10"/>
        <v>1032.7813191200989</v>
      </c>
      <c r="W24" s="691"/>
      <c r="X24" s="717">
        <f t="shared" ca="1" si="4"/>
        <v>0.16223481838011247</v>
      </c>
      <c r="Y24" s="721">
        <f t="shared" ca="1" si="11"/>
        <v>1.2005021270628544</v>
      </c>
      <c r="Z24" s="692"/>
    </row>
    <row r="25" spans="3:26">
      <c r="C25" s="689"/>
      <c r="D25" s="690" t="s">
        <v>558</v>
      </c>
      <c r="E25" s="690" t="s">
        <v>658</v>
      </c>
      <c r="F25" s="706">
        <f>SUM(Summary!F21:F23)</f>
        <v>63.724899999999934</v>
      </c>
      <c r="G25" s="695">
        <f>H25-F25</f>
        <v>0</v>
      </c>
      <c r="H25" s="706">
        <f>SUM(Summary!G21:G23)</f>
        <v>63.724899999999934</v>
      </c>
      <c r="I25" s="691"/>
      <c r="J25" s="717">
        <f t="shared" si="12"/>
        <v>0</v>
      </c>
      <c r="K25" s="721">
        <f t="shared" ca="1" si="7"/>
        <v>0</v>
      </c>
      <c r="L25" s="691"/>
      <c r="M25" s="706">
        <f t="shared" si="0"/>
        <v>63.724899999999934</v>
      </c>
      <c r="N25" s="695">
        <f t="shared" si="1"/>
        <v>0</v>
      </c>
      <c r="O25" s="706">
        <f>SUM(Summary!K21:K23)</f>
        <v>63.724899999999934</v>
      </c>
      <c r="P25" s="691"/>
      <c r="Q25" s="717">
        <f t="shared" si="13"/>
        <v>0</v>
      </c>
      <c r="R25" s="721">
        <f t="shared" ca="1" si="8"/>
        <v>0</v>
      </c>
      <c r="S25" s="691"/>
      <c r="T25" s="695">
        <f t="shared" si="9"/>
        <v>63.724899999999934</v>
      </c>
      <c r="U25" s="695">
        <f t="shared" si="3"/>
        <v>0</v>
      </c>
      <c r="V25" s="695">
        <f t="shared" si="10"/>
        <v>63.724899999999934</v>
      </c>
      <c r="W25" s="691"/>
      <c r="X25" s="717">
        <f t="shared" si="4"/>
        <v>0</v>
      </c>
      <c r="Y25" s="721">
        <f t="shared" ca="1" si="11"/>
        <v>0</v>
      </c>
      <c r="Z25" s="692"/>
    </row>
    <row r="26" spans="3:26" ht="4" customHeight="1">
      <c r="C26" s="689"/>
      <c r="D26" s="690"/>
      <c r="E26" s="690"/>
      <c r="F26" s="698"/>
      <c r="G26" s="698"/>
      <c r="H26" s="698"/>
      <c r="I26" s="691"/>
      <c r="J26" s="694"/>
      <c r="K26" s="694"/>
      <c r="L26" s="691"/>
      <c r="M26" s="698"/>
      <c r="N26" s="698"/>
      <c r="O26" s="698"/>
      <c r="P26" s="691"/>
      <c r="Q26" s="694"/>
      <c r="R26" s="694"/>
      <c r="S26" s="691"/>
      <c r="T26" s="698"/>
      <c r="U26" s="698"/>
      <c r="V26" s="698"/>
      <c r="W26" s="691"/>
      <c r="X26" s="694"/>
      <c r="Y26" s="694"/>
      <c r="Z26" s="692"/>
    </row>
    <row r="27" spans="3:26" ht="13" thickBot="1">
      <c r="C27" s="689"/>
      <c r="D27" s="714" t="s">
        <v>657</v>
      </c>
      <c r="E27" s="714"/>
      <c r="F27" s="715">
        <f>SUM(F14:F25)</f>
        <v>405912.93264391716</v>
      </c>
      <c r="G27" s="715">
        <f ca="1">SUM(G14:G25)</f>
        <v>26843.81524026359</v>
      </c>
      <c r="H27" s="715">
        <f ca="1">SUM(H14:H25)</f>
        <v>432756.7478841808</v>
      </c>
      <c r="I27" s="714"/>
      <c r="J27" s="716">
        <f ca="1">G27/F27</f>
        <v>6.6131953632066323E-2</v>
      </c>
      <c r="K27" s="722">
        <f t="shared" ca="1" si="7"/>
        <v>1</v>
      </c>
      <c r="L27" s="714"/>
      <c r="M27" s="715">
        <f ca="1">SUM(M14:M25)</f>
        <v>432756.7478841808</v>
      </c>
      <c r="N27" s="715">
        <f ca="1">SUM(N14:N25)</f>
        <v>28010.907147226906</v>
      </c>
      <c r="O27" s="715">
        <f ca="1">SUM(O14:O25)</f>
        <v>460767.65503140766</v>
      </c>
      <c r="P27" s="714"/>
      <c r="Q27" s="716">
        <f ca="1">N27/M27</f>
        <v>6.4726679096690817E-2</v>
      </c>
      <c r="R27" s="722">
        <f ca="1">Q27/$Q$27</f>
        <v>1</v>
      </c>
      <c r="S27" s="714"/>
      <c r="T27" s="715">
        <f>SUM(T14:T25)</f>
        <v>405912.93264391716</v>
      </c>
      <c r="U27" s="715">
        <f ca="1">SUM(U14:U25)</f>
        <v>54854.722387490496</v>
      </c>
      <c r="V27" s="715">
        <f ca="1">SUM(V14:V25)</f>
        <v>460767.65503140766</v>
      </c>
      <c r="W27" s="714"/>
      <c r="X27" s="716">
        <f ca="1">U27/T27</f>
        <v>0.13513913446953715</v>
      </c>
      <c r="Y27" s="722">
        <f ca="1">X27/$X$27</f>
        <v>1</v>
      </c>
      <c r="Z27" s="692"/>
    </row>
    <row r="28" spans="3:26" ht="6.75" customHeight="1" thickTop="1">
      <c r="C28" s="699"/>
      <c r="D28" s="696"/>
      <c r="E28" s="696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700"/>
    </row>
    <row r="29" spans="3:26" ht="2" customHeight="1">
      <c r="C29" s="701"/>
      <c r="D29" s="702"/>
      <c r="E29" s="702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  <c r="Y29" s="703"/>
      <c r="Z29" s="704"/>
    </row>
    <row r="30" spans="3:26" ht="6.75" customHeight="1"/>
    <row r="32" spans="3:26">
      <c r="D32" s="672" t="s">
        <v>665</v>
      </c>
      <c r="H32" s="705"/>
    </row>
    <row r="33" spans="4:8">
      <c r="H33" s="705"/>
    </row>
    <row r="34" spans="4:8">
      <c r="D34" s="676" t="s">
        <v>656</v>
      </c>
    </row>
    <row r="35" spans="4:8">
      <c r="D35" s="672" t="s">
        <v>663</v>
      </c>
    </row>
  </sheetData>
  <mergeCells count="6">
    <mergeCell ref="T8:Y8"/>
    <mergeCell ref="T11:V11"/>
    <mergeCell ref="F11:H11"/>
    <mergeCell ref="M11:O11"/>
    <mergeCell ref="F8:K8"/>
    <mergeCell ref="M8:R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showGridLines="0" view="pageBreakPreview" zoomScale="70" zoomScaleNormal="70" zoomScaleSheetLayoutView="70" workbookViewId="0">
      <selection activeCell="R35" sqref="R35"/>
    </sheetView>
  </sheetViews>
  <sheetFormatPr defaultColWidth="9" defaultRowHeight="15.35"/>
  <cols>
    <col min="1" max="1" width="12.6640625" style="202" bestFit="1" customWidth="1"/>
    <col min="2" max="2" width="20.6640625" style="202" customWidth="1"/>
    <col min="3" max="3" width="34" style="202" bestFit="1" customWidth="1"/>
    <col min="4" max="5" width="11.1640625" style="202" customWidth="1"/>
    <col min="6" max="12" width="10.1640625" style="229" customWidth="1"/>
    <col min="13" max="15" width="10.1640625" style="202" customWidth="1"/>
    <col min="16" max="16" width="0.83203125" style="450" customWidth="1"/>
    <col min="17" max="17" width="10.1640625" style="450" customWidth="1"/>
    <col min="18" max="18" width="10.1640625" style="202" customWidth="1"/>
    <col min="19" max="19" width="0.83203125" style="450" customWidth="1"/>
    <col min="20" max="20" width="12.6640625" style="202" bestFit="1" customWidth="1"/>
    <col min="21" max="21" width="20.5" style="202" bestFit="1" customWidth="1"/>
    <col min="22" max="25" width="18" style="202" customWidth="1"/>
    <col min="26" max="26" width="0.83203125" style="202" customWidth="1"/>
    <col min="27" max="28" width="11.1640625" style="202" customWidth="1"/>
    <col min="29" max="16384" width="9" style="202"/>
  </cols>
  <sheetData>
    <row r="1" spans="1:28" s="450" customFormat="1" ht="15.75" customHeight="1">
      <c r="A1" s="446"/>
      <c r="B1" s="447" t="s">
        <v>564</v>
      </c>
      <c r="C1" s="448"/>
      <c r="D1" s="448"/>
      <c r="E1" s="448"/>
      <c r="F1" s="401"/>
      <c r="G1" s="401"/>
      <c r="H1" s="401"/>
      <c r="I1" s="401"/>
      <c r="J1" s="401"/>
      <c r="K1" s="401"/>
      <c r="L1" s="401"/>
      <c r="M1" s="448"/>
      <c r="N1" s="448"/>
      <c r="O1" s="449"/>
      <c r="P1" s="562"/>
      <c r="R1" s="202"/>
    </row>
    <row r="2" spans="1:28" s="450" customFormat="1" ht="15.75" customHeight="1">
      <c r="A2" s="446"/>
      <c r="B2" s="457" t="s">
        <v>565</v>
      </c>
      <c r="C2" s="458"/>
      <c r="D2" s="458"/>
      <c r="E2" s="458"/>
      <c r="F2" s="403"/>
      <c r="G2" s="403"/>
      <c r="H2" s="403"/>
      <c r="I2" s="403"/>
      <c r="J2" s="403"/>
      <c r="K2" s="403"/>
      <c r="L2" s="403"/>
      <c r="M2" s="458"/>
      <c r="N2" s="458"/>
      <c r="O2" s="459"/>
      <c r="P2" s="562"/>
      <c r="R2" s="202"/>
    </row>
    <row r="3" spans="1:28" s="450" customFormat="1" ht="15.75" customHeight="1">
      <c r="A3" s="293"/>
      <c r="B3" s="295"/>
      <c r="C3" s="296"/>
      <c r="D3" s="487" t="s">
        <v>545</v>
      </c>
      <c r="E3" s="357"/>
      <c r="F3" s="338" t="str">
        <f>"Revenue ($"&amp;RIGHT(Q28,LEN(Q28)-1)&amp;")"</f>
        <v>Revenue ($000)</v>
      </c>
      <c r="G3" s="503"/>
      <c r="H3" s="503"/>
      <c r="I3" s="503"/>
      <c r="J3" s="503"/>
      <c r="K3" s="503"/>
      <c r="L3" s="503"/>
      <c r="M3" s="453"/>
      <c r="N3" s="453"/>
      <c r="O3" s="452"/>
      <c r="P3" s="562"/>
      <c r="Q3" s="353"/>
      <c r="T3" s="576" t="s">
        <v>600</v>
      </c>
      <c r="U3" s="576" t="s">
        <v>288</v>
      </c>
      <c r="V3" s="576" t="s">
        <v>601</v>
      </c>
      <c r="W3" s="576" t="s">
        <v>605</v>
      </c>
      <c r="X3" s="576" t="s">
        <v>606</v>
      </c>
      <c r="Y3" s="576" t="s">
        <v>607</v>
      </c>
    </row>
    <row r="4" spans="1:28" s="450" customFormat="1" ht="15.75" customHeight="1">
      <c r="A4" s="564"/>
      <c r="B4" s="386"/>
      <c r="C4" s="455"/>
      <c r="D4" s="354" t="s">
        <v>476</v>
      </c>
      <c r="E4" s="283"/>
      <c r="F4" s="496" t="s">
        <v>501</v>
      </c>
      <c r="G4" s="403"/>
      <c r="H4" s="403"/>
      <c r="I4" s="497"/>
      <c r="J4" s="496" t="s">
        <v>503</v>
      </c>
      <c r="K4" s="403"/>
      <c r="L4" s="403"/>
      <c r="M4" s="459"/>
      <c r="N4" s="457" t="s">
        <v>1</v>
      </c>
      <c r="O4" s="459"/>
      <c r="P4" s="562"/>
      <c r="T4" s="440"/>
      <c r="U4" s="565"/>
      <c r="V4" s="387" t="s">
        <v>414</v>
      </c>
      <c r="W4" s="387" t="s">
        <v>603</v>
      </c>
      <c r="X4" s="440"/>
      <c r="Y4" s="387" t="s">
        <v>604</v>
      </c>
    </row>
    <row r="5" spans="1:28" s="450" customFormat="1" ht="15.75" customHeight="1">
      <c r="A5" s="564"/>
      <c r="B5" s="386"/>
      <c r="C5" s="455"/>
      <c r="D5" s="354" t="s">
        <v>454</v>
      </c>
      <c r="E5" s="488" t="s">
        <v>546</v>
      </c>
      <c r="F5" s="436"/>
      <c r="G5" s="498"/>
      <c r="H5" s="498"/>
      <c r="I5" s="498" t="s">
        <v>494</v>
      </c>
      <c r="J5" s="436"/>
      <c r="K5" s="498"/>
      <c r="L5" s="498"/>
      <c r="M5" s="477" t="s">
        <v>494</v>
      </c>
      <c r="N5" s="478"/>
      <c r="O5" s="477" t="s">
        <v>494</v>
      </c>
      <c r="P5" s="562"/>
      <c r="Q5" s="622" t="s">
        <v>610</v>
      </c>
      <c r="R5" s="623"/>
      <c r="S5" s="584"/>
      <c r="T5" s="478"/>
      <c r="U5" s="455"/>
      <c r="V5" s="386" t="s">
        <v>598</v>
      </c>
      <c r="W5" s="386" t="s">
        <v>599</v>
      </c>
      <c r="X5" s="450" t="s">
        <v>412</v>
      </c>
      <c r="Y5" s="386" t="s">
        <v>599</v>
      </c>
    </row>
    <row r="6" spans="1:28" s="450" customFormat="1" ht="15.75" customHeight="1">
      <c r="A6" s="554"/>
      <c r="B6" s="298" t="s">
        <v>547</v>
      </c>
      <c r="C6" s="461" t="s">
        <v>548</v>
      </c>
      <c r="D6" s="276" t="s">
        <v>214</v>
      </c>
      <c r="E6" s="358" t="s">
        <v>549</v>
      </c>
      <c r="F6" s="299" t="s">
        <v>406</v>
      </c>
      <c r="G6" s="299" t="s">
        <v>412</v>
      </c>
      <c r="H6" s="299" t="s">
        <v>414</v>
      </c>
      <c r="I6" s="299" t="s">
        <v>414</v>
      </c>
      <c r="J6" s="299" t="s">
        <v>406</v>
      </c>
      <c r="K6" s="299" t="s">
        <v>412</v>
      </c>
      <c r="L6" s="299" t="s">
        <v>414</v>
      </c>
      <c r="M6" s="337" t="s">
        <v>414</v>
      </c>
      <c r="N6" s="337" t="s">
        <v>414</v>
      </c>
      <c r="O6" s="337" t="s">
        <v>414</v>
      </c>
      <c r="P6" s="563"/>
      <c r="Q6" s="468" t="s">
        <v>613</v>
      </c>
      <c r="R6" s="468" t="s">
        <v>614</v>
      </c>
      <c r="S6" s="585"/>
      <c r="T6" s="478"/>
      <c r="U6" s="455"/>
      <c r="V6" s="386" t="s">
        <v>602</v>
      </c>
      <c r="W6" s="386" t="s">
        <v>608</v>
      </c>
      <c r="X6" s="478" t="s">
        <v>583</v>
      </c>
      <c r="Y6" s="386" t="s">
        <v>602</v>
      </c>
      <c r="AA6" s="586" t="s">
        <v>589</v>
      </c>
      <c r="AB6" s="300"/>
    </row>
    <row r="7" spans="1:28" s="450" customFormat="1" ht="15.75" customHeight="1">
      <c r="A7" s="554"/>
      <c r="B7" s="294"/>
      <c r="C7" s="462"/>
      <c r="D7" s="456"/>
      <c r="E7" s="463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325"/>
      <c r="Q7" s="337" t="s">
        <v>520</v>
      </c>
      <c r="R7" s="337" t="s">
        <v>520</v>
      </c>
      <c r="T7" s="302" t="s">
        <v>418</v>
      </c>
      <c r="U7" s="275" t="s">
        <v>588</v>
      </c>
      <c r="V7" s="388" t="s">
        <v>589</v>
      </c>
      <c r="W7" s="388" t="s">
        <v>589</v>
      </c>
      <c r="X7" s="386" t="s">
        <v>414</v>
      </c>
      <c r="Y7" s="388" t="s">
        <v>589</v>
      </c>
      <c r="AA7" s="587" t="s">
        <v>497</v>
      </c>
      <c r="AB7" s="587" t="s">
        <v>499</v>
      </c>
    </row>
    <row r="8" spans="1:28" s="450" customFormat="1" ht="15.75" customHeight="1">
      <c r="A8" s="554"/>
      <c r="B8" s="294" t="s">
        <v>422</v>
      </c>
      <c r="C8" s="462" t="s">
        <v>4</v>
      </c>
      <c r="D8" s="283">
        <f t="shared" ref="D8:H13" si="0">SUMIFS(D$32:D$71,$B$32:$B$71,$B8)</f>
        <v>110741.69655913977</v>
      </c>
      <c r="E8" s="283">
        <f t="shared" si="0"/>
        <v>1631466.9598382837</v>
      </c>
      <c r="F8" s="283">
        <f t="shared" si="0"/>
        <v>176071.75485958633</v>
      </c>
      <c r="G8" s="283">
        <f t="shared" ca="1" si="0"/>
        <v>192165.62234420583</v>
      </c>
      <c r="H8" s="283">
        <f t="shared" ca="1" si="0"/>
        <v>16093.867484619492</v>
      </c>
      <c r="I8" s="464">
        <f t="shared" ref="I8:I25" ca="1" si="1">IFERROR(H8/F8*100,0)</f>
        <v>9.14051631816473</v>
      </c>
      <c r="J8" s="283">
        <f t="shared" ref="J8:L13" ca="1" si="2">SUMIFS(J$32:J$71,$B$32:$B$71,$B8)</f>
        <v>192165.62234420583</v>
      </c>
      <c r="K8" s="283">
        <f t="shared" ca="1" si="2"/>
        <v>204578.71140072282</v>
      </c>
      <c r="L8" s="283">
        <f t="shared" ca="1" si="2"/>
        <v>12413.089056516998</v>
      </c>
      <c r="M8" s="464">
        <f ca="1">IFERROR(L8/J8*100,0)</f>
        <v>6.4595784121484288</v>
      </c>
      <c r="N8" s="283">
        <f t="shared" ref="N8:N13" ca="1" si="3">SUMIFS(N$32:N$71,$B$32:$B$71,$B8)</f>
        <v>28506.956541136489</v>
      </c>
      <c r="O8" s="464">
        <f ca="1">IFERROR(N8/F8*100,0)</f>
        <v>16.190533549160232</v>
      </c>
      <c r="P8" s="582"/>
      <c r="Q8" s="590">
        <v>0.71</v>
      </c>
      <c r="R8" s="590">
        <v>0.69499999999999995</v>
      </c>
      <c r="S8" s="558"/>
      <c r="T8" s="567" t="s">
        <v>590</v>
      </c>
      <c r="U8" s="277" t="s">
        <v>4</v>
      </c>
      <c r="V8" s="570">
        <f t="shared" ref="V8:V13" ca="1" si="4">AB8/F8-1</f>
        <v>0.15460765194140036</v>
      </c>
      <c r="W8" s="570">
        <f t="shared" ref="W8:W13" si="5">F8/AA8</f>
        <v>0.98849425478220143</v>
      </c>
      <c r="X8" s="570">
        <f ca="1">O8/100</f>
        <v>0.16190533549160233</v>
      </c>
      <c r="Y8" s="570">
        <f t="shared" ref="Y8:Y13" ca="1" si="6">K8/AB8</f>
        <v>1.0063204877760261</v>
      </c>
      <c r="AA8" s="588">
        <f>'Cost of Service and Proposed $'!D128/Q28</f>
        <v>178121.17167881859</v>
      </c>
      <c r="AB8" s="588">
        <f ca="1">'Cost of Service and Proposed $'!U128/Q28</f>
        <v>203293.79545162883</v>
      </c>
    </row>
    <row r="9" spans="1:28" s="450" customFormat="1" ht="15.75" customHeight="1">
      <c r="A9" s="554"/>
      <c r="B9" s="294" t="s">
        <v>229</v>
      </c>
      <c r="C9" s="462" t="s">
        <v>559</v>
      </c>
      <c r="D9" s="283">
        <f t="shared" si="0"/>
        <v>20813.865258751903</v>
      </c>
      <c r="E9" s="283">
        <f t="shared" si="0"/>
        <v>547764.80929518421</v>
      </c>
      <c r="F9" s="283">
        <f t="shared" si="0"/>
        <v>58004.210238475229</v>
      </c>
      <c r="G9" s="283">
        <f t="shared" ca="1" si="0"/>
        <v>58003.383459654644</v>
      </c>
      <c r="H9" s="283">
        <f t="shared" ca="1" si="0"/>
        <v>-0.82677882058715113</v>
      </c>
      <c r="I9" s="464">
        <f t="shared" ca="1" si="1"/>
        <v>-1.4253772565611695E-3</v>
      </c>
      <c r="J9" s="283">
        <f t="shared" ca="1" si="2"/>
        <v>58003.383459654644</v>
      </c>
      <c r="K9" s="283">
        <f t="shared" ca="1" si="2"/>
        <v>61756.993368068317</v>
      </c>
      <c r="L9" s="283">
        <f t="shared" ca="1" si="2"/>
        <v>3753.6099084136777</v>
      </c>
      <c r="M9" s="464">
        <f t="shared" ref="M9:M25" ca="1" si="7">IFERROR(L9/J9*100,0)</f>
        <v>6.4713637110920814</v>
      </c>
      <c r="N9" s="283">
        <f t="shared" ca="1" si="3"/>
        <v>3752.7831295930905</v>
      </c>
      <c r="O9" s="464">
        <f t="shared" ref="O9:O25" ca="1" si="8">IFERROR(N9/F9*100,0)</f>
        <v>6.4698460924889938</v>
      </c>
      <c r="P9" s="582"/>
      <c r="Q9" s="590">
        <v>0.17599999999999999</v>
      </c>
      <c r="R9" s="590">
        <v>0.17499999999999999</v>
      </c>
      <c r="S9" s="558"/>
      <c r="T9" s="568" t="s">
        <v>592</v>
      </c>
      <c r="U9" s="284" t="s">
        <v>559</v>
      </c>
      <c r="V9" s="571">
        <f t="shared" ca="1" si="4"/>
        <v>6.2799183617871179E-2</v>
      </c>
      <c r="W9" s="571">
        <f t="shared" si="5"/>
        <v>1.0695771459011936</v>
      </c>
      <c r="X9" s="571">
        <f t="shared" ref="X9:X13" ca="1" si="9">O9/100</f>
        <v>6.4698460924889942E-2</v>
      </c>
      <c r="Y9" s="571">
        <f t="shared" ca="1" si="6"/>
        <v>1.0017870519062251</v>
      </c>
      <c r="AA9" s="589">
        <f>'Cost of Service and Proposed $'!E128/Q28</f>
        <v>54230.973857993784</v>
      </c>
      <c r="AB9" s="589">
        <f ca="1">'Cost of Service and Proposed $'!V128/Q28</f>
        <v>61646.827287850836</v>
      </c>
    </row>
    <row r="10" spans="1:28" s="450" customFormat="1" ht="15.75" customHeight="1">
      <c r="A10" s="554"/>
      <c r="B10" s="294" t="s">
        <v>279</v>
      </c>
      <c r="C10" s="462" t="s">
        <v>550</v>
      </c>
      <c r="D10" s="283">
        <f t="shared" si="0"/>
        <v>1070.5694444444446</v>
      </c>
      <c r="E10" s="283">
        <f t="shared" si="0"/>
        <v>932596.84183813736</v>
      </c>
      <c r="F10" s="283">
        <f t="shared" si="0"/>
        <v>84757.248952502094</v>
      </c>
      <c r="G10" s="283">
        <f t="shared" ca="1" si="0"/>
        <v>87564.634760351881</v>
      </c>
      <c r="H10" s="283">
        <f t="shared" ca="1" si="0"/>
        <v>2807.3858078497965</v>
      </c>
      <c r="I10" s="464">
        <f t="shared" ca="1" si="1"/>
        <v>3.3122663165047439</v>
      </c>
      <c r="J10" s="283">
        <f t="shared" ca="1" si="2"/>
        <v>87564.634760351881</v>
      </c>
      <c r="K10" s="283">
        <f t="shared" ca="1" si="2"/>
        <v>93219.762282029173</v>
      </c>
      <c r="L10" s="283">
        <f t="shared" ca="1" si="2"/>
        <v>5655.1275216772819</v>
      </c>
      <c r="M10" s="464">
        <f t="shared" ca="1" si="7"/>
        <v>6.4582322956685809</v>
      </c>
      <c r="N10" s="283">
        <f t="shared" ca="1" si="3"/>
        <v>8462.5133295270789</v>
      </c>
      <c r="O10" s="464">
        <f t="shared" ca="1" si="8"/>
        <v>9.984412465144386</v>
      </c>
      <c r="P10" s="582"/>
      <c r="Q10" s="590">
        <v>1.121</v>
      </c>
      <c r="R10" s="590">
        <v>1.1000000000000001</v>
      </c>
      <c r="S10" s="558"/>
      <c r="T10" s="568" t="s">
        <v>593</v>
      </c>
      <c r="U10" s="284" t="s">
        <v>550</v>
      </c>
      <c r="V10" s="571">
        <f t="shared" ca="1" si="4"/>
        <v>8.8049766545501784E-2</v>
      </c>
      <c r="W10" s="571">
        <f t="shared" si="5"/>
        <v>1.0372530938898774</v>
      </c>
      <c r="X10" s="571">
        <f t="shared" ca="1" si="9"/>
        <v>9.9844124651443864E-2</v>
      </c>
      <c r="Y10" s="571">
        <f t="shared" ca="1" si="6"/>
        <v>1.0108399068393614</v>
      </c>
      <c r="AA10" s="589">
        <f>'Cost of Service and Proposed $'!F128/Q28</f>
        <v>81713.180179244242</v>
      </c>
      <c r="AB10" s="589">
        <f ca="1">'Cost of Service and Proposed $'!W128/Q28</f>
        <v>92220.104935808879</v>
      </c>
    </row>
    <row r="11" spans="1:28" s="450" customFormat="1" ht="15.75" customHeight="1">
      <c r="A11" s="554"/>
      <c r="B11" s="294" t="s">
        <v>587</v>
      </c>
      <c r="C11" s="462" t="s">
        <v>560</v>
      </c>
      <c r="D11" s="283">
        <f t="shared" si="0"/>
        <v>67.444444444444443</v>
      </c>
      <c r="E11" s="283">
        <f t="shared" si="0"/>
        <v>378385.79511939187</v>
      </c>
      <c r="F11" s="283">
        <f t="shared" si="0"/>
        <v>32092.43848177883</v>
      </c>
      <c r="G11" s="283">
        <f t="shared" ca="1" si="0"/>
        <v>35024.097643994639</v>
      </c>
      <c r="H11" s="283">
        <f t="shared" ca="1" si="0"/>
        <v>2931.6591622158139</v>
      </c>
      <c r="I11" s="464">
        <f t="shared" ca="1" si="1"/>
        <v>9.1350464498991748</v>
      </c>
      <c r="J11" s="283">
        <f t="shared" ca="1" si="2"/>
        <v>35024.097643994639</v>
      </c>
      <c r="K11" s="283">
        <f t="shared" ca="1" si="2"/>
        <v>37302.470271306724</v>
      </c>
      <c r="L11" s="283">
        <f t="shared" ca="1" si="2"/>
        <v>2278.3726273120774</v>
      </c>
      <c r="M11" s="464">
        <f t="shared" ca="1" si="7"/>
        <v>6.505157250504455</v>
      </c>
      <c r="N11" s="283">
        <f t="shared" ca="1" si="3"/>
        <v>5210.0317895278913</v>
      </c>
      <c r="O11" s="464">
        <f t="shared" ca="1" si="8"/>
        <v>16.234452836876194</v>
      </c>
      <c r="P11" s="582"/>
      <c r="Q11" s="590">
        <v>0.71499999999999997</v>
      </c>
      <c r="R11" s="590">
        <v>0.7</v>
      </c>
      <c r="S11" s="558"/>
      <c r="T11" s="568" t="s">
        <v>594</v>
      </c>
      <c r="U11" s="284" t="s">
        <v>560</v>
      </c>
      <c r="V11" s="571">
        <f t="shared" ca="1" si="4"/>
        <v>0.15414174060653685</v>
      </c>
      <c r="W11" s="571">
        <f t="shared" si="5"/>
        <v>0.97768822689959201</v>
      </c>
      <c r="X11" s="571">
        <f t="shared" ca="1" si="9"/>
        <v>0.16234452836876195</v>
      </c>
      <c r="Y11" s="571">
        <f t="shared" ca="1" si="6"/>
        <v>1.0071072620230461</v>
      </c>
      <c r="AA11" s="589">
        <f>('Cost of Service and Proposed $'!G128+'Cost of Service and Proposed $'!K128)/Q28</f>
        <v>32824.818381570534</v>
      </c>
      <c r="AB11" s="589">
        <f ca="1">('Cost of Service and Proposed $'!X128+'Cost of Service and Proposed $'!AB128)/Q28</f>
        <v>37039.222809668427</v>
      </c>
    </row>
    <row r="12" spans="1:28" s="450" customFormat="1" ht="15.75" customHeight="1">
      <c r="A12" s="554"/>
      <c r="B12" s="294" t="s">
        <v>287</v>
      </c>
      <c r="C12" s="294" t="s">
        <v>563</v>
      </c>
      <c r="D12" s="283">
        <f t="shared" si="0"/>
        <v>1</v>
      </c>
      <c r="E12" s="283">
        <f t="shared" si="0"/>
        <v>544168.56528857455</v>
      </c>
      <c r="F12" s="283">
        <f t="shared" si="0"/>
        <v>38671.30532491656</v>
      </c>
      <c r="G12" s="283">
        <f t="shared" ca="1" si="0"/>
        <v>42204.374281160875</v>
      </c>
      <c r="H12" s="283">
        <f t="shared" ca="1" si="0"/>
        <v>3533.0689562443149</v>
      </c>
      <c r="I12" s="464">
        <f t="shared" ca="1" si="1"/>
        <v>9.1361512795067217</v>
      </c>
      <c r="J12" s="283">
        <f t="shared" ca="1" si="2"/>
        <v>42204.374281160875</v>
      </c>
      <c r="K12" s="283">
        <f t="shared" ca="1" si="2"/>
        <v>44955.767521329479</v>
      </c>
      <c r="L12" s="283">
        <f t="shared" ca="1" si="2"/>
        <v>2751.3932401686034</v>
      </c>
      <c r="M12" s="464">
        <f t="shared" ca="1" si="7"/>
        <v>6.5192134394390626</v>
      </c>
      <c r="N12" s="283">
        <f t="shared" ca="1" si="3"/>
        <v>6284.4621964129183</v>
      </c>
      <c r="O12" s="464">
        <f t="shared" ca="1" si="8"/>
        <v>16.25096992100687</v>
      </c>
      <c r="P12" s="582"/>
      <c r="Q12" s="590">
        <v>-4.3</v>
      </c>
      <c r="R12" s="590">
        <v>-4.24</v>
      </c>
      <c r="S12" s="558"/>
      <c r="T12" s="568" t="s">
        <v>597</v>
      </c>
      <c r="U12" s="284" t="s">
        <v>560</v>
      </c>
      <c r="V12" s="571">
        <f t="shared" ca="1" si="4"/>
        <v>0.21328171271742558</v>
      </c>
      <c r="W12" s="571">
        <f t="shared" si="5"/>
        <v>0.92500610347214951</v>
      </c>
      <c r="X12" s="571">
        <f t="shared" ca="1" si="9"/>
        <v>0.16250969921006869</v>
      </c>
      <c r="Y12" s="571">
        <f t="shared" ca="1" si="6"/>
        <v>0.95815315357087083</v>
      </c>
      <c r="AA12" s="589">
        <f>'Cost of Service and Proposed $'!H128/Q28</f>
        <v>41806.540713361785</v>
      </c>
      <c r="AB12" s="589">
        <f ca="1">'Cost of Service and Proposed $'!Y128/Q28</f>
        <v>46919.187557633268</v>
      </c>
    </row>
    <row r="13" spans="1:28" s="450" customFormat="1" ht="15.75" customHeight="1">
      <c r="A13" s="554"/>
      <c r="B13" s="294" t="s">
        <v>152</v>
      </c>
      <c r="C13" s="294" t="s">
        <v>556</v>
      </c>
      <c r="D13" s="283">
        <f t="shared" si="0"/>
        <v>5140.8634747118504</v>
      </c>
      <c r="E13" s="283">
        <f t="shared" si="0"/>
        <v>152841.48716573825</v>
      </c>
      <c r="F13" s="283">
        <f t="shared" si="0"/>
        <v>14475.016400296861</v>
      </c>
      <c r="G13" s="283">
        <f t="shared" ca="1" si="0"/>
        <v>15792.075428738721</v>
      </c>
      <c r="H13" s="283">
        <f t="shared" ca="1" si="0"/>
        <v>1317.0590284418595</v>
      </c>
      <c r="I13" s="464">
        <f t="shared" ca="1" si="1"/>
        <v>9.0988430825877931</v>
      </c>
      <c r="J13" s="283">
        <f t="shared" ca="1" si="2"/>
        <v>15792.075428738721</v>
      </c>
      <c r="K13" s="283">
        <f t="shared" ca="1" si="2"/>
        <v>16824.662649711008</v>
      </c>
      <c r="L13" s="283">
        <f t="shared" ca="1" si="2"/>
        <v>1032.5872209722875</v>
      </c>
      <c r="M13" s="464">
        <f t="shared" ca="1" si="7"/>
        <v>6.538641647399718</v>
      </c>
      <c r="N13" s="283">
        <f t="shared" ca="1" si="3"/>
        <v>2349.646249414147</v>
      </c>
      <c r="O13" s="464">
        <f t="shared" ca="1" si="8"/>
        <v>16.232425473217145</v>
      </c>
      <c r="P13" s="582"/>
      <c r="Q13" s="590">
        <v>-3.46</v>
      </c>
      <c r="R13" s="590">
        <v>-3.43</v>
      </c>
      <c r="S13" s="558"/>
      <c r="T13" s="568" t="s">
        <v>595</v>
      </c>
      <c r="U13" s="284" t="s">
        <v>556</v>
      </c>
      <c r="V13" s="571">
        <f t="shared" ca="1" si="4"/>
        <v>0.20780389613458694</v>
      </c>
      <c r="W13" s="571">
        <f t="shared" si="5"/>
        <v>0.94366250110390337</v>
      </c>
      <c r="X13" s="571">
        <f t="shared" ca="1" si="9"/>
        <v>0.16232425473217144</v>
      </c>
      <c r="Y13" s="571">
        <f t="shared" ca="1" si="6"/>
        <v>0.96234517743487424</v>
      </c>
      <c r="AA13" s="589">
        <f>'Cost of Service and Proposed $'!I128/Q28</f>
        <v>15339.187880586418</v>
      </c>
      <c r="AB13" s="589">
        <f ca="1">'Cost of Service and Proposed $'!Z128/Q28</f>
        <v>17482.981204890591</v>
      </c>
    </row>
    <row r="14" spans="1:28" ht="15.75" customHeight="1">
      <c r="A14" s="554"/>
      <c r="B14" s="294"/>
      <c r="C14" s="462"/>
      <c r="D14" s="283"/>
      <c r="E14" s="283"/>
      <c r="F14" s="283"/>
      <c r="G14" s="283"/>
      <c r="H14" s="283"/>
      <c r="I14" s="464"/>
      <c r="J14" s="283"/>
      <c r="K14" s="283"/>
      <c r="L14" s="283"/>
      <c r="M14" s="464"/>
      <c r="N14" s="283"/>
      <c r="O14" s="464"/>
      <c r="P14" s="582"/>
      <c r="Q14" s="590"/>
      <c r="R14" s="590"/>
      <c r="S14" s="558"/>
      <c r="T14" s="569" t="s">
        <v>591</v>
      </c>
      <c r="U14" s="275" t="s">
        <v>167</v>
      </c>
      <c r="V14" s="572">
        <f ca="1">AB14/F19-1</f>
        <v>0.20354268039106094</v>
      </c>
      <c r="W14" s="572">
        <f>F19/AA14</f>
        <v>0.96095934896191548</v>
      </c>
      <c r="X14" s="572">
        <f ca="1">O19/100</f>
        <v>0.1622348183801125</v>
      </c>
      <c r="Y14" s="572">
        <f ca="1">K19/AB14</f>
        <v>0.96567810790264086</v>
      </c>
      <c r="AA14" s="287">
        <f>'Cost of Service and Proposed $'!J128/Q28</f>
        <v>924.71834957492604</v>
      </c>
      <c r="AB14" s="287">
        <f ca="1">'Cost of Service and Proposed $'!AA128/Q28</f>
        <v>1069.4881769280239</v>
      </c>
    </row>
    <row r="15" spans="1:28" ht="15.75" customHeight="1">
      <c r="A15" s="554"/>
      <c r="B15" s="294" t="s">
        <v>169</v>
      </c>
      <c r="C15" s="462" t="s">
        <v>551</v>
      </c>
      <c r="D15" s="283">
        <f t="shared" ref="D15:H18" si="10">SUMIFS(D$32:D$71,$B$32:$B$71,$B15)</f>
        <v>2208.4166666666665</v>
      </c>
      <c r="E15" s="283">
        <f t="shared" si="10"/>
        <v>2856.7467026120999</v>
      </c>
      <c r="F15" s="283">
        <f t="shared" si="10"/>
        <v>295.39940153675803</v>
      </c>
      <c r="G15" s="283">
        <f t="shared" ca="1" si="10"/>
        <v>320.7281493408247</v>
      </c>
      <c r="H15" s="283">
        <f t="shared" ca="1" si="10"/>
        <v>25.328747804066612</v>
      </c>
      <c r="I15" s="464">
        <f t="shared" ca="1" si="1"/>
        <v>8.5744072846115191</v>
      </c>
      <c r="J15" s="283">
        <f t="shared" ref="J15:L18" ca="1" si="11">SUMIFS(J$32:J$71,$B$32:$B$71,$B15)</f>
        <v>320.7281493408247</v>
      </c>
      <c r="K15" s="283">
        <f t="shared" ca="1" si="11"/>
        <v>340.6657360095395</v>
      </c>
      <c r="L15" s="283">
        <f t="shared" ca="1" si="11"/>
        <v>19.937586668714857</v>
      </c>
      <c r="M15" s="464">
        <f t="shared" ca="1" si="7"/>
        <v>6.2163507349421954</v>
      </c>
      <c r="N15" s="283">
        <f ca="1">SUMIFS(N$32:N$71,$B$32:$B$71,$B15)</f>
        <v>45.266334472781473</v>
      </c>
      <c r="O15" s="464">
        <f t="shared" ca="1" si="8"/>
        <v>15.323773249807601</v>
      </c>
      <c r="P15" s="582"/>
      <c r="Q15" s="590"/>
      <c r="R15" s="590"/>
      <c r="S15" s="558"/>
      <c r="T15" s="292" t="s">
        <v>195</v>
      </c>
      <c r="U15" s="566"/>
      <c r="V15" s="573">
        <f ca="1">AB15/F25-1</f>
        <v>0.13508081928859017</v>
      </c>
      <c r="W15" s="573">
        <f>F25/AA15</f>
        <v>0.99999999990021893</v>
      </c>
      <c r="X15" s="573">
        <f ca="1">O25/100</f>
        <v>0.13507968698096517</v>
      </c>
      <c r="Y15" s="573">
        <f ca="1">K25/AB15</f>
        <v>0.99999900244316897</v>
      </c>
      <c r="AA15" s="287">
        <f>SUM(AA8:AA14)+SUM(F21:F23)</f>
        <v>405024.3159411503</v>
      </c>
      <c r="AB15" s="287">
        <f ca="1">SUM(AB8:AB14)+SUM(K21:K23)</f>
        <v>459735.33232440881</v>
      </c>
    </row>
    <row r="16" spans="1:28" ht="15.75" customHeight="1">
      <c r="A16" s="554"/>
      <c r="B16" s="294" t="s">
        <v>170</v>
      </c>
      <c r="C16" s="294" t="s">
        <v>552</v>
      </c>
      <c r="D16" s="283">
        <f t="shared" si="10"/>
        <v>225.91666666666666</v>
      </c>
      <c r="E16" s="283">
        <f t="shared" si="10"/>
        <v>1820.2173769310609</v>
      </c>
      <c r="F16" s="283">
        <f t="shared" si="10"/>
        <v>464.27096133082063</v>
      </c>
      <c r="G16" s="283">
        <f t="shared" ca="1" si="10"/>
        <v>507.76501687532857</v>
      </c>
      <c r="H16" s="283">
        <f t="shared" ca="1" si="10"/>
        <v>43.494055544507944</v>
      </c>
      <c r="I16" s="464">
        <f t="shared" ca="1" si="1"/>
        <v>9.3682481066300944</v>
      </c>
      <c r="J16" s="283">
        <f t="shared" ca="1" si="11"/>
        <v>507.76501687532857</v>
      </c>
      <c r="K16" s="283">
        <f t="shared" ca="1" si="11"/>
        <v>541.85525418708471</v>
      </c>
      <c r="L16" s="283">
        <f t="shared" ca="1" si="11"/>
        <v>34.090237311756141</v>
      </c>
      <c r="M16" s="464">
        <f t="shared" ca="1" si="7"/>
        <v>6.7137821982183361</v>
      </c>
      <c r="N16" s="283">
        <f ca="1">SUMIFS(N$32:N$71,$B$32:$B$71,$B16)</f>
        <v>77.584292856264085</v>
      </c>
      <c r="O16" s="464">
        <f t="shared" ca="1" si="8"/>
        <v>16.71099407851629</v>
      </c>
      <c r="P16" s="582"/>
      <c r="Q16" s="590"/>
      <c r="R16" s="590"/>
      <c r="S16" s="558"/>
      <c r="T16" s="460" t="s">
        <v>596</v>
      </c>
    </row>
    <row r="17" spans="1:23" ht="15.75" customHeight="1">
      <c r="A17" s="554"/>
      <c r="B17" s="294" t="s">
        <v>227</v>
      </c>
      <c r="C17" s="294" t="s">
        <v>554</v>
      </c>
      <c r="D17" s="283">
        <f t="shared" si="10"/>
        <v>232.58333333333334</v>
      </c>
      <c r="E17" s="283">
        <f t="shared" si="10"/>
        <v>1961.4729048762861</v>
      </c>
      <c r="F17" s="283">
        <f t="shared" si="10"/>
        <v>107.67492750922015</v>
      </c>
      <c r="G17" s="283">
        <f t="shared" ca="1" si="10"/>
        <v>117.81199478189542</v>
      </c>
      <c r="H17" s="283">
        <f t="shared" ca="1" si="10"/>
        <v>10.137067272675267</v>
      </c>
      <c r="I17" s="464">
        <f t="shared" ca="1" si="1"/>
        <v>9.4145104224075133</v>
      </c>
      <c r="J17" s="283">
        <f t="shared" ca="1" si="11"/>
        <v>117.81199478189542</v>
      </c>
      <c r="K17" s="283">
        <f t="shared" ca="1" si="11"/>
        <v>125.71045969852156</v>
      </c>
      <c r="L17" s="283">
        <f t="shared" ca="1" si="11"/>
        <v>7.8984649166261391</v>
      </c>
      <c r="M17" s="464">
        <f t="shared" ca="1" si="7"/>
        <v>6.7042960534269156</v>
      </c>
      <c r="N17" s="283">
        <f ca="1">SUMIFS(N$32:N$71,$B$32:$B$71,$B17)</f>
        <v>18.035532189301406</v>
      </c>
      <c r="O17" s="464">
        <f t="shared" ca="1" si="8"/>
        <v>16.749983126533362</v>
      </c>
      <c r="P17" s="582"/>
      <c r="Q17" s="590"/>
      <c r="R17" s="590"/>
      <c r="S17" s="558"/>
      <c r="T17" s="460"/>
    </row>
    <row r="18" spans="1:23" ht="15.75" customHeight="1">
      <c r="A18" s="554"/>
      <c r="B18" s="298" t="s">
        <v>171</v>
      </c>
      <c r="C18" s="298" t="s">
        <v>561</v>
      </c>
      <c r="D18" s="283">
        <f t="shared" si="10"/>
        <v>25.575035561877666</v>
      </c>
      <c r="E18" s="283">
        <f t="shared" si="10"/>
        <v>314.48340809632003</v>
      </c>
      <c r="F18" s="283">
        <f t="shared" si="10"/>
        <v>21.271452803859034</v>
      </c>
      <c r="G18" s="283">
        <f t="shared" ca="1" si="10"/>
        <v>23.11237203906807</v>
      </c>
      <c r="H18" s="283">
        <f t="shared" ca="1" si="10"/>
        <v>1.8409192352090358</v>
      </c>
      <c r="I18" s="464">
        <f t="shared" ca="1" si="1"/>
        <v>8.6544123346152411</v>
      </c>
      <c r="J18" s="283">
        <f t="shared" ca="1" si="11"/>
        <v>23.11237203906807</v>
      </c>
      <c r="K18" s="283">
        <f t="shared" ca="1" si="11"/>
        <v>24.54986922495317</v>
      </c>
      <c r="L18" s="283">
        <f t="shared" ca="1" si="11"/>
        <v>1.4374971858850998</v>
      </c>
      <c r="M18" s="464">
        <f t="shared" ca="1" si="7"/>
        <v>6.2196004090589314</v>
      </c>
      <c r="N18" s="283">
        <f ca="1">SUMIFS(N$32:N$71,$B$32:$B$71,$B18)</f>
        <v>3.2784164210941356</v>
      </c>
      <c r="O18" s="464">
        <f t="shared" ca="1" si="8"/>
        <v>15.412282608639549</v>
      </c>
      <c r="P18" s="582"/>
      <c r="Q18" s="590"/>
      <c r="R18" s="590"/>
      <c r="S18" s="558"/>
      <c r="T18" s="460"/>
    </row>
    <row r="19" spans="1:23" ht="15.75" customHeight="1">
      <c r="A19" s="554"/>
      <c r="B19" s="414" t="s">
        <v>331</v>
      </c>
      <c r="C19" s="466" t="s">
        <v>555</v>
      </c>
      <c r="D19" s="206">
        <f>D15+D16+D17+D18</f>
        <v>2692.491702228544</v>
      </c>
      <c r="E19" s="206">
        <f t="shared" ref="E19:N19" si="12">E15+E16+E17+E18</f>
        <v>6952.9203925157663</v>
      </c>
      <c r="F19" s="332">
        <f t="shared" si="12"/>
        <v>888.61674318065786</v>
      </c>
      <c r="G19" s="332">
        <f t="shared" ca="1" si="12"/>
        <v>969.41753303711675</v>
      </c>
      <c r="H19" s="332">
        <f t="shared" ca="1" si="12"/>
        <v>80.800789856458863</v>
      </c>
      <c r="I19" s="501">
        <f t="shared" ca="1" si="1"/>
        <v>9.0928727684384718</v>
      </c>
      <c r="J19" s="332">
        <f t="shared" ca="1" si="12"/>
        <v>969.41753303711675</v>
      </c>
      <c r="K19" s="332">
        <f t="shared" ca="1" si="12"/>
        <v>1032.7813191200989</v>
      </c>
      <c r="L19" s="332">
        <f t="shared" ca="1" si="12"/>
        <v>63.363786082982237</v>
      </c>
      <c r="M19" s="501">
        <f t="shared" ca="1" si="7"/>
        <v>6.5362739917100496</v>
      </c>
      <c r="N19" s="332">
        <f t="shared" ca="1" si="12"/>
        <v>144.16457593944111</v>
      </c>
      <c r="O19" s="501">
        <f t="shared" ca="1" si="8"/>
        <v>16.223481838011249</v>
      </c>
      <c r="P19" s="583"/>
      <c r="Q19" s="591">
        <v>-3.35</v>
      </c>
      <c r="R19" s="591">
        <v>-3.34</v>
      </c>
      <c r="S19" s="558"/>
    </row>
    <row r="20" spans="1:23" ht="15.75" customHeight="1">
      <c r="A20" s="460"/>
      <c r="B20" s="323"/>
      <c r="C20" s="460"/>
      <c r="D20" s="283"/>
      <c r="E20" s="283"/>
      <c r="F20" s="136"/>
      <c r="G20" s="136"/>
      <c r="H20" s="136"/>
      <c r="I20" s="499"/>
      <c r="J20" s="136"/>
      <c r="K20" s="136"/>
      <c r="L20" s="136"/>
      <c r="M20" s="499"/>
      <c r="N20" s="136"/>
      <c r="O20" s="499"/>
      <c r="P20" s="583"/>
    </row>
    <row r="21" spans="1:23" ht="15.75" customHeight="1">
      <c r="A21" s="460"/>
      <c r="B21" s="97" t="s">
        <v>558</v>
      </c>
      <c r="C21" s="87" t="s">
        <v>369</v>
      </c>
      <c r="D21" s="283">
        <f t="shared" ref="D21:H23" si="13">SUMIFS(D$32:D$71,$C$32:$C$71,$C21)</f>
        <v>0</v>
      </c>
      <c r="E21" s="283">
        <f t="shared" si="13"/>
        <v>0</v>
      </c>
      <c r="F21" s="283">
        <f t="shared" si="13"/>
        <v>-294.83800000000002</v>
      </c>
      <c r="G21" s="283">
        <f t="shared" si="13"/>
        <v>-294.83800000000002</v>
      </c>
      <c r="H21" s="283">
        <f t="shared" si="13"/>
        <v>0</v>
      </c>
      <c r="I21" s="464">
        <f t="shared" si="1"/>
        <v>0</v>
      </c>
      <c r="J21" s="283">
        <f t="shared" ref="J21:L23" si="14">SUMIFS(J$32:J$71,$C$32:$C$71,$C21)</f>
        <v>-294.83800000000002</v>
      </c>
      <c r="K21" s="283">
        <f t="shared" si="14"/>
        <v>-294.83800000000002</v>
      </c>
      <c r="L21" s="283">
        <f t="shared" si="14"/>
        <v>0</v>
      </c>
      <c r="M21" s="464">
        <f t="shared" si="7"/>
        <v>0</v>
      </c>
      <c r="N21" s="283">
        <f>SUMIFS(N$32:N$71,$C$32:$C$71,$C21)</f>
        <v>0</v>
      </c>
      <c r="O21" s="464">
        <f t="shared" si="8"/>
        <v>0</v>
      </c>
      <c r="P21" s="582"/>
      <c r="Q21" s="621"/>
      <c r="V21" s="559"/>
      <c r="W21" s="560"/>
    </row>
    <row r="22" spans="1:23" ht="15.75" customHeight="1">
      <c r="A22" s="460"/>
      <c r="B22" s="97" t="s">
        <v>558</v>
      </c>
      <c r="C22" s="87" t="s">
        <v>370</v>
      </c>
      <c r="D22" s="283">
        <f t="shared" si="13"/>
        <v>0</v>
      </c>
      <c r="E22" s="283">
        <f t="shared" si="13"/>
        <v>0</v>
      </c>
      <c r="F22" s="283">
        <f t="shared" si="13"/>
        <v>-267.67099999999999</v>
      </c>
      <c r="G22" s="283">
        <f t="shared" si="13"/>
        <v>-267.67099999999999</v>
      </c>
      <c r="H22" s="283">
        <f t="shared" si="13"/>
        <v>0</v>
      </c>
      <c r="I22" s="464">
        <f t="shared" si="1"/>
        <v>0</v>
      </c>
      <c r="J22" s="283">
        <f t="shared" si="14"/>
        <v>-267.67099999999999</v>
      </c>
      <c r="K22" s="283">
        <f t="shared" si="14"/>
        <v>-267.67099999999999</v>
      </c>
      <c r="L22" s="283">
        <f t="shared" si="14"/>
        <v>0</v>
      </c>
      <c r="M22" s="464">
        <f t="shared" si="7"/>
        <v>0</v>
      </c>
      <c r="N22" s="283">
        <f>SUMIFS(N$32:N$71,$C$32:$C$71,$C22)</f>
        <v>0</v>
      </c>
      <c r="O22" s="464">
        <f t="shared" si="8"/>
        <v>0</v>
      </c>
      <c r="P22" s="582"/>
      <c r="Q22" s="562"/>
      <c r="V22" s="557"/>
      <c r="W22" s="450"/>
    </row>
    <row r="23" spans="1:23" ht="15.75" customHeight="1">
      <c r="A23" s="460"/>
      <c r="B23" s="97" t="s">
        <v>558</v>
      </c>
      <c r="C23" s="460" t="s">
        <v>352</v>
      </c>
      <c r="D23" s="283">
        <f t="shared" si="13"/>
        <v>0</v>
      </c>
      <c r="E23" s="283">
        <f t="shared" si="13"/>
        <v>0</v>
      </c>
      <c r="F23" s="283">
        <f t="shared" si="13"/>
        <v>626.23389999999995</v>
      </c>
      <c r="G23" s="283">
        <f t="shared" si="13"/>
        <v>626.23389999999995</v>
      </c>
      <c r="H23" s="283">
        <f t="shared" si="13"/>
        <v>0</v>
      </c>
      <c r="I23" s="464">
        <f t="shared" si="1"/>
        <v>0</v>
      </c>
      <c r="J23" s="283">
        <f t="shared" si="14"/>
        <v>626.23389999999995</v>
      </c>
      <c r="K23" s="283">
        <f t="shared" si="14"/>
        <v>626.23389999999995</v>
      </c>
      <c r="L23" s="283">
        <f t="shared" si="14"/>
        <v>0</v>
      </c>
      <c r="M23" s="464">
        <f t="shared" si="7"/>
        <v>0</v>
      </c>
      <c r="N23" s="283">
        <f>SUMIFS(N$32:N$71,$C$32:$C$71,$C23)</f>
        <v>0</v>
      </c>
      <c r="O23" s="464">
        <f t="shared" si="8"/>
        <v>0</v>
      </c>
      <c r="P23" s="582"/>
      <c r="Q23" s="592" t="s">
        <v>507</v>
      </c>
      <c r="R23" s="452"/>
      <c r="S23" s="562"/>
      <c r="V23" s="557"/>
      <c r="W23" s="450"/>
    </row>
    <row r="24" spans="1:23" ht="15.75" customHeight="1">
      <c r="A24" s="460"/>
      <c r="B24" s="298"/>
      <c r="C24" s="473"/>
      <c r="D24" s="287"/>
      <c r="E24" s="287"/>
      <c r="F24" s="137"/>
      <c r="G24" s="137"/>
      <c r="H24" s="137"/>
      <c r="I24" s="500"/>
      <c r="J24" s="137"/>
      <c r="K24" s="137"/>
      <c r="L24" s="137"/>
      <c r="M24" s="500"/>
      <c r="N24" s="137"/>
      <c r="O24" s="500"/>
      <c r="P24" s="583"/>
      <c r="Q24" s="593">
        <f>'Cost of Service and Proposed $'!T10/Q28</f>
        <v>26763.199116527856</v>
      </c>
      <c r="R24" s="206">
        <f>'Cost of Service and Proposed $'!AC10/Q28</f>
        <v>27947.817266730788</v>
      </c>
      <c r="S24" s="624" t="s">
        <v>619</v>
      </c>
      <c r="V24" s="557"/>
      <c r="W24" s="450"/>
    </row>
    <row r="25" spans="1:23" ht="15.75" customHeight="1">
      <c r="A25" s="460"/>
      <c r="B25" s="414" t="s">
        <v>195</v>
      </c>
      <c r="C25" s="474" t="s">
        <v>195</v>
      </c>
      <c r="D25" s="206">
        <f>SUMIFS(D$32:D$71,$B$32:$B$71,$B25)</f>
        <v>140527.93088372098</v>
      </c>
      <c r="E25" s="206">
        <f>SUMIFS(E$32:E$71,$B$32:$B$71,$B25)</f>
        <v>4194177.378937826</v>
      </c>
      <c r="F25" s="332">
        <f>SUMIFS(F$32:F$71,$B$32:$B$71,$B25)</f>
        <v>405024.31590073655</v>
      </c>
      <c r="G25" s="332">
        <f ca="1">SUMIFS(G$32:G$71,$B$32:$B$71,$B25)</f>
        <v>431787.33035114367</v>
      </c>
      <c r="H25" s="332">
        <f ca="1">SUMIFS(H$32:H$71,$B$32:$B$71,$B25)</f>
        <v>26763.014450407143</v>
      </c>
      <c r="I25" s="501">
        <f t="shared" ca="1" si="1"/>
        <v>6.6077549914228424</v>
      </c>
      <c r="J25" s="332">
        <f ca="1">SUMIFS(J$32:J$71,$B$32:$B$71,$B25)</f>
        <v>431787.33035114367</v>
      </c>
      <c r="K25" s="424">
        <f ca="1">SUMIFS(K$32:K$71,$B$32:$B$71,$B25)</f>
        <v>459734.87371228758</v>
      </c>
      <c r="L25" s="332">
        <f ca="1">SUMIFS(L$32:L$71,$B$32:$B$71,$B25)</f>
        <v>27947.543361143904</v>
      </c>
      <c r="M25" s="501">
        <f t="shared" ca="1" si="7"/>
        <v>6.4725251059163877</v>
      </c>
      <c r="N25" s="332">
        <f ca="1">SUMIFS(N$32:N$71,$B$32:$B$71,$B25)</f>
        <v>54710.557811551051</v>
      </c>
      <c r="O25" s="501">
        <f t="shared" ca="1" si="8"/>
        <v>13.507968698096517</v>
      </c>
      <c r="P25" s="583"/>
      <c r="Q25" s="593">
        <f ca="1">H25</f>
        <v>26763.014450407143</v>
      </c>
      <c r="R25" s="206">
        <f ca="1">L25</f>
        <v>27947.543361143904</v>
      </c>
      <c r="S25" s="624" t="s">
        <v>620</v>
      </c>
    </row>
    <row r="26" spans="1:23" ht="15.75" customHeight="1">
      <c r="A26" s="447" t="s">
        <v>564</v>
      </c>
      <c r="B26" s="484"/>
      <c r="C26" s="485"/>
      <c r="D26" s="356"/>
      <c r="E26" s="356"/>
      <c r="F26" s="376"/>
      <c r="G26" s="376"/>
      <c r="H26" s="376"/>
      <c r="I26" s="502"/>
      <c r="J26" s="376"/>
      <c r="K26" s="376"/>
      <c r="L26" s="376"/>
      <c r="M26" s="486"/>
      <c r="N26" s="356"/>
      <c r="O26" s="574"/>
      <c r="P26" s="582"/>
      <c r="Q26" s="593">
        <f ca="1">Q24-Q25</f>
        <v>0.18466612071279087</v>
      </c>
      <c r="R26" s="561">
        <f ca="1">R24-R25</f>
        <v>0.27390558688421152</v>
      </c>
      <c r="S26" s="624" t="s">
        <v>621</v>
      </c>
      <c r="V26" s="556"/>
    </row>
    <row r="27" spans="1:23" ht="15.75" customHeight="1">
      <c r="A27" s="457" t="s">
        <v>565</v>
      </c>
      <c r="B27" s="458"/>
      <c r="C27" s="458"/>
      <c r="D27" s="458"/>
      <c r="E27" s="458"/>
      <c r="F27" s="402"/>
      <c r="G27" s="402"/>
      <c r="H27" s="402"/>
      <c r="I27" s="402"/>
      <c r="J27" s="402"/>
      <c r="K27" s="402"/>
      <c r="L27" s="402"/>
      <c r="M27" s="451"/>
      <c r="N27" s="451"/>
      <c r="O27" s="575"/>
      <c r="P27" s="562"/>
      <c r="Q27" s="562"/>
      <c r="V27" s="556"/>
    </row>
    <row r="28" spans="1:23" ht="15.75" customHeight="1">
      <c r="A28" s="295"/>
      <c r="B28" s="480"/>
      <c r="C28" s="480"/>
      <c r="D28" s="487" t="s">
        <v>545</v>
      </c>
      <c r="E28" s="355"/>
      <c r="F28" s="338" t="str">
        <f>"Revenue ($"&amp;RIGHT(Q28,LEN(Q28)-1)&amp;")"</f>
        <v>Revenue ($000)</v>
      </c>
      <c r="G28" s="503"/>
      <c r="H28" s="503"/>
      <c r="I28" s="503"/>
      <c r="J28" s="503"/>
      <c r="K28" s="503"/>
      <c r="L28" s="503"/>
      <c r="M28" s="453"/>
      <c r="N28" s="453"/>
      <c r="O28" s="452"/>
      <c r="P28" s="562"/>
      <c r="Q28" s="581">
        <v>1000</v>
      </c>
      <c r="V28" s="556"/>
    </row>
    <row r="29" spans="1:23" ht="15.75" customHeight="1">
      <c r="A29" s="454"/>
      <c r="B29" s="483"/>
      <c r="C29" s="481"/>
      <c r="D29" s="354" t="s">
        <v>476</v>
      </c>
      <c r="E29" s="283"/>
      <c r="F29" s="496" t="s">
        <v>501</v>
      </c>
      <c r="G29" s="403"/>
      <c r="H29" s="403"/>
      <c r="I29" s="497"/>
      <c r="J29" s="496" t="s">
        <v>503</v>
      </c>
      <c r="K29" s="403"/>
      <c r="L29" s="403"/>
      <c r="M29" s="459"/>
      <c r="N29" s="457" t="s">
        <v>1</v>
      </c>
      <c r="O29" s="459"/>
      <c r="P29" s="562"/>
      <c r="Q29" s="562"/>
      <c r="V29" s="556"/>
    </row>
    <row r="30" spans="1:23" ht="15.75" customHeight="1">
      <c r="A30" s="454"/>
      <c r="B30" s="483"/>
      <c r="C30" s="481"/>
      <c r="D30" s="354" t="s">
        <v>454</v>
      </c>
      <c r="E30" s="488" t="s">
        <v>546</v>
      </c>
      <c r="F30" s="436"/>
      <c r="G30" s="498"/>
      <c r="H30" s="498"/>
      <c r="I30" s="498" t="s">
        <v>494</v>
      </c>
      <c r="J30" s="436"/>
      <c r="K30" s="498"/>
      <c r="L30" s="498"/>
      <c r="M30" s="477" t="s">
        <v>494</v>
      </c>
      <c r="N30" s="478"/>
      <c r="O30" s="477" t="s">
        <v>494</v>
      </c>
      <c r="P30" s="562"/>
    </row>
    <row r="31" spans="1:23" s="450" customFormat="1" ht="15.75" customHeight="1">
      <c r="A31" s="298" t="s">
        <v>153</v>
      </c>
      <c r="B31" s="482" t="s">
        <v>547</v>
      </c>
      <c r="C31" s="482" t="s">
        <v>548</v>
      </c>
      <c r="D31" s="276" t="s">
        <v>214</v>
      </c>
      <c r="E31" s="358" t="s">
        <v>549</v>
      </c>
      <c r="F31" s="299" t="s">
        <v>406</v>
      </c>
      <c r="G31" s="299" t="s">
        <v>412</v>
      </c>
      <c r="H31" s="299" t="s">
        <v>414</v>
      </c>
      <c r="I31" s="299" t="s">
        <v>414</v>
      </c>
      <c r="J31" s="299" t="s">
        <v>406</v>
      </c>
      <c r="K31" s="299" t="s">
        <v>412</v>
      </c>
      <c r="L31" s="299" t="s">
        <v>414</v>
      </c>
      <c r="M31" s="337" t="s">
        <v>414</v>
      </c>
      <c r="N31" s="337" t="s">
        <v>414</v>
      </c>
      <c r="O31" s="337" t="s">
        <v>414</v>
      </c>
      <c r="P31" s="563"/>
    </row>
    <row r="32" spans="1:23" s="450" customFormat="1" ht="15.75" customHeight="1">
      <c r="A32" s="462"/>
      <c r="B32" s="294"/>
      <c r="C32" s="294"/>
      <c r="D32" s="475"/>
      <c r="E32" s="469"/>
      <c r="F32" s="405"/>
      <c r="G32" s="405"/>
      <c r="H32" s="405"/>
      <c r="I32" s="405"/>
      <c r="J32" s="405"/>
      <c r="K32" s="405"/>
      <c r="L32" s="405"/>
      <c r="M32" s="470"/>
      <c r="N32" s="468"/>
      <c r="O32" s="468"/>
      <c r="P32" s="563"/>
    </row>
    <row r="33" spans="1:16" s="450" customFormat="1" ht="15.75" customHeight="1">
      <c r="A33" s="462" t="s">
        <v>4</v>
      </c>
      <c r="B33" s="294" t="s">
        <v>169</v>
      </c>
      <c r="C33" s="294" t="s">
        <v>551</v>
      </c>
      <c r="D33" s="291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83">
        <f>SUMIFS('Normalized Units'!I:I,'Normalized Units'!B:B,"Normalized Billing Units",'Normalized Units'!C:C,B33,'Normalized Units'!D:D,A33,'Normalized Units'!H:H,"kWh*")/$Q$28</f>
        <v>884.81882939996137</v>
      </c>
      <c r="F33" s="136">
        <f>SUMIFS('Sch.15,51,53,54'!$G:$G,'Sch.15,51,53,54'!$A:$A,F$75&amp;F$31,'Sch.15,51,53,54'!$B:$B,"$",'Sch.15,51,53,54'!$C:$C,$B33,'Sch.15,51,53,54'!$D:$D,$A33)/$Q$28</f>
        <v>108.03040631504476</v>
      </c>
      <c r="G33" s="136">
        <f ca="1">SUMIFS('Sch.15,51,53,54'!$G:$G,'Sch.15,51,53,54'!$A:$A,G$75&amp;G$31,'Sch.15,51,53,54'!$B:$B,"$",'Sch.15,51,53,54'!$C:$C,$B33,'Sch.15,51,53,54'!$D:$D,$A33)/$Q$28</f>
        <v>117.1692951616406</v>
      </c>
      <c r="H33" s="136">
        <f ca="1">G33-F33</f>
        <v>9.1388888465958473</v>
      </c>
      <c r="I33" s="499">
        <f ca="1">IFERROR(H33/F33*100,0)</f>
        <v>8.4595524152195356</v>
      </c>
      <c r="J33" s="136">
        <f ca="1">G33</f>
        <v>117.1692951616406</v>
      </c>
      <c r="K33" s="136">
        <f ca="1">SUMIFS('Sch.15,51,53,54'!$G:$G,'Sch.15,51,53,54'!$A:$A,K$75&amp;K$31,'Sch.15,51,53,54'!$B:$B,"$",'Sch.15,51,53,54'!$C:$C,$B33,'Sch.15,51,53,54'!$D:$D,$A33)/$Q$28</f>
        <v>124.37948460065493</v>
      </c>
      <c r="L33" s="136">
        <f ca="1">K33-J33</f>
        <v>7.2101894390143286</v>
      </c>
      <c r="M33" s="464">
        <f ca="1">IFERROR(L33/J33*100,0)</f>
        <v>6.1536509450428367</v>
      </c>
      <c r="N33" s="283">
        <f ca="1">K33-F33</f>
        <v>16.349078285610176</v>
      </c>
      <c r="O33" s="464">
        <f ca="1">IFERROR(N33/F33*100,0)</f>
        <v>15.133774687407925</v>
      </c>
      <c r="P33" s="582"/>
    </row>
    <row r="34" spans="1:16" s="450" customFormat="1" ht="15.75" customHeight="1">
      <c r="A34" s="462" t="s">
        <v>4</v>
      </c>
      <c r="B34" s="294" t="s">
        <v>422</v>
      </c>
      <c r="C34" s="294" t="s">
        <v>4</v>
      </c>
      <c r="D34" s="291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83">
        <f>SUMIFS('Normalized Units'!I:I,'Normalized Units'!B:B,"Normalized Billing Units",'Normalized Units'!C:C,B34,'Normalized Units'!D:D,A34,'Normalized Units'!H:H,"kWh*")/$Q$28</f>
        <v>1631466.9598382837</v>
      </c>
      <c r="F34" s="136">
        <f>SUMIFS('Sch.16,17,19'!$Q:$Q,'Sch.16,17,19'!$L:$L,F$75&amp;F$31,'Sch.16,17,19'!$M:$M,"$")/$Q$28</f>
        <v>176071.75485958633</v>
      </c>
      <c r="G34" s="136">
        <f ca="1">SUMIFS('Sch.16,17,19'!$Q:$Q,'Sch.16,17,19'!$L:$L,G$75&amp;G$31,'Sch.16,17,19'!$M:$M,"$")/$Q28</f>
        <v>192165.62234420583</v>
      </c>
      <c r="H34" s="136">
        <f t="shared" ref="H34:H39" ca="1" si="15">G34-F34</f>
        <v>16093.867484619492</v>
      </c>
      <c r="I34" s="499">
        <f t="shared" ref="I34:I39" ca="1" si="16">IFERROR(H34/F34*100,0)</f>
        <v>9.14051631816473</v>
      </c>
      <c r="J34" s="136">
        <f t="shared" ref="J34:J39" ca="1" si="17">G34</f>
        <v>192165.62234420583</v>
      </c>
      <c r="K34" s="136">
        <f ca="1">SUMIFS('Sch.16,17,19'!$Q:$Q,'Sch.16,17,19'!$L:$L,K$75&amp;K$31,'Sch.16,17,19'!$M:$M,"$")/$Q28</f>
        <v>204578.71140072282</v>
      </c>
      <c r="L34" s="136">
        <f t="shared" ref="L34:L39" ca="1" si="18">K34-J34</f>
        <v>12413.089056516998</v>
      </c>
      <c r="M34" s="464">
        <f t="shared" ref="M34:M39" ca="1" si="19">IFERROR(L34/J34*100,0)</f>
        <v>6.4595784121484288</v>
      </c>
      <c r="N34" s="283">
        <f t="shared" ref="N34:N39" ca="1" si="20">K34-F34</f>
        <v>28506.956541136489</v>
      </c>
      <c r="O34" s="464">
        <f t="shared" ref="O34:O73" ca="1" si="21">IFERROR(N34/F34*100,0)</f>
        <v>16.190533549160232</v>
      </c>
      <c r="P34" s="582"/>
    </row>
    <row r="35" spans="1:16" s="450" customFormat="1" ht="15.75" customHeight="1">
      <c r="A35" s="462" t="s">
        <v>4</v>
      </c>
      <c r="B35" s="294" t="s">
        <v>229</v>
      </c>
      <c r="C35" s="294" t="s">
        <v>559</v>
      </c>
      <c r="D35" s="291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83">
        <f>SUMIFS('Normalized Units'!I:I,'Normalized Units'!B:B,"Normalized Billing Units",'Normalized Units'!C:C,B35,'Normalized Units'!D:D,A35,'Normalized Units'!H:H,"kWh*")/$Q$28</f>
        <v>21789.340397497937</v>
      </c>
      <c r="F35" s="136">
        <f>SUMIFS(Sch.24!$S:$S,Sch.24!$N:$N,F$75&amp;F$31,Sch.24!$O:$O,"$",Sch.24!$P:$P,$A35)/$Q$28</f>
        <v>2884.7623063942024</v>
      </c>
      <c r="G35" s="136">
        <f ca="1">SUMIFS(Sch.24!$S:$S,Sch.24!$N:$N,G$75&amp;G$31,Sch.24!$O:$O,"$",Sch.24!$P:$P,$A35)/$Q28</f>
        <v>2876.8038836621522</v>
      </c>
      <c r="H35" s="136">
        <f t="shared" ca="1" si="15"/>
        <v>-7.9584227320501668</v>
      </c>
      <c r="I35" s="499">
        <f t="shared" ca="1" si="16"/>
        <v>-0.27587793678563999</v>
      </c>
      <c r="J35" s="136">
        <f t="shared" ca="1" si="17"/>
        <v>2876.8038836621522</v>
      </c>
      <c r="K35" s="136">
        <f ca="1">SUMIFS(Sch.24!$S:$S,Sch.24!$N:$N,K$75&amp;K$31,Sch.24!$O:$O,"$",Sch.24!$P:$P,$A35)/$Q28</f>
        <v>3056.3686278324112</v>
      </c>
      <c r="L35" s="136">
        <f t="shared" ca="1" si="18"/>
        <v>179.56474417025902</v>
      </c>
      <c r="M35" s="464">
        <f t="shared" ca="1" si="19"/>
        <v>6.2418138820667295</v>
      </c>
      <c r="N35" s="283">
        <f t="shared" ca="1" si="20"/>
        <v>171.60632143820885</v>
      </c>
      <c r="O35" s="464">
        <f t="shared" ca="1" si="21"/>
        <v>5.9487161579252446</v>
      </c>
      <c r="P35" s="582"/>
    </row>
    <row r="36" spans="1:16" s="450" customFormat="1" ht="15.75" customHeight="1">
      <c r="A36" s="462" t="s">
        <v>4</v>
      </c>
      <c r="B36" s="294" t="s">
        <v>279</v>
      </c>
      <c r="C36" s="294" t="s">
        <v>550</v>
      </c>
      <c r="D36" s="291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83">
        <f>SUMIFS('Normalized Units'!I:I,'Normalized Units'!B:B,"Normalized Billing Units",'Normalized Units'!C:C,B36,'Normalized Units'!D:D,A36,'Normalized Units'!H:H,"kWh*")/$Q$28</f>
        <v>2310.7143548278609</v>
      </c>
      <c r="F36" s="136">
        <f>SUMIFS('Sch.29,36'!$S:$S,'Sch.29,36'!$M:$M,F$75&amp;F$31,'Sch.29,36'!$N:$N,"$",'Sch.29,36'!$P:$P,$A36)/$Q$28</f>
        <v>212.47435128449121</v>
      </c>
      <c r="G36" s="136">
        <f ca="1">SUMIFS('Sch.29,36'!$S:$S,'Sch.29,36'!$M:$M,G$75&amp;G$31,'Sch.29,36'!$N:$N,"$",'Sch.29,36'!$P:$P,$A36)/$Q28</f>
        <v>216.5466808262199</v>
      </c>
      <c r="H36" s="136">
        <f t="shared" ca="1" si="15"/>
        <v>4.072329541728692</v>
      </c>
      <c r="I36" s="499">
        <f t="shared" ca="1" si="16"/>
        <v>1.9166217085073352</v>
      </c>
      <c r="J36" s="136">
        <f t="shared" ca="1" si="17"/>
        <v>216.5466808262199</v>
      </c>
      <c r="K36" s="136">
        <f ca="1">SUMIFS('Sch.29,36'!$S:$S,'Sch.29,36'!$M:$M,K$75&amp;K$31,'Sch.29,36'!$N:$N,"$",'Sch.29,36'!$P:$P,$A36)/$Q28</f>
        <v>229.93189159956975</v>
      </c>
      <c r="L36" s="136">
        <f t="shared" ca="1" si="18"/>
        <v>13.385210773349854</v>
      </c>
      <c r="M36" s="464">
        <f t="shared" ca="1" si="19"/>
        <v>6.1812126245848908</v>
      </c>
      <c r="N36" s="283">
        <f t="shared" ca="1" si="20"/>
        <v>17.457540315078546</v>
      </c>
      <c r="O36" s="464">
        <f t="shared" ca="1" si="21"/>
        <v>8.2163047961040174</v>
      </c>
      <c r="P36" s="582"/>
    </row>
    <row r="37" spans="1:16" s="450" customFormat="1" ht="15.75" customHeight="1">
      <c r="A37" s="462" t="s">
        <v>4</v>
      </c>
      <c r="B37" s="97" t="s">
        <v>558</v>
      </c>
      <c r="C37" s="97" t="s">
        <v>369</v>
      </c>
      <c r="D37" s="291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83">
        <f>SUMIFS('Normalized Units'!I:I,'Normalized Units'!B:B,"Normalized Billing Units",'Normalized Units'!C:C,B37,'Normalized Units'!D:D,A37,'Normalized Units'!H:H,"kWh*")/$Q$28</f>
        <v>0</v>
      </c>
      <c r="F37" s="136">
        <f>SUMIFS('AutoPay&amp;Paperless'!$F:$F,'AutoPay&amp;Paperless'!$C:$C,"$",'AutoPay&amp;Paperless'!$D:$D,$A37,'AutoPay&amp;Paperless'!$E:$E,$C37)/$Q$28</f>
        <v>-256.07100000000003</v>
      </c>
      <c r="G37" s="136">
        <f>SUMIFS('AutoPay&amp;Paperless'!$F:$F,'AutoPay&amp;Paperless'!$C:$C,"$",'AutoPay&amp;Paperless'!$D:$D,$A37,'AutoPay&amp;Paperless'!$E:$E,$C37)/$Q$28</f>
        <v>-256.07100000000003</v>
      </c>
      <c r="H37" s="136">
        <f t="shared" si="15"/>
        <v>0</v>
      </c>
      <c r="I37" s="499">
        <f t="shared" si="16"/>
        <v>0</v>
      </c>
      <c r="J37" s="136">
        <f t="shared" si="17"/>
        <v>-256.07100000000003</v>
      </c>
      <c r="K37" s="136">
        <f>SUMIFS('AutoPay&amp;Paperless'!$F:$F,'AutoPay&amp;Paperless'!$C:$C,"$",'AutoPay&amp;Paperless'!$D:$D,$A37,'AutoPay&amp;Paperless'!$E:$E,$C37)/$Q$28</f>
        <v>-256.07100000000003</v>
      </c>
      <c r="L37" s="136">
        <f t="shared" si="18"/>
        <v>0</v>
      </c>
      <c r="M37" s="464">
        <f t="shared" si="19"/>
        <v>0</v>
      </c>
      <c r="N37" s="283">
        <f t="shared" si="20"/>
        <v>0</v>
      </c>
      <c r="O37" s="464">
        <f t="shared" si="21"/>
        <v>0</v>
      </c>
      <c r="P37" s="582"/>
    </row>
    <row r="38" spans="1:16" s="450" customFormat="1" ht="15.75" customHeight="1">
      <c r="A38" s="462" t="s">
        <v>4</v>
      </c>
      <c r="B38" s="97" t="s">
        <v>558</v>
      </c>
      <c r="C38" s="97" t="s">
        <v>370</v>
      </c>
      <c r="D38" s="291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83">
        <f>SUMIFS('Normalized Units'!I:I,'Normalized Units'!B:B,"Normalized Billing Units",'Normalized Units'!C:C,B38,'Normalized Units'!D:D,A38,'Normalized Units'!H:H,"kWh*")/$Q$28</f>
        <v>0</v>
      </c>
      <c r="F38" s="136">
        <f>SUMIFS('AutoPay&amp;Paperless'!$F:$F,'AutoPay&amp;Paperless'!$C:$C,"$",'AutoPay&amp;Paperless'!$D:$D,$A38,'AutoPay&amp;Paperless'!$E:$E,$C38)/$Q$28</f>
        <v>-231.7765</v>
      </c>
      <c r="G38" s="136">
        <f>SUMIFS('AutoPay&amp;Paperless'!$F:$F,'AutoPay&amp;Paperless'!$C:$C,"$",'AutoPay&amp;Paperless'!$D:$D,$A38,'AutoPay&amp;Paperless'!$E:$E,$C38)/$Q$28</f>
        <v>-231.7765</v>
      </c>
      <c r="H38" s="136">
        <f t="shared" si="15"/>
        <v>0</v>
      </c>
      <c r="I38" s="499">
        <f t="shared" si="16"/>
        <v>0</v>
      </c>
      <c r="J38" s="136">
        <f t="shared" si="17"/>
        <v>-231.7765</v>
      </c>
      <c r="K38" s="136">
        <f>SUMIFS('AutoPay&amp;Paperless'!$F:$F,'AutoPay&amp;Paperless'!$C:$C,"$",'AutoPay&amp;Paperless'!$D:$D,$A38,'AutoPay&amp;Paperless'!$E:$E,$C38)/$Q$28</f>
        <v>-231.7765</v>
      </c>
      <c r="L38" s="136">
        <f t="shared" si="18"/>
        <v>0</v>
      </c>
      <c r="M38" s="464">
        <f t="shared" si="19"/>
        <v>0</v>
      </c>
      <c r="N38" s="283">
        <f t="shared" si="20"/>
        <v>0</v>
      </c>
      <c r="O38" s="464">
        <f t="shared" si="21"/>
        <v>0</v>
      </c>
      <c r="P38" s="582"/>
    </row>
    <row r="39" spans="1:16" s="450" customFormat="1" ht="15.75" customHeight="1">
      <c r="A39" s="461" t="s">
        <v>4</v>
      </c>
      <c r="B39" s="97" t="s">
        <v>558</v>
      </c>
      <c r="C39" s="294" t="s">
        <v>352</v>
      </c>
      <c r="D39" s="291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83">
        <f>SUMIFS('Normalized Units'!I:I,'Normalized Units'!B:B,"Normalized Billing Units",'Normalized Units'!C:C,B39,'Normalized Units'!D:D,A39,'Normalized Units'!H:H,"kWh*")/$Q$28</f>
        <v>0</v>
      </c>
      <c r="F39" s="137">
        <f>SUMIFS(RVN!$F:$F,RVN!$A:$A,$A39,RVN!$J:$J,$C39)/$Q$28</f>
        <v>1.15594</v>
      </c>
      <c r="G39" s="137">
        <f>SUMIFS(RVN!$F:$F,RVN!$A:$A,$A39,RVN!$J:$J,$C39)/$Q$28</f>
        <v>1.15594</v>
      </c>
      <c r="H39" s="136">
        <f t="shared" si="15"/>
        <v>0</v>
      </c>
      <c r="I39" s="499">
        <f t="shared" si="16"/>
        <v>0</v>
      </c>
      <c r="J39" s="136">
        <f t="shared" si="17"/>
        <v>1.15594</v>
      </c>
      <c r="K39" s="137">
        <f>SUMIFS(RVN!$F:$F,RVN!$A:$A,$A39,RVN!$J:$J,$C39)/$Q$28</f>
        <v>1.15594</v>
      </c>
      <c r="L39" s="136">
        <f t="shared" si="18"/>
        <v>0</v>
      </c>
      <c r="M39" s="464">
        <f t="shared" si="19"/>
        <v>0</v>
      </c>
      <c r="N39" s="283">
        <f t="shared" si="20"/>
        <v>0</v>
      </c>
      <c r="O39" s="464">
        <f t="shared" si="21"/>
        <v>0</v>
      </c>
      <c r="P39" s="582"/>
    </row>
    <row r="40" spans="1:16" s="450" customFormat="1" ht="15.75" customHeight="1">
      <c r="A40" s="466" t="s">
        <v>4</v>
      </c>
      <c r="B40" s="414" t="s">
        <v>195</v>
      </c>
      <c r="C40" s="414" t="s">
        <v>195</v>
      </c>
      <c r="D40" s="476">
        <f>SUM(D33:D39)</f>
        <v>115211.11044802866</v>
      </c>
      <c r="E40" s="476">
        <f t="shared" ref="E40:H40" si="22">SUM(E33:E39)</f>
        <v>1656451.8334200094</v>
      </c>
      <c r="F40" s="476">
        <f t="shared" si="22"/>
        <v>178790.33036358008</v>
      </c>
      <c r="G40" s="476">
        <f t="shared" ca="1" si="22"/>
        <v>194889.45064385585</v>
      </c>
      <c r="H40" s="476">
        <f t="shared" ca="1" si="22"/>
        <v>16099.120280275765</v>
      </c>
      <c r="I40" s="501">
        <f ca="1">IFERROR(H40/F40*100,0)</f>
        <v>9.0044692280266538</v>
      </c>
      <c r="J40" s="476">
        <f t="shared" ref="J40" ca="1" si="23">SUM(J33:J39)</f>
        <v>194889.45064385585</v>
      </c>
      <c r="K40" s="476">
        <f t="shared" ref="K40" ca="1" si="24">SUM(K33:K39)</f>
        <v>207502.69984475547</v>
      </c>
      <c r="L40" s="476">
        <f t="shared" ref="L40:N40" ca="1" si="25">SUM(L33:L39)</f>
        <v>12613.24920089962</v>
      </c>
      <c r="M40" s="467">
        <f ca="1">IFERROR(L40/J40*100,0)</f>
        <v>6.4720020294732503</v>
      </c>
      <c r="N40" s="476">
        <f t="shared" ca="1" si="25"/>
        <v>28712.369481175385</v>
      </c>
      <c r="O40" s="479">
        <f t="shared" ca="1" si="21"/>
        <v>16.059240688681083</v>
      </c>
      <c r="P40" s="582"/>
    </row>
    <row r="41" spans="1:16" s="450" customFormat="1" ht="15.75" customHeight="1">
      <c r="A41" s="472"/>
      <c r="B41" s="323"/>
      <c r="C41" s="323"/>
      <c r="D41" s="290"/>
      <c r="E41" s="274"/>
      <c r="F41" s="260"/>
      <c r="G41" s="260"/>
      <c r="H41" s="260"/>
      <c r="I41" s="504"/>
      <c r="J41" s="260"/>
      <c r="K41" s="260"/>
      <c r="L41" s="260"/>
      <c r="M41" s="471"/>
      <c r="N41" s="274"/>
      <c r="O41" s="471">
        <f t="shared" si="21"/>
        <v>0</v>
      </c>
      <c r="P41" s="582"/>
    </row>
    <row r="42" spans="1:16" s="450" customFormat="1" ht="15.75" customHeight="1">
      <c r="A42" s="462" t="s">
        <v>5</v>
      </c>
      <c r="B42" s="294" t="s">
        <v>169</v>
      </c>
      <c r="C42" s="294" t="s">
        <v>551</v>
      </c>
      <c r="D42" s="291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83">
        <f>SUMIFS('Normalized Units'!I:I,'Normalized Units'!B:B,"Normalized Billing Units",'Normalized Units'!C:C,B42,'Normalized Units'!D:D,A42,'Normalized Units'!H:H,"kWh*")/$Q$28</f>
        <v>1849.1404231953695</v>
      </c>
      <c r="F42" s="136">
        <f>SUMIFS('Sch.15,51,53,54'!$G:$G,'Sch.15,51,53,54'!$A:$A,F$75&amp;F$31,'Sch.15,51,53,54'!$B:$B,"$",'Sch.15,51,53,54'!$C:$C,$B42,'Sch.15,51,53,54'!$D:$D,$A42)/$Q$28</f>
        <v>177.44817202000706</v>
      </c>
      <c r="G42" s="136">
        <f ca="1">SUMIFS('Sch.15,51,53,54'!$G:$G,'Sch.15,51,53,54'!$A:$A,G$75&amp;G$31,'Sch.15,51,53,54'!$B:$B,"$",'Sch.15,51,53,54'!$C:$C,$B42,'Sch.15,51,53,54'!$D:$D,$A42)/$Q$28</f>
        <v>192.78336022247029</v>
      </c>
      <c r="H42" s="136">
        <f ca="1">G42-F42</f>
        <v>15.335188202463229</v>
      </c>
      <c r="I42" s="499">
        <f ca="1">IFERROR(H42/F42*100,0)</f>
        <v>8.6420660342075575</v>
      </c>
      <c r="J42" s="136">
        <f ca="1">G42</f>
        <v>192.78336022247029</v>
      </c>
      <c r="K42" s="136">
        <f ca="1">SUMIFS('Sch.15,51,53,54'!$G:$G,'Sch.15,51,53,54'!$A:$A,K$75&amp;K$31,'Sch.15,51,53,54'!$B:$B,"$",'Sch.15,51,53,54'!$C:$C,$B42,'Sch.15,51,53,54'!$D:$D,$A42)/$Q$28</f>
        <v>204.84009109310989</v>
      </c>
      <c r="L42" s="136">
        <f ca="1">K42-J42</f>
        <v>12.056730870639598</v>
      </c>
      <c r="M42" s="464">
        <f ca="1">IFERROR(L42/J42*100,0)</f>
        <v>6.2540308752406002</v>
      </c>
      <c r="N42" s="283">
        <f ca="1">K42-F42</f>
        <v>27.391919073102827</v>
      </c>
      <c r="O42" s="464">
        <f t="shared" ca="1" si="21"/>
        <v>15.436574387486178</v>
      </c>
      <c r="P42" s="582"/>
    </row>
    <row r="43" spans="1:16" s="450" customFormat="1" ht="15.75" customHeight="1">
      <c r="A43" s="462" t="s">
        <v>5</v>
      </c>
      <c r="B43" s="294" t="s">
        <v>229</v>
      </c>
      <c r="C43" s="294" t="s">
        <v>559</v>
      </c>
      <c r="D43" s="291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83">
        <f>SUMIFS('Normalized Units'!I:I,'Normalized Units'!B:B,"Normalized Billing Units",'Normalized Units'!C:C,B43,'Normalized Units'!D:D,A43,'Normalized Units'!H:H,"kWh*")/$Q$28</f>
        <v>510763.11130107107</v>
      </c>
      <c r="F43" s="136">
        <f>SUMIFS(Sch.24!$S:$S,Sch.24!$N:$N,F$75&amp;F$31,Sch.24!$O:$O,"$",Sch.24!$P:$P,$A43)/$Q$28</f>
        <v>53487.352817815001</v>
      </c>
      <c r="G43" s="136">
        <f ca="1">SUMIFS(Sch.24!$S:$S,Sch.24!$N:$N,G$75&amp;G$31,Sch.24!$O:$O,"$",Sch.24!$P:$P,$A43)/$Q$28</f>
        <v>53498.004757447721</v>
      </c>
      <c r="H43" s="136">
        <f t="shared" ref="H43:H48" ca="1" si="26">G43-F43</f>
        <v>10.651939632720314</v>
      </c>
      <c r="I43" s="499">
        <f t="shared" ref="I43:I48" ca="1" si="27">IFERROR(H43/F43*100,0)</f>
        <v>1.9914875333244157E-2</v>
      </c>
      <c r="J43" s="136">
        <f t="shared" ref="J43:J48" ca="1" si="28">G43</f>
        <v>53498.004757447721</v>
      </c>
      <c r="K43" s="136">
        <f ca="1">SUMIFS(Sch.24!$S:$S,Sch.24!$N:$N,K$75&amp;K$31,Sch.24!$O:$O,"$",Sch.24!$P:$P,$A43)/$Q$28</f>
        <v>56970.625137379626</v>
      </c>
      <c r="L43" s="136">
        <f t="shared" ref="L43:L48" ca="1" si="29">K43-J43</f>
        <v>3472.6203799319046</v>
      </c>
      <c r="M43" s="464">
        <f t="shared" ref="M43:M48" ca="1" si="30">IFERROR(L43/J43*100,0)</f>
        <v>6.4911212963479059</v>
      </c>
      <c r="N43" s="283">
        <f t="shared" ref="N43:N48" ca="1" si="31">K43-F43</f>
        <v>3483.2723195646249</v>
      </c>
      <c r="O43" s="464">
        <f t="shared" ca="1" si="21"/>
        <v>6.5123288703950468</v>
      </c>
      <c r="P43" s="582"/>
    </row>
    <row r="44" spans="1:16" s="450" customFormat="1" ht="15.75" customHeight="1">
      <c r="A44" s="462" t="s">
        <v>5</v>
      </c>
      <c r="B44" s="294" t="s">
        <v>279</v>
      </c>
      <c r="C44" s="294" t="s">
        <v>550</v>
      </c>
      <c r="D44" s="291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83">
        <f>SUMIFS('Normalized Units'!I:I,'Normalized Units'!B:B,"Normalized Billing Units",'Normalized Units'!C:C,B44,'Normalized Units'!D:D,A44,'Normalized Units'!H:H,"kWh*")/$Q$28</f>
        <v>842220.37803557958</v>
      </c>
      <c r="F44" s="136">
        <f>SUMIFS('Sch.29,36'!$S:$S,'Sch.29,36'!$M:$M,F$75&amp;F$31,'Sch.29,36'!$N:$N,"$",'Sch.29,36'!$P:$P,$A44)/$Q$28</f>
        <v>76153.664727651412</v>
      </c>
      <c r="G44" s="136">
        <f ca="1">SUMIFS('Sch.29,36'!$S:$S,'Sch.29,36'!$M:$M,G$75&amp;G$31,'Sch.29,36'!$N:$N,"$",'Sch.29,36'!$P:$P,$A44)/$Q$28</f>
        <v>78653.431680113499</v>
      </c>
      <c r="H44" s="136">
        <f t="shared" ca="1" si="26"/>
        <v>2499.7669524620869</v>
      </c>
      <c r="I44" s="499">
        <f t="shared" ca="1" si="27"/>
        <v>3.2825300809908642</v>
      </c>
      <c r="J44" s="136">
        <f t="shared" ca="1" si="28"/>
        <v>78653.431680113499</v>
      </c>
      <c r="K44" s="136">
        <f ca="1">SUMIFS('Sch.29,36'!$S:$S,'Sch.29,36'!$M:$M,K$75&amp;K$31,'Sch.29,36'!$N:$N,"$",'Sch.29,36'!$P:$P,$A44)/$Q$28</f>
        <v>83729.414118568748</v>
      </c>
      <c r="L44" s="136">
        <f t="shared" ca="1" si="29"/>
        <v>5075.9824384552485</v>
      </c>
      <c r="M44" s="464">
        <f t="shared" ca="1" si="30"/>
        <v>6.4536058122669866</v>
      </c>
      <c r="N44" s="283">
        <f t="shared" ca="1" si="31"/>
        <v>7575.7493909173354</v>
      </c>
      <c r="O44" s="464">
        <f t="shared" ca="1" si="21"/>
        <v>9.9479774453540895</v>
      </c>
      <c r="P44" s="582"/>
    </row>
    <row r="45" spans="1:16" s="450" customFormat="1" ht="15.75" customHeight="1">
      <c r="A45" s="462" t="s">
        <v>5</v>
      </c>
      <c r="B45" s="294" t="s">
        <v>587</v>
      </c>
      <c r="C45" s="294" t="s">
        <v>560</v>
      </c>
      <c r="D45" s="291">
        <f>('Normalized Units'!I97+'Normalized Units'!I101+'Normalized Units'!I102)/12</f>
        <v>37.444444444444443</v>
      </c>
      <c r="E45" s="283" cm="1">
        <f t="array" ref="E45">SUM(SUMIFS('Normalized Units'!I:I,'Normalized Units'!B:B,"Normalized Billing Units",'Normalized Units'!C:C,{"Schedule 47T","Schedule 48T"},'Normalized Units'!D:D,A45,'Normalized Units'!H:H,"kWh*"))/$Q$28</f>
        <v>176021.17293894291</v>
      </c>
      <c r="F45" s="136">
        <f>SUMIFS(Sch.48T!$T:$T,Sch.48T!$N:$N,F$75&amp;F$31,Sch.48T!$O:$O,"$",Sch.48T!$P:$P,$A45)/$Q$28</f>
        <v>15035.759922384723</v>
      </c>
      <c r="G45" s="136">
        <f ca="1">SUMIFS(Sch.48T!$T:$T,Sch.48T!$N:$N,G$75&amp;G$31,Sch.48T!$O:$O,"$",Sch.48T!$P:$P,$A45)/$Q$28</f>
        <v>16417.308849211528</v>
      </c>
      <c r="H45" s="136">
        <f t="shared" ca="1" si="26"/>
        <v>1381.5489268268047</v>
      </c>
      <c r="I45" s="499">
        <f t="shared" ca="1" si="27"/>
        <v>9.1884210306524121</v>
      </c>
      <c r="J45" s="136">
        <f t="shared" ca="1" si="28"/>
        <v>16417.308849211528</v>
      </c>
      <c r="K45" s="136">
        <f ca="1">SUMIFS(Sch.48T!$T:$T,Sch.48T!$N:$N,K$75&amp;K$31,Sch.48T!$O:$O,"$",Sch.48T!$P:$P,$A45)/$Q$28</f>
        <v>17491.029277787136</v>
      </c>
      <c r="L45" s="136">
        <f t="shared" ca="1" si="29"/>
        <v>1073.7204285756088</v>
      </c>
      <c r="M45" s="464">
        <f t="shared" ca="1" si="30"/>
        <v>6.5401731698991359</v>
      </c>
      <c r="N45" s="283">
        <f t="shared" ca="1" si="31"/>
        <v>2455.2693554024136</v>
      </c>
      <c r="O45" s="464">
        <f t="shared" ca="1" si="21"/>
        <v>16.329532847535646</v>
      </c>
      <c r="P45" s="582"/>
    </row>
    <row r="46" spans="1:16" s="450" customFormat="1" ht="15.75" customHeight="1">
      <c r="A46" s="462" t="s">
        <v>5</v>
      </c>
      <c r="B46" s="294" t="s">
        <v>171</v>
      </c>
      <c r="C46" s="294" t="s">
        <v>561</v>
      </c>
      <c r="D46" s="291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83">
        <f>SUMIFS('Normalized Units'!I:I,'Normalized Units'!B:B,"Normalized Billing Units",'Normalized Units'!C:C,B46,'Normalized Units'!D:D,A46,'Normalized Units'!H:H,"kWh*")/$Q$28</f>
        <v>314.48340809632003</v>
      </c>
      <c r="F46" s="136">
        <f>SUMIFS('Sch.15,51,53,54'!$G:$G,'Sch.15,51,53,54'!$A:$A,F$75&amp;F$31,'Sch.15,51,53,54'!$B:$B,"$",'Sch.15,51,53,54'!$C:$C,$B46,'Sch.15,51,53,54'!$D:$D,$A46)/$Q$28</f>
        <v>21.271452803859034</v>
      </c>
      <c r="G46" s="136">
        <f ca="1">SUMIFS('Sch.15,51,53,54'!$G:$G,'Sch.15,51,53,54'!$A:$A,G$75&amp;G$31,'Sch.15,51,53,54'!$B:$B,"$",'Sch.15,51,53,54'!$C:$C,$B46,'Sch.15,51,53,54'!$D:$D,$A46)/$Q$28</f>
        <v>23.11237203906807</v>
      </c>
      <c r="H46" s="136">
        <f t="shared" ca="1" si="26"/>
        <v>1.8409192352090358</v>
      </c>
      <c r="I46" s="499">
        <f t="shared" ca="1" si="27"/>
        <v>8.6544123346152411</v>
      </c>
      <c r="J46" s="136">
        <f t="shared" ca="1" si="28"/>
        <v>23.11237203906807</v>
      </c>
      <c r="K46" s="136">
        <f ca="1">SUMIFS('Sch.15,51,53,54'!$G:$G,'Sch.15,51,53,54'!$A:$A,K$75&amp;K$31,'Sch.15,51,53,54'!$B:$B,"$",'Sch.15,51,53,54'!$C:$C,$B46,'Sch.15,51,53,54'!$D:$D,$A46)/$Q$28</f>
        <v>24.54986922495317</v>
      </c>
      <c r="L46" s="136">
        <f t="shared" ca="1" si="29"/>
        <v>1.4374971858850998</v>
      </c>
      <c r="M46" s="464">
        <f t="shared" ca="1" si="30"/>
        <v>6.2196004090589314</v>
      </c>
      <c r="N46" s="283">
        <f t="shared" ca="1" si="31"/>
        <v>3.2784164210941356</v>
      </c>
      <c r="O46" s="464">
        <f t="shared" ca="1" si="21"/>
        <v>15.412282608639549</v>
      </c>
      <c r="P46" s="582"/>
    </row>
    <row r="47" spans="1:16" s="450" customFormat="1" ht="15.75" customHeight="1">
      <c r="A47" s="462" t="s">
        <v>5</v>
      </c>
      <c r="B47" s="97" t="s">
        <v>558</v>
      </c>
      <c r="C47" s="97" t="s">
        <v>369</v>
      </c>
      <c r="D47" s="291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83">
        <f>SUMIFS('Normalized Units'!I:I,'Normalized Units'!B:B,"Normalized Billing Units",'Normalized Units'!C:C,B47,'Normalized Units'!D:D,A47,'Normalized Units'!H:H,"kWh*")/$Q$28</f>
        <v>0</v>
      </c>
      <c r="F47" s="136">
        <f>SUMIFS('AutoPay&amp;Paperless'!$F:$F,'AutoPay&amp;Paperless'!$C:$C,"$",'AutoPay&amp;Paperless'!$D:$D,$A47,'AutoPay&amp;Paperless'!$E:$E,$C47)/$Q$28</f>
        <v>-31.087</v>
      </c>
      <c r="G47" s="136">
        <f>SUMIFS('AutoPay&amp;Paperless'!$F:$F,'AutoPay&amp;Paperless'!$C:$C,"$",'AutoPay&amp;Paperless'!$D:$D,$A47,'AutoPay&amp;Paperless'!$E:$E,$C47)/$Q$28</f>
        <v>-31.087</v>
      </c>
      <c r="H47" s="136">
        <f t="shared" si="26"/>
        <v>0</v>
      </c>
      <c r="I47" s="499">
        <f t="shared" si="27"/>
        <v>0</v>
      </c>
      <c r="J47" s="136">
        <f t="shared" si="28"/>
        <v>-31.087</v>
      </c>
      <c r="K47" s="136">
        <f>SUMIFS('AutoPay&amp;Paperless'!$F:$F,'AutoPay&amp;Paperless'!$C:$C,"$",'AutoPay&amp;Paperless'!$D:$D,$A47,'AutoPay&amp;Paperless'!$E:$E,$C47)/$Q$28</f>
        <v>-31.087</v>
      </c>
      <c r="L47" s="136">
        <f t="shared" si="29"/>
        <v>0</v>
      </c>
      <c r="M47" s="464">
        <f t="shared" si="30"/>
        <v>0</v>
      </c>
      <c r="N47" s="283">
        <f t="shared" si="31"/>
        <v>0</v>
      </c>
      <c r="O47" s="464">
        <f t="shared" si="21"/>
        <v>0</v>
      </c>
      <c r="P47" s="582"/>
    </row>
    <row r="48" spans="1:16" s="450" customFormat="1" ht="15.75" customHeight="1">
      <c r="A48" s="462" t="s">
        <v>5</v>
      </c>
      <c r="B48" s="97" t="s">
        <v>558</v>
      </c>
      <c r="C48" s="97" t="s">
        <v>370</v>
      </c>
      <c r="D48" s="291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83">
        <f>SUMIFS('Normalized Units'!I:I,'Normalized Units'!B:B,"Normalized Billing Units",'Normalized Units'!C:C,B48,'Normalized Units'!D:D,A48,'Normalized Units'!H:H,"kWh*")/$Q$28</f>
        <v>0</v>
      </c>
      <c r="F48" s="136">
        <f>SUMIFS('AutoPay&amp;Paperless'!$F:$F,'AutoPay&amp;Paperless'!$C:$C,"$",'AutoPay&amp;Paperless'!$D:$D,$A48,'AutoPay&amp;Paperless'!$E:$E,$C48)/$Q$28</f>
        <v>-28.762</v>
      </c>
      <c r="G48" s="136">
        <f>SUMIFS('AutoPay&amp;Paperless'!$F:$F,'AutoPay&amp;Paperless'!$C:$C,"$",'AutoPay&amp;Paperless'!$D:$D,$A48,'AutoPay&amp;Paperless'!$E:$E,$C48)/$Q$28</f>
        <v>-28.762</v>
      </c>
      <c r="H48" s="136">
        <f t="shared" si="26"/>
        <v>0</v>
      </c>
      <c r="I48" s="499">
        <f t="shared" si="27"/>
        <v>0</v>
      </c>
      <c r="J48" s="136">
        <f t="shared" si="28"/>
        <v>-28.762</v>
      </c>
      <c r="K48" s="136">
        <f>SUMIFS('AutoPay&amp;Paperless'!$F:$F,'AutoPay&amp;Paperless'!$C:$C,"$",'AutoPay&amp;Paperless'!$D:$D,$A48,'AutoPay&amp;Paperless'!$E:$E,$C48)/$Q$28</f>
        <v>-28.762</v>
      </c>
      <c r="L48" s="136">
        <f t="shared" si="29"/>
        <v>0</v>
      </c>
      <c r="M48" s="464">
        <f t="shared" si="30"/>
        <v>0</v>
      </c>
      <c r="N48" s="283">
        <f t="shared" si="31"/>
        <v>0</v>
      </c>
      <c r="O48" s="464">
        <f t="shared" si="21"/>
        <v>0</v>
      </c>
      <c r="P48" s="582"/>
    </row>
    <row r="49" spans="1:16" s="450" customFormat="1" ht="15.75" customHeight="1">
      <c r="A49" s="461" t="s">
        <v>5</v>
      </c>
      <c r="B49" s="97" t="s">
        <v>558</v>
      </c>
      <c r="C49" s="294" t="s">
        <v>352</v>
      </c>
      <c r="D49" s="291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83">
        <f>SUMIFS('Normalized Units'!I:I,'Normalized Units'!B:B,"Normalized Billing Units",'Normalized Units'!C:C,B49,'Normalized Units'!D:D,A49,'Normalized Units'!H:H,"kWh*")/$Q$28</f>
        <v>0</v>
      </c>
      <c r="F49" s="137">
        <f>SUMIFS(RVN!$F:$F,RVN!$A:$A,$A49,RVN!$J:$J,$C49)/$Q$28</f>
        <v>473.08967000000007</v>
      </c>
      <c r="G49" s="137">
        <f>SUMIFS(RVN!$F:$F,RVN!$A:$A,$A49,RVN!$J:$J,$C49)/$Q$28</f>
        <v>473.08967000000007</v>
      </c>
      <c r="H49" s="136">
        <f>G49-F49</f>
        <v>0</v>
      </c>
      <c r="I49" s="499">
        <f>IFERROR(H49/F49*100,0)</f>
        <v>0</v>
      </c>
      <c r="J49" s="136">
        <f>G49</f>
        <v>473.08967000000007</v>
      </c>
      <c r="K49" s="137">
        <f>SUMIFS(RVN!$F:$F,RVN!$A:$A,$A49,RVN!$J:$J,$C49)/$Q$28</f>
        <v>473.08967000000007</v>
      </c>
      <c r="L49" s="136">
        <f>K49-J49</f>
        <v>0</v>
      </c>
      <c r="M49" s="464">
        <f>IFERROR(L49/J49*100,0)</f>
        <v>0</v>
      </c>
      <c r="N49" s="283">
        <f>K49-F49</f>
        <v>0</v>
      </c>
      <c r="O49" s="464">
        <f t="shared" si="21"/>
        <v>0</v>
      </c>
      <c r="P49" s="582"/>
    </row>
    <row r="50" spans="1:16" s="450" customFormat="1" ht="15.75" customHeight="1">
      <c r="A50" s="466" t="s">
        <v>5</v>
      </c>
      <c r="B50" s="414" t="s">
        <v>195</v>
      </c>
      <c r="C50" s="414" t="s">
        <v>195</v>
      </c>
      <c r="D50" s="476">
        <f>SUM(D42:D49)</f>
        <v>19132.87640542489</v>
      </c>
      <c r="E50" s="476">
        <f t="shared" ref="E50:H50" si="32">SUM(E42:E49)</f>
        <v>1531168.2861068852</v>
      </c>
      <c r="F50" s="476">
        <f t="shared" si="32"/>
        <v>145288.73776267501</v>
      </c>
      <c r="G50" s="476">
        <f t="shared" ca="1" si="32"/>
        <v>149197.88168903429</v>
      </c>
      <c r="H50" s="476">
        <f t="shared" ca="1" si="32"/>
        <v>3909.1439263592843</v>
      </c>
      <c r="I50" s="501">
        <f ca="1">IFERROR(H50/F50*100,0)</f>
        <v>2.6906035433694515</v>
      </c>
      <c r="J50" s="476">
        <f t="shared" ref="J50" ca="1" si="33">SUM(J42:J49)</f>
        <v>149197.88168903429</v>
      </c>
      <c r="K50" s="476">
        <f t="shared" ref="K50" ca="1" si="34">SUM(K42:K49)</f>
        <v>158833.69916405357</v>
      </c>
      <c r="L50" s="476">
        <f t="shared" ref="L50:N50" ca="1" si="35">SUM(L42:L49)</f>
        <v>9635.8174750192866</v>
      </c>
      <c r="M50" s="467">
        <f ca="1">IFERROR(L50/J50*100,0)</f>
        <v>6.4584143996780998</v>
      </c>
      <c r="N50" s="476">
        <f t="shared" ca="1" si="35"/>
        <v>13544.96140137857</v>
      </c>
      <c r="O50" s="479">
        <f t="shared" ca="1" si="21"/>
        <v>9.3227882697307738</v>
      </c>
      <c r="P50" s="582"/>
    </row>
    <row r="51" spans="1:16" s="450" customFormat="1" ht="15.75" customHeight="1">
      <c r="A51" s="472"/>
      <c r="B51" s="323"/>
      <c r="C51" s="323"/>
      <c r="D51" s="290"/>
      <c r="E51" s="274"/>
      <c r="F51" s="260"/>
      <c r="G51" s="260"/>
      <c r="H51" s="260"/>
      <c r="I51" s="504"/>
      <c r="J51" s="260"/>
      <c r="K51" s="260"/>
      <c r="L51" s="260"/>
      <c r="M51" s="471"/>
      <c r="N51" s="274"/>
      <c r="O51" s="471">
        <f t="shared" si="21"/>
        <v>0</v>
      </c>
      <c r="P51" s="582"/>
    </row>
    <row r="52" spans="1:16" s="450" customFormat="1" ht="15.75" customHeight="1">
      <c r="A52" s="462" t="s">
        <v>7</v>
      </c>
      <c r="B52" s="294" t="s">
        <v>169</v>
      </c>
      <c r="C52" s="294" t="s">
        <v>551</v>
      </c>
      <c r="D52" s="291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83">
        <f>SUMIFS('Normalized Units'!I:I,'Normalized Units'!B:B,"Normalized Billing Units",'Normalized Units'!C:C,B52,'Normalized Units'!D:D,A52,'Normalized Units'!H:H,"kWh*")/$Q$28</f>
        <v>122.7874500167689</v>
      </c>
      <c r="F52" s="136">
        <f>SUMIFS('Sch.15,51,53,54'!$G:$G,'Sch.15,51,53,54'!$A:$A,F$75&amp;F$31,'Sch.15,51,53,54'!$B:$B,"$",'Sch.15,51,53,54'!$C:$C,$B52,'Sch.15,51,53,54'!$D:$D,$A52)/$Q$28</f>
        <v>9.9208232017062361</v>
      </c>
      <c r="G52" s="136">
        <f ca="1">SUMIFS('Sch.15,51,53,54'!$G:$G,'Sch.15,51,53,54'!$A:$A,G$75&amp;G$31,'Sch.15,51,53,54'!$B:$B,"$",'Sch.15,51,53,54'!$C:$C,$B52,'Sch.15,51,53,54'!$D:$D,$A52)/$Q$28</f>
        <v>10.775493956713772</v>
      </c>
      <c r="H52" s="136">
        <f ca="1">G52-F52</f>
        <v>0.85467075500753609</v>
      </c>
      <c r="I52" s="499">
        <f ca="1">IFERROR(H52/F52*100,0)</f>
        <v>8.6149177102616363</v>
      </c>
      <c r="J52" s="136">
        <f ca="1">G52</f>
        <v>10.775493956713772</v>
      </c>
      <c r="K52" s="136">
        <f ca="1">SUMIFS('Sch.15,51,53,54'!$G:$G,'Sch.15,51,53,54'!$A:$A,K$75&amp;K$31,'Sch.15,51,53,54'!$B:$B,"$",'Sch.15,51,53,54'!$C:$C,$B52,'Sch.15,51,53,54'!$D:$D,$A52)/$Q$28</f>
        <v>11.446160315774705</v>
      </c>
      <c r="L52" s="136">
        <f ca="1">K52-J52</f>
        <v>0.67066635906093275</v>
      </c>
      <c r="M52" s="464">
        <f ca="1">IFERROR(L52/J52*100,0)</f>
        <v>6.2239964288882348</v>
      </c>
      <c r="N52" s="283">
        <f ca="1">K52-F52</f>
        <v>1.5253371140684688</v>
      </c>
      <c r="O52" s="464">
        <f t="shared" ca="1" si="21"/>
        <v>15.375106309788217</v>
      </c>
      <c r="P52" s="582"/>
    </row>
    <row r="53" spans="1:16" s="450" customFormat="1" ht="15.75" customHeight="1">
      <c r="A53" s="462" t="s">
        <v>7</v>
      </c>
      <c r="B53" s="294" t="s">
        <v>229</v>
      </c>
      <c r="C53" s="294" t="s">
        <v>559</v>
      </c>
      <c r="D53" s="291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83">
        <f>SUMIFS('Normalized Units'!I:I,'Normalized Units'!B:B,"Normalized Billing Units",'Normalized Units'!C:C,B53,'Normalized Units'!D:D,A53,'Normalized Units'!H:H,"kWh*")/$Q$28</f>
        <v>15212.35759661524</v>
      </c>
      <c r="F53" s="136">
        <f>SUMIFS(Sch.24!$S:$S,Sch.24!$N:$N,F$75&amp;F$31,Sch.24!$O:$O,"$",Sch.24!$P:$P,$A53)/$Q$28</f>
        <v>1632.0951142660285</v>
      </c>
      <c r="G53" s="136">
        <f ca="1">SUMIFS(Sch.24!$S:$S,Sch.24!$N:$N,G$75&amp;G$31,Sch.24!$O:$O,"$",Sch.24!$P:$P,$A53)/$Q$28</f>
        <v>1628.5748185447712</v>
      </c>
      <c r="H53" s="136">
        <f t="shared" ref="H53:H57" ca="1" si="36">G53-F53</f>
        <v>-3.5202957212572983</v>
      </c>
      <c r="I53" s="499">
        <f t="shared" ref="I53:I57" ca="1" si="37">IFERROR(H53/F53*100,0)</f>
        <v>-0.21569182399277109</v>
      </c>
      <c r="J53" s="136">
        <f t="shared" ref="J53:J57" ca="1" si="38">G53</f>
        <v>1628.5748185447712</v>
      </c>
      <c r="K53" s="136">
        <f ca="1">SUMIFS(Sch.24!$S:$S,Sch.24!$N:$N,K$75&amp;K$31,Sch.24!$O:$O,"$",Sch.24!$P:$P,$A53)/$Q$28</f>
        <v>1729.9996028562853</v>
      </c>
      <c r="L53" s="136">
        <f t="shared" ref="L53:L57" ca="1" si="39">K53-J53</f>
        <v>101.42478431151403</v>
      </c>
      <c r="M53" s="464">
        <f t="shared" ref="M53:M57" ca="1" si="40">IFERROR(L53/J53*100,0)</f>
        <v>6.2278246695563624</v>
      </c>
      <c r="N53" s="283">
        <f t="shared" ref="N53:N57" ca="1" si="41">K53-F53</f>
        <v>97.904488590256733</v>
      </c>
      <c r="O53" s="464">
        <f t="shared" ca="1" si="21"/>
        <v>5.9986999369387535</v>
      </c>
      <c r="P53" s="582"/>
    </row>
    <row r="54" spans="1:16" s="450" customFormat="1" ht="15.75" customHeight="1">
      <c r="A54" s="462" t="s">
        <v>7</v>
      </c>
      <c r="B54" s="294" t="s">
        <v>279</v>
      </c>
      <c r="C54" s="294" t="s">
        <v>550</v>
      </c>
      <c r="D54" s="291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83">
        <f>SUMIFS('Normalized Units'!I:I,'Normalized Units'!B:B,"Normalized Billing Units",'Normalized Units'!C:C,B54,'Normalized Units'!D:D,A54,'Normalized Units'!H:H,"kWh*")/$Q$28</f>
        <v>88065.749447729948</v>
      </c>
      <c r="F54" s="136">
        <f>SUMIFS('Sch.29,36'!$S:$S,'Sch.29,36'!$M:$M,F$75&amp;F$31,'Sch.29,36'!$N:$N,"$",'Sch.29,36'!$P:$P,$A54)/$Q$28</f>
        <v>8391.109873566189</v>
      </c>
      <c r="G54" s="136">
        <f ca="1">SUMIFS('Sch.29,36'!$S:$S,'Sch.29,36'!$M:$M,G$75&amp;G$31,'Sch.29,36'!$N:$N,"$",'Sch.29,36'!$P:$P,$A54)/$Q$28</f>
        <v>8694.6563994121698</v>
      </c>
      <c r="H54" s="136">
        <f t="shared" ca="1" si="36"/>
        <v>303.5465258459808</v>
      </c>
      <c r="I54" s="499">
        <f t="shared" ca="1" si="37"/>
        <v>3.6174776688625898</v>
      </c>
      <c r="J54" s="136">
        <f t="shared" ca="1" si="38"/>
        <v>8694.6563994121698</v>
      </c>
      <c r="K54" s="136">
        <f ca="1">SUMIFS('Sch.29,36'!$S:$S,'Sch.29,36'!$M:$M,K$75&amp;K$31,'Sch.29,36'!$N:$N,"$",'Sch.29,36'!$P:$P,$A54)/$Q$28</f>
        <v>9260.4162718608532</v>
      </c>
      <c r="L54" s="136">
        <f t="shared" ca="1" si="39"/>
        <v>565.75987244868338</v>
      </c>
      <c r="M54" s="464">
        <f t="shared" ca="1" si="40"/>
        <v>6.5069836743282163</v>
      </c>
      <c r="N54" s="283">
        <f t="shared" ca="1" si="41"/>
        <v>869.30639829466418</v>
      </c>
      <c r="O54" s="464">
        <f t="shared" ca="1" si="21"/>
        <v>10.359850024526164</v>
      </c>
      <c r="P54" s="582"/>
    </row>
    <row r="55" spans="1:16" s="450" customFormat="1" ht="15.75" customHeight="1">
      <c r="A55" s="462" t="s">
        <v>7</v>
      </c>
      <c r="B55" s="294" t="s">
        <v>587</v>
      </c>
      <c r="C55" s="294" t="s">
        <v>560</v>
      </c>
      <c r="D55" s="291">
        <f>('Normalized Units'!I91+'Normalized Units'!I108+'Normalized Units'!I109+'Normalized Units'!I114)/12</f>
        <v>30</v>
      </c>
      <c r="E55" s="283" cm="1">
        <f t="array" ref="E55">SUM(SUMIFS('Normalized Units'!I:I,'Normalized Units'!B:B,"Normalized Billing Units",'Normalized Units'!C:C,{"Schedule 47T","Schedule 48T"},'Normalized Units'!D:D,A55,'Normalized Units'!H:H,"kWh*"))/$Q$28</f>
        <v>202364.62218044893</v>
      </c>
      <c r="F55" s="136">
        <f>SUM(SUMIFS(Sch.48T!$T:$T,Sch.48T!$N:$N,F$75&amp;F$31,Sch.48T!$O:$O,"$",Sch.48T!$P:$P,$A55),SUMIFS(Sch.47T!$F:$F,Sch.47T!$A:$A,F$75&amp;F$31,Sch.47T!$B:$B,"$"))/$Q$28</f>
        <v>17056.678559394106</v>
      </c>
      <c r="G55" s="136">
        <f ca="1">SUM(SUMIFS(Sch.48T!$T:$T,Sch.48T!$N:$N,G$75&amp;G$31,Sch.48T!$O:$O,"$",Sch.48T!$P:$P,$A55),SUMIFS(Sch.47T!$F:$F,Sch.47T!$A:$A,G$75&amp;G$31,Sch.47T!$B:$B,"$"))/$Q$28</f>
        <v>18606.788794783115</v>
      </c>
      <c r="H55" s="136">
        <f t="shared" ca="1" si="36"/>
        <v>1550.1102353890092</v>
      </c>
      <c r="I55" s="499">
        <f t="shared" ca="1" si="37"/>
        <v>9.0879958251618298</v>
      </c>
      <c r="J55" s="136">
        <f t="shared" ca="1" si="38"/>
        <v>18606.788794783115</v>
      </c>
      <c r="K55" s="136">
        <f ca="1">SUM(SUMIFS(Sch.48T!$T:$T,Sch.48T!$N:$N,K$75&amp;K$31,Sch.48T!$O:$O,"$",Sch.48T!$P:$P,$A55),SUMIFS(Sch.47T!$F:$F,Sch.47T!$A:$A,K$75&amp;K$31,Sch.47T!$B:$B,"$"))/$Q$28</f>
        <v>19811.440993519584</v>
      </c>
      <c r="L55" s="136">
        <f t="shared" ca="1" si="39"/>
        <v>1204.6521987364686</v>
      </c>
      <c r="M55" s="464">
        <f t="shared" ca="1" si="40"/>
        <v>6.4742616903042576</v>
      </c>
      <c r="N55" s="283">
        <f t="shared" ca="1" si="41"/>
        <v>2754.7624341254777</v>
      </c>
      <c r="O55" s="464">
        <f t="shared" ca="1" si="21"/>
        <v>16.150638147590989</v>
      </c>
      <c r="P55" s="582"/>
    </row>
    <row r="56" spans="1:16" s="450" customFormat="1" ht="15.75" customHeight="1">
      <c r="A56" s="462" t="s">
        <v>7</v>
      </c>
      <c r="B56" s="294" t="s">
        <v>287</v>
      </c>
      <c r="C56" s="294" t="s">
        <v>563</v>
      </c>
      <c r="D56" s="291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83">
        <f>SUMIFS('Normalized Units'!I:I,'Normalized Units'!B:B,"Normalized Billing Units",'Normalized Units'!C:C,B56,'Normalized Units'!D:D,A56,'Normalized Units'!H:H,"kWh*")/$Q$28</f>
        <v>544168.56528857455</v>
      </c>
      <c r="F56" s="136">
        <f>SUMIFS('Sch.48T-DF'!$O:$O,'Sch.48T-DF'!$L:$L,F$75&amp;F$31,'Sch.48T-DF'!$M:$M,"$")/$Q$28</f>
        <v>38671.30532491656</v>
      </c>
      <c r="G56" s="136">
        <f ca="1">SUMIFS('Sch.48T-DF'!$O:$O,'Sch.48T-DF'!$L:$L,G$75&amp;G$31,'Sch.48T-DF'!$M:$M,"$")/$Q$28</f>
        <v>42204.374281160875</v>
      </c>
      <c r="H56" s="136">
        <f t="shared" ca="1" si="36"/>
        <v>3533.0689562443149</v>
      </c>
      <c r="I56" s="499">
        <f t="shared" ca="1" si="37"/>
        <v>9.1361512795067217</v>
      </c>
      <c r="J56" s="136">
        <f t="shared" ca="1" si="38"/>
        <v>42204.374281160875</v>
      </c>
      <c r="K56" s="136">
        <f ca="1">SUMIFS('Sch.48T-DF'!$O:$O,'Sch.48T-DF'!$L:$L,K$75&amp;K$31,'Sch.48T-DF'!$M:$M,"$")/$Q$28</f>
        <v>44955.767521329479</v>
      </c>
      <c r="L56" s="136">
        <f t="shared" ca="1" si="39"/>
        <v>2751.3932401686034</v>
      </c>
      <c r="M56" s="464">
        <f t="shared" ca="1" si="40"/>
        <v>6.5192134394390626</v>
      </c>
      <c r="N56" s="283">
        <f t="shared" ca="1" si="41"/>
        <v>6284.4621964129183</v>
      </c>
      <c r="O56" s="464">
        <f t="shared" ca="1" si="21"/>
        <v>16.25096992100687</v>
      </c>
      <c r="P56" s="582"/>
    </row>
    <row r="57" spans="1:16" s="450" customFormat="1" ht="15.75" customHeight="1">
      <c r="A57" s="462" t="s">
        <v>7</v>
      </c>
      <c r="B57" s="97" t="s">
        <v>558</v>
      </c>
      <c r="C57" s="97" t="s">
        <v>369</v>
      </c>
      <c r="D57" s="291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83">
        <f>SUMIFS('Normalized Units'!I:I,'Normalized Units'!B:B,"Normalized Billing Units",'Normalized Units'!C:C,B57,'Normalized Units'!D:D,A57,'Normalized Units'!H:H,"kWh*")/$Q$28</f>
        <v>0</v>
      </c>
      <c r="F57" s="136">
        <f>SUMIFS('AutoPay&amp;Paperless'!$F:$F,'AutoPay&amp;Paperless'!$C:$C,"$",'AutoPay&amp;Paperless'!$D:$D,$A57,'AutoPay&amp;Paperless'!$E:$E,$C57)/$Q$28</f>
        <v>-0.42599999999999999</v>
      </c>
      <c r="G57" s="136">
        <f>SUMIFS('AutoPay&amp;Paperless'!$F:$F,'AutoPay&amp;Paperless'!$C:$C,"$",'AutoPay&amp;Paperless'!$D:$D,$A57,'AutoPay&amp;Paperless'!$E:$E,$C57)/$Q$28</f>
        <v>-0.42599999999999999</v>
      </c>
      <c r="H57" s="136">
        <f t="shared" si="36"/>
        <v>0</v>
      </c>
      <c r="I57" s="499">
        <f t="shared" si="37"/>
        <v>0</v>
      </c>
      <c r="J57" s="136">
        <f t="shared" si="38"/>
        <v>-0.42599999999999999</v>
      </c>
      <c r="K57" s="136">
        <f>SUMIFS('AutoPay&amp;Paperless'!$F:$F,'AutoPay&amp;Paperless'!$C:$C,"$",'AutoPay&amp;Paperless'!$D:$D,$A57,'AutoPay&amp;Paperless'!$E:$E,$C57)/$Q$28</f>
        <v>-0.42599999999999999</v>
      </c>
      <c r="L57" s="136">
        <f t="shared" si="39"/>
        <v>0</v>
      </c>
      <c r="M57" s="464">
        <f t="shared" si="40"/>
        <v>0</v>
      </c>
      <c r="N57" s="283">
        <f t="shared" si="41"/>
        <v>0</v>
      </c>
      <c r="O57" s="464">
        <f t="shared" si="21"/>
        <v>0</v>
      </c>
      <c r="P57" s="582"/>
    </row>
    <row r="58" spans="1:16" s="450" customFormat="1" ht="15.75" customHeight="1">
      <c r="A58" s="462" t="s">
        <v>7</v>
      </c>
      <c r="B58" s="97" t="s">
        <v>558</v>
      </c>
      <c r="C58" s="97" t="s">
        <v>370</v>
      </c>
      <c r="D58" s="291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83">
        <f>SUMIFS('Normalized Units'!I:I,'Normalized Units'!B:B,"Normalized Billing Units",'Normalized Units'!C:C,B58,'Normalized Units'!D:D,A58,'Normalized Units'!H:H,"kWh*")/$Q$28</f>
        <v>0</v>
      </c>
      <c r="F58" s="136">
        <f>SUMIFS('AutoPay&amp;Paperless'!$F:$F,'AutoPay&amp;Paperless'!$C:$C,"$",'AutoPay&amp;Paperless'!$D:$D,$A58,'AutoPay&amp;Paperless'!$E:$E,$C58)/$Q$28</f>
        <v>-0.748</v>
      </c>
      <c r="G58" s="136">
        <f>SUMIFS('AutoPay&amp;Paperless'!$F:$F,'AutoPay&amp;Paperless'!$C:$C,"$",'AutoPay&amp;Paperless'!$D:$D,$A58,'AutoPay&amp;Paperless'!$E:$E,$C58)/$Q$28</f>
        <v>-0.748</v>
      </c>
      <c r="H58" s="136">
        <f>G58-F58</f>
        <v>0</v>
      </c>
      <c r="I58" s="499">
        <f>IFERROR(H58/F58*100,0)</f>
        <v>0</v>
      </c>
      <c r="J58" s="136">
        <f>G58</f>
        <v>-0.748</v>
      </c>
      <c r="K58" s="136">
        <f>SUMIFS('AutoPay&amp;Paperless'!$F:$F,'AutoPay&amp;Paperless'!$C:$C,"$",'AutoPay&amp;Paperless'!$D:$D,$A58,'AutoPay&amp;Paperless'!$E:$E,$C58)/$Q$28</f>
        <v>-0.748</v>
      </c>
      <c r="L58" s="136">
        <f>K58-J58</f>
        <v>0</v>
      </c>
      <c r="M58" s="464">
        <f>IFERROR(L58/J58*100,0)</f>
        <v>0</v>
      </c>
      <c r="N58" s="283">
        <f>K58-F58</f>
        <v>0</v>
      </c>
      <c r="O58" s="464">
        <f t="shared" si="21"/>
        <v>0</v>
      </c>
      <c r="P58" s="582"/>
    </row>
    <row r="59" spans="1:16" s="450" customFormat="1" ht="15.75" customHeight="1">
      <c r="A59" s="461" t="s">
        <v>7</v>
      </c>
      <c r="B59" s="97" t="s">
        <v>558</v>
      </c>
      <c r="C59" s="294" t="s">
        <v>352</v>
      </c>
      <c r="D59" s="291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83">
        <f>SUMIFS('Normalized Units'!I:I,'Normalized Units'!B:B,"Normalized Billing Units",'Normalized Units'!C:C,B59,'Normalized Units'!D:D,A59,'Normalized Units'!H:H,"kWh*")/$Q$28</f>
        <v>0</v>
      </c>
      <c r="F59" s="137">
        <f>SUMIFS(RVN!$F:$F,RVN!$A:$A,$A59,RVN!$J:$J,$C59)/$Q$28</f>
        <v>11.579079999999999</v>
      </c>
      <c r="G59" s="137">
        <f>SUMIFS(RVN!$F:$F,RVN!$A:$A,$A59,RVN!$J:$J,$C59)/$Q$28</f>
        <v>11.579079999999999</v>
      </c>
      <c r="H59" s="136">
        <f>G59-F59</f>
        <v>0</v>
      </c>
      <c r="I59" s="499">
        <f>IFERROR(H59/F59*100,0)</f>
        <v>0</v>
      </c>
      <c r="J59" s="136">
        <f>G59</f>
        <v>11.579079999999999</v>
      </c>
      <c r="K59" s="137">
        <f>SUMIFS(RVN!$F:$F,RVN!$A:$A,$A59,RVN!$J:$J,$C59)/$Q$28</f>
        <v>11.579079999999999</v>
      </c>
      <c r="L59" s="136">
        <f>K59-J59</f>
        <v>0</v>
      </c>
      <c r="M59" s="464">
        <f>IFERROR(L59/J59*100,0)</f>
        <v>0</v>
      </c>
      <c r="N59" s="283">
        <f>K59-F59</f>
        <v>0</v>
      </c>
      <c r="O59" s="464">
        <f t="shared" si="21"/>
        <v>0</v>
      </c>
      <c r="P59" s="582"/>
    </row>
    <row r="60" spans="1:16" s="450" customFormat="1" ht="15.75" customHeight="1">
      <c r="A60" s="466" t="s">
        <v>7</v>
      </c>
      <c r="B60" s="414" t="s">
        <v>195</v>
      </c>
      <c r="C60" s="414" t="s">
        <v>195</v>
      </c>
      <c r="D60" s="476">
        <f>SUM(D52:D59)</f>
        <v>584.58055555555563</v>
      </c>
      <c r="E60" s="476">
        <f t="shared" ref="E60:H60" si="42">SUM(E52:E59)</f>
        <v>849934.08196338546</v>
      </c>
      <c r="F60" s="476">
        <f t="shared" si="42"/>
        <v>65771.514775344564</v>
      </c>
      <c r="G60" s="476">
        <f t="shared" ca="1" si="42"/>
        <v>71155.574867857635</v>
      </c>
      <c r="H60" s="476">
        <f t="shared" ca="1" si="42"/>
        <v>5384.0600925130548</v>
      </c>
      <c r="I60" s="501">
        <f ca="1">IFERROR(H60/F60*100,0)</f>
        <v>8.1860059189808272</v>
      </c>
      <c r="J60" s="476">
        <f t="shared" ref="J60:N60" ca="1" si="43">SUM(J52:J59)</f>
        <v>71155.574867857635</v>
      </c>
      <c r="K60" s="476">
        <f t="shared" ca="1" si="43"/>
        <v>75779.475629881956</v>
      </c>
      <c r="L60" s="476">
        <f t="shared" ca="1" si="43"/>
        <v>4623.9007620243301</v>
      </c>
      <c r="M60" s="467">
        <f ca="1">IFERROR(L60/J60*100,0)</f>
        <v>6.4982972460152748</v>
      </c>
      <c r="N60" s="476">
        <f t="shared" ca="1" si="43"/>
        <v>10007.960854537385</v>
      </c>
      <c r="O60" s="479">
        <f t="shared" ca="1" si="21"/>
        <v>15.21625416218788</v>
      </c>
      <c r="P60" s="582"/>
    </row>
    <row r="61" spans="1:16" s="450" customFormat="1" ht="15.75" customHeight="1">
      <c r="A61" s="472"/>
      <c r="B61" s="323"/>
      <c r="C61" s="323"/>
      <c r="D61" s="290"/>
      <c r="E61" s="274"/>
      <c r="F61" s="260"/>
      <c r="G61" s="260"/>
      <c r="H61" s="260"/>
      <c r="I61" s="504"/>
      <c r="J61" s="260"/>
      <c r="K61" s="260"/>
      <c r="L61" s="260"/>
      <c r="M61" s="471"/>
      <c r="N61" s="274"/>
      <c r="O61" s="471">
        <f t="shared" si="21"/>
        <v>0</v>
      </c>
      <c r="P61" s="582"/>
    </row>
    <row r="62" spans="1:16" s="450" customFormat="1" ht="15.75" customHeight="1">
      <c r="A62" s="462" t="s">
        <v>179</v>
      </c>
      <c r="B62" s="294" t="s">
        <v>152</v>
      </c>
      <c r="C62" s="294" t="s">
        <v>556</v>
      </c>
      <c r="D62" s="291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83">
        <f>SUMIFS('Normalized Units'!I:I,'Normalized Units'!B:B,"Normalized Billing Units",'Normalized Units'!C:C,B62,'Normalized Units'!D:D,A62,'Normalized Units'!H:H,"kWh*")/$Q$28</f>
        <v>152841.48716573825</v>
      </c>
      <c r="F62" s="136">
        <f>SUMIFS(Sch.40!$S:$S,Sch.40!$N:$N,F$75&amp;F$31,Sch.40!$O:$O,"$")/$Q$28</f>
        <v>14475.016400296861</v>
      </c>
      <c r="G62" s="136">
        <f ca="1">SUMIFS(Sch.40!$S:$S,Sch.40!$N:$N,G$75&amp;G$31,Sch.40!$O:$O,"$")/$Q$28</f>
        <v>15792.075428738721</v>
      </c>
      <c r="H62" s="136">
        <f ca="1">G62-F62</f>
        <v>1317.0590284418595</v>
      </c>
      <c r="I62" s="499">
        <f ca="1">IFERROR(H62/F62*100,0)</f>
        <v>9.0988430825877931</v>
      </c>
      <c r="J62" s="136">
        <f ca="1">G62</f>
        <v>15792.075428738721</v>
      </c>
      <c r="K62" s="136">
        <f ca="1">SUMIFS(Sch.40!$S:$S,Sch.40!$N:$N,K$75&amp;K$31,Sch.40!$O:$O,"$")/$Q$28</f>
        <v>16824.662649711008</v>
      </c>
      <c r="L62" s="136">
        <f ca="1">K62-J62</f>
        <v>1032.5872209722875</v>
      </c>
      <c r="M62" s="464">
        <f ca="1">IFERROR(L62/J62*100,0)</f>
        <v>6.538641647399718</v>
      </c>
      <c r="N62" s="283">
        <f ca="1">K62-F62</f>
        <v>2349.646249414147</v>
      </c>
      <c r="O62" s="464">
        <f t="shared" ca="1" si="21"/>
        <v>16.232425473217145</v>
      </c>
      <c r="P62" s="582"/>
    </row>
    <row r="63" spans="1:16" s="450" customFormat="1" ht="15.75" customHeight="1">
      <c r="A63" s="462" t="s">
        <v>179</v>
      </c>
      <c r="B63" s="97" t="s">
        <v>558</v>
      </c>
      <c r="C63" s="97" t="s">
        <v>369</v>
      </c>
      <c r="D63" s="291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83">
        <f>SUMIFS('Normalized Units'!I:I,'Normalized Units'!B:B,"Normalized Billing Units",'Normalized Units'!C:C,B63,'Normalized Units'!D:D,A63,'Normalized Units'!H:H,"kWh*")/$Q$28</f>
        <v>0</v>
      </c>
      <c r="F63" s="136">
        <f>SUMIFS('AutoPay&amp;Paperless'!$F:$F,'AutoPay&amp;Paperless'!$C:$C,"$",'AutoPay&amp;Paperless'!$D:$D,$A63,'AutoPay&amp;Paperless'!$E:$E,$C63)/$Q$28</f>
        <v>-7.2539999999999996</v>
      </c>
      <c r="G63" s="136">
        <f>SUMIFS('AutoPay&amp;Paperless'!$F:$F,'AutoPay&amp;Paperless'!$C:$C,"$",'AutoPay&amp;Paperless'!$D:$D,$A63,'AutoPay&amp;Paperless'!$E:$E,$C63)/$Q$28</f>
        <v>-7.2539999999999996</v>
      </c>
      <c r="H63" s="136">
        <f t="shared" ref="H63:H65" si="44">G63-F63</f>
        <v>0</v>
      </c>
      <c r="I63" s="499">
        <f t="shared" ref="I63:I65" si="45">IFERROR(H63/F63*100,0)</f>
        <v>0</v>
      </c>
      <c r="J63" s="136">
        <f t="shared" ref="J63:J65" si="46">G63</f>
        <v>-7.2539999999999996</v>
      </c>
      <c r="K63" s="136">
        <f>SUMIFS('AutoPay&amp;Paperless'!$F:$F,'AutoPay&amp;Paperless'!$C:$C,"$",'AutoPay&amp;Paperless'!$D:$D,$A63,'AutoPay&amp;Paperless'!$E:$E,$C63)/$Q$28</f>
        <v>-7.2539999999999996</v>
      </c>
      <c r="L63" s="136">
        <f t="shared" ref="L63:L65" si="47">K63-J63</f>
        <v>0</v>
      </c>
      <c r="M63" s="464">
        <f t="shared" ref="M63:M65" si="48">IFERROR(L63/J63*100,0)</f>
        <v>0</v>
      </c>
      <c r="N63" s="283">
        <f t="shared" ref="N63:N65" si="49">K63-F63</f>
        <v>0</v>
      </c>
      <c r="O63" s="464">
        <f t="shared" si="21"/>
        <v>0</v>
      </c>
      <c r="P63" s="582"/>
    </row>
    <row r="64" spans="1:16" s="450" customFormat="1" ht="15.75" customHeight="1">
      <c r="A64" s="462" t="s">
        <v>179</v>
      </c>
      <c r="B64" s="97" t="s">
        <v>558</v>
      </c>
      <c r="C64" s="97" t="s">
        <v>370</v>
      </c>
      <c r="D64" s="291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83">
        <f>SUMIFS('Normalized Units'!I:I,'Normalized Units'!B:B,"Normalized Billing Units",'Normalized Units'!C:C,B64,'Normalized Units'!D:D,A64,'Normalized Units'!H:H,"kWh*")/$Q$28</f>
        <v>0</v>
      </c>
      <c r="F64" s="136">
        <f>SUMIFS('AutoPay&amp;Paperless'!$F:$F,'AutoPay&amp;Paperless'!$C:$C,"$",'AutoPay&amp;Paperless'!$D:$D,$A64,'AutoPay&amp;Paperless'!$E:$E,$C64)/$Q$28</f>
        <v>-6.3845000000000001</v>
      </c>
      <c r="G64" s="136">
        <f>SUMIFS('AutoPay&amp;Paperless'!$F:$F,'AutoPay&amp;Paperless'!$C:$C,"$",'AutoPay&amp;Paperless'!$D:$D,$A64,'AutoPay&amp;Paperless'!$E:$E,$C64)/$Q$28</f>
        <v>-6.3845000000000001</v>
      </c>
      <c r="H64" s="136">
        <f t="shared" si="44"/>
        <v>0</v>
      </c>
      <c r="I64" s="499">
        <f t="shared" si="45"/>
        <v>0</v>
      </c>
      <c r="J64" s="136">
        <f t="shared" si="46"/>
        <v>-6.3845000000000001</v>
      </c>
      <c r="K64" s="136">
        <f>SUMIFS('AutoPay&amp;Paperless'!$F:$F,'AutoPay&amp;Paperless'!$C:$C,"$",'AutoPay&amp;Paperless'!$D:$D,$A64,'AutoPay&amp;Paperless'!$E:$E,$C64)/$Q$28</f>
        <v>-6.3845000000000001</v>
      </c>
      <c r="L64" s="136">
        <f t="shared" si="47"/>
        <v>0</v>
      </c>
      <c r="M64" s="464">
        <f t="shared" si="48"/>
        <v>0</v>
      </c>
      <c r="N64" s="283">
        <f t="shared" si="49"/>
        <v>0</v>
      </c>
      <c r="O64" s="464">
        <f t="shared" si="21"/>
        <v>0</v>
      </c>
      <c r="P64" s="582"/>
    </row>
    <row r="65" spans="1:16" s="450" customFormat="1" ht="15.75" customHeight="1">
      <c r="A65" s="461" t="s">
        <v>179</v>
      </c>
      <c r="B65" s="97" t="s">
        <v>558</v>
      </c>
      <c r="C65" s="294" t="s">
        <v>352</v>
      </c>
      <c r="D65" s="291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83">
        <f>SUMIFS('Normalized Units'!I:I,'Normalized Units'!B:B,"Normalized Billing Units",'Normalized Units'!C:C,B65,'Normalized Units'!D:D,A65,'Normalized Units'!H:H,"kWh*")/$Q$28</f>
        <v>0</v>
      </c>
      <c r="F65" s="137">
        <f>SUMIFS(RVN!$F:$F,RVN!$A:$A,$A65,RVN!$J:$J,$C65)/$Q$28</f>
        <v>140.31836999999999</v>
      </c>
      <c r="G65" s="137">
        <f>SUMIFS(RVN!$F:$F,RVN!$A:$A,$A65,RVN!$J:$J,$C65)/$Q$28</f>
        <v>140.31836999999999</v>
      </c>
      <c r="H65" s="136">
        <f t="shared" si="44"/>
        <v>0</v>
      </c>
      <c r="I65" s="499">
        <f t="shared" si="45"/>
        <v>0</v>
      </c>
      <c r="J65" s="136">
        <f t="shared" si="46"/>
        <v>140.31836999999999</v>
      </c>
      <c r="K65" s="137">
        <f>SUMIFS(RVN!$F:$F,RVN!$A:$A,$A65,RVN!$J:$J,$C65)/$Q$28</f>
        <v>140.31836999999999</v>
      </c>
      <c r="L65" s="136">
        <f t="shared" si="47"/>
        <v>0</v>
      </c>
      <c r="M65" s="464">
        <f t="shared" si="48"/>
        <v>0</v>
      </c>
      <c r="N65" s="283">
        <f t="shared" si="49"/>
        <v>0</v>
      </c>
      <c r="O65" s="464">
        <f t="shared" si="21"/>
        <v>0</v>
      </c>
      <c r="P65" s="582"/>
    </row>
    <row r="66" spans="1:16" s="450" customFormat="1" ht="15.75" customHeight="1">
      <c r="A66" s="466" t="s">
        <v>179</v>
      </c>
      <c r="B66" s="414" t="s">
        <v>195</v>
      </c>
      <c r="C66" s="414" t="s">
        <v>195</v>
      </c>
      <c r="D66" s="476">
        <f>SUM(D62:D65)</f>
        <v>5140.8634747118504</v>
      </c>
      <c r="E66" s="476">
        <f t="shared" ref="E66:H66" si="50">SUM(E62:E65)</f>
        <v>152841.48716573825</v>
      </c>
      <c r="F66" s="476">
        <f t="shared" si="50"/>
        <v>14601.696270296861</v>
      </c>
      <c r="G66" s="476">
        <f t="shared" ca="1" si="50"/>
        <v>15918.755298738721</v>
      </c>
      <c r="H66" s="476">
        <f t="shared" ca="1" si="50"/>
        <v>1317.0590284418595</v>
      </c>
      <c r="I66" s="501">
        <f ca="1">IFERROR(H66/F66*100,0)</f>
        <v>9.0199042909901781</v>
      </c>
      <c r="J66" s="476">
        <f ca="1">SUM(J62:J65)</f>
        <v>15918.755298738721</v>
      </c>
      <c r="K66" s="476">
        <f ca="1">SUM(K62:K65)</f>
        <v>16951.342519711008</v>
      </c>
      <c r="L66" s="476">
        <f ca="1">SUM(L62:L65)</f>
        <v>1032.5872209722875</v>
      </c>
      <c r="M66" s="467">
        <f ca="1">IFERROR(L66/J66*100,0)</f>
        <v>6.4866077880731146</v>
      </c>
      <c r="N66" s="476">
        <f ca="1">SUM(N62:N65)</f>
        <v>2349.646249414147</v>
      </c>
      <c r="O66" s="479">
        <f t="shared" ca="1" si="21"/>
        <v>16.091597893279403</v>
      </c>
      <c r="P66" s="582"/>
    </row>
    <row r="67" spans="1:16" s="450" customFormat="1" ht="15.75" customHeight="1">
      <c r="A67" s="472"/>
      <c r="B67" s="323"/>
      <c r="C67" s="323"/>
      <c r="D67" s="290"/>
      <c r="E67" s="274"/>
      <c r="F67" s="260"/>
      <c r="G67" s="260"/>
      <c r="H67" s="260"/>
      <c r="I67" s="504"/>
      <c r="J67" s="260"/>
      <c r="K67" s="260"/>
      <c r="L67" s="260"/>
      <c r="M67" s="471"/>
      <c r="N67" s="274"/>
      <c r="O67" s="471">
        <f t="shared" si="21"/>
        <v>0</v>
      </c>
      <c r="P67" s="582"/>
    </row>
    <row r="68" spans="1:16" ht="15.75" customHeight="1">
      <c r="A68" s="462" t="s">
        <v>167</v>
      </c>
      <c r="B68" s="294" t="s">
        <v>170</v>
      </c>
      <c r="C68" s="294" t="s">
        <v>552</v>
      </c>
      <c r="D68" s="291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83">
        <f>SUMIFS('Normalized Units'!I:I,'Normalized Units'!B:B,"Normalized Billing Units",'Normalized Units'!C:C,B68,'Normalized Units'!D:D,A68,'Normalized Units'!H:H,"kWh*")/$Q$28</f>
        <v>1820.2173769310609</v>
      </c>
      <c r="F68" s="136">
        <f>SUMIFS('Sch.15,51,53,54'!$G:$G,'Sch.15,51,53,54'!$A:$A,F$75&amp;F$31,'Sch.15,51,53,54'!$B:$B,"$",'Sch.15,51,53,54'!$C:$C,$B68,'Sch.15,51,53,54'!$D:$D,$A68)/$Q$28</f>
        <v>464.27096133082063</v>
      </c>
      <c r="G68" s="136">
        <f ca="1">SUMIFS('Sch.15,51,53,54'!$G:$G,'Sch.15,51,53,54'!$A:$A,G$75&amp;G$31,'Sch.15,51,53,54'!$B:$B,"$",'Sch.15,51,53,54'!$C:$C,$B68,'Sch.15,51,53,54'!$D:$D,$A68)/$Q$28</f>
        <v>507.76501687532857</v>
      </c>
      <c r="H68" s="136">
        <f ca="1">G68-F68</f>
        <v>43.494055544507944</v>
      </c>
      <c r="I68" s="499">
        <f ca="1">IFERROR(H68/F68*100,0)</f>
        <v>9.3682481066300944</v>
      </c>
      <c r="J68" s="136">
        <f ca="1">G68</f>
        <v>507.76501687532857</v>
      </c>
      <c r="K68" s="136">
        <f ca="1">SUMIFS('Sch.15,51,53,54'!$G:$G,'Sch.15,51,53,54'!$A:$A,K$75&amp;K$31,'Sch.15,51,53,54'!$B:$B,"$",'Sch.15,51,53,54'!$C:$C,$B68,'Sch.15,51,53,54'!$D:$D,$A68)/$Q$28</f>
        <v>541.85525418708471</v>
      </c>
      <c r="L68" s="136">
        <f ca="1">K68-J68</f>
        <v>34.090237311756141</v>
      </c>
      <c r="M68" s="464">
        <f ca="1">IFERROR(L68/J68*100,0)</f>
        <v>6.7137821982183361</v>
      </c>
      <c r="N68" s="283">
        <f ca="1">K68-F68</f>
        <v>77.584292856264085</v>
      </c>
      <c r="O68" s="464">
        <f t="shared" ca="1" si="21"/>
        <v>16.71099407851629</v>
      </c>
      <c r="P68" s="582"/>
    </row>
    <row r="69" spans="1:16" ht="15.75" customHeight="1">
      <c r="A69" s="462" t="s">
        <v>167</v>
      </c>
      <c r="B69" s="294" t="s">
        <v>227</v>
      </c>
      <c r="C69" s="294" t="s">
        <v>553</v>
      </c>
      <c r="D69" s="291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83">
        <f>SUMIFS('Normalized Units'!I:I,'Normalized Units'!B:B,"Normalized Billing Units",'Normalized Units'!C:C,B69,'Normalized Units'!D:D,A69,'Normalized Units'!H:H,"kWh*")/$Q$28</f>
        <v>1961.4729048762861</v>
      </c>
      <c r="F69" s="136">
        <f>SUMIFS('Sch.15,51,53,54'!$G:$G,'Sch.15,51,53,54'!$A:$A,F$75&amp;F$31,'Sch.15,51,53,54'!$B:$B,"$",'Sch.15,51,53,54'!$C:$C,$B69,'Sch.15,51,53,54'!$D:$D,$A69)/$Q$28</f>
        <v>107.67492750922015</v>
      </c>
      <c r="G69" s="136">
        <f ca="1">SUMIFS('Sch.15,51,53,54'!$G:$G,'Sch.15,51,53,54'!$A:$A,G$75&amp;G$31,'Sch.15,51,53,54'!$B:$B,"$",'Sch.15,51,53,54'!$C:$C,$B69,'Sch.15,51,53,54'!$D:$D,$A69)/$Q$28</f>
        <v>117.81199478189542</v>
      </c>
      <c r="H69" s="136">
        <f t="shared" ref="H69:H70" ca="1" si="51">G69-F69</f>
        <v>10.137067272675267</v>
      </c>
      <c r="I69" s="499">
        <f t="shared" ref="I69:I70" ca="1" si="52">IFERROR(H69/F69*100,0)</f>
        <v>9.4145104224075133</v>
      </c>
      <c r="J69" s="136">
        <f t="shared" ref="J69:J70" ca="1" si="53">G69</f>
        <v>117.81199478189542</v>
      </c>
      <c r="K69" s="136">
        <f ca="1">SUMIFS('Sch.15,51,53,54'!$G:$G,'Sch.15,51,53,54'!$A:$A,K$75&amp;K$31,'Sch.15,51,53,54'!$B:$B,"$",'Sch.15,51,53,54'!$C:$C,$B69,'Sch.15,51,53,54'!$D:$D,$A69)/$Q$28</f>
        <v>125.71045969852156</v>
      </c>
      <c r="L69" s="136">
        <f t="shared" ref="L69:L70" ca="1" si="54">K69-J69</f>
        <v>7.8984649166261391</v>
      </c>
      <c r="M69" s="464">
        <f t="shared" ref="M69:M70" ca="1" si="55">IFERROR(L69/J69*100,0)</f>
        <v>6.7042960534269156</v>
      </c>
      <c r="N69" s="283">
        <f t="shared" ref="N69:N70" ca="1" si="56">K69-F69</f>
        <v>18.035532189301406</v>
      </c>
      <c r="O69" s="464">
        <f t="shared" ca="1" si="21"/>
        <v>16.749983126533362</v>
      </c>
      <c r="P69" s="582"/>
    </row>
    <row r="70" spans="1:16" ht="15.75" customHeight="1">
      <c r="A70" s="461" t="s">
        <v>167</v>
      </c>
      <c r="B70" s="97" t="s">
        <v>558</v>
      </c>
      <c r="C70" s="294" t="s">
        <v>352</v>
      </c>
      <c r="D70" s="291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83">
        <f>SUMIFS('Normalized Units'!I:I,'Normalized Units'!B:B,"Normalized Billing Units",'Normalized Units'!C:C,B70,'Normalized Units'!D:D,A70,'Normalized Units'!H:H,"kWh*")/$Q$28</f>
        <v>0</v>
      </c>
      <c r="F70" s="137">
        <f>SUMIFS(RVN!$F:$F,RVN!$A:$A,$A70,RVN!$J:$J,$C70)/$Q$28</f>
        <v>9.0840000000000004E-2</v>
      </c>
      <c r="G70" s="137">
        <f>SUMIFS(RVN!$F:$F,RVN!$A:$A,$A70,RVN!$J:$J,$C70)/$Q$28</f>
        <v>9.0840000000000004E-2</v>
      </c>
      <c r="H70" s="136">
        <f t="shared" si="51"/>
        <v>0</v>
      </c>
      <c r="I70" s="499">
        <f t="shared" si="52"/>
        <v>0</v>
      </c>
      <c r="J70" s="136">
        <f t="shared" si="53"/>
        <v>9.0840000000000004E-2</v>
      </c>
      <c r="K70" s="137">
        <f>SUMIFS(RVN!$F:$F,RVN!$A:$A,$A70,RVN!$J:$J,$C70)/$Q$28</f>
        <v>9.0840000000000004E-2</v>
      </c>
      <c r="L70" s="136">
        <f t="shared" si="54"/>
        <v>0</v>
      </c>
      <c r="M70" s="464">
        <f t="shared" si="55"/>
        <v>0</v>
      </c>
      <c r="N70" s="283">
        <f t="shared" si="56"/>
        <v>0</v>
      </c>
      <c r="O70" s="464">
        <f t="shared" si="21"/>
        <v>0</v>
      </c>
      <c r="P70" s="582"/>
    </row>
    <row r="71" spans="1:16" ht="15.75" customHeight="1">
      <c r="A71" s="466" t="s">
        <v>167</v>
      </c>
      <c r="B71" s="414" t="s">
        <v>195</v>
      </c>
      <c r="C71" s="414" t="s">
        <v>195</v>
      </c>
      <c r="D71" s="476">
        <f>SUM(D68:D70)</f>
        <v>458.5</v>
      </c>
      <c r="E71" s="476">
        <f t="shared" ref="E71:J71" si="57">SUM(E68:E70)</f>
        <v>3781.6902818073468</v>
      </c>
      <c r="F71" s="476">
        <f t="shared" si="57"/>
        <v>572.03672884004072</v>
      </c>
      <c r="G71" s="476">
        <f t="shared" ca="1" si="57"/>
        <v>625.66785165722399</v>
      </c>
      <c r="H71" s="476">
        <f t="shared" ca="1" si="57"/>
        <v>53.631122817183211</v>
      </c>
      <c r="I71" s="501">
        <f ca="1">IFERROR(H71/F71*100,0)</f>
        <v>9.3754684119557901</v>
      </c>
      <c r="J71" s="476">
        <f t="shared" ca="1" si="57"/>
        <v>625.66785165722399</v>
      </c>
      <c r="K71" s="476">
        <f ca="1">SUM(K68:K70)</f>
        <v>667.65655388560629</v>
      </c>
      <c r="L71" s="476">
        <f ca="1">SUM(L68:L70)</f>
        <v>41.98870222838228</v>
      </c>
      <c r="M71" s="467">
        <f ca="1">IFERROR(L71/J71*100,0)</f>
        <v>6.7110212099224258</v>
      </c>
      <c r="N71" s="476">
        <f ca="1">SUM(N68:N70)</f>
        <v>95.619825045565491</v>
      </c>
      <c r="O71" s="479">
        <f ca="1">IFERROR(N71/F71*100,0)</f>
        <v>16.715679295534148</v>
      </c>
      <c r="P71" s="582"/>
    </row>
    <row r="72" spans="1:16" ht="15.75" customHeight="1">
      <c r="A72" s="466"/>
      <c r="B72" s="414"/>
      <c r="C72" s="414"/>
      <c r="D72" s="476"/>
      <c r="E72" s="206"/>
      <c r="F72" s="332"/>
      <c r="G72" s="332"/>
      <c r="H72" s="332"/>
      <c r="I72" s="501"/>
      <c r="J72" s="332"/>
      <c r="K72" s="332"/>
      <c r="L72" s="332"/>
      <c r="M72" s="467"/>
      <c r="N72" s="206"/>
      <c r="O72" s="467">
        <f t="shared" si="21"/>
        <v>0</v>
      </c>
      <c r="P72" s="582"/>
    </row>
    <row r="73" spans="1:16" ht="15.75" customHeight="1">
      <c r="A73" s="466" t="s">
        <v>195</v>
      </c>
      <c r="B73" s="414" t="s">
        <v>195</v>
      </c>
      <c r="C73" s="414" t="s">
        <v>195</v>
      </c>
      <c r="D73" s="476">
        <f>D40+D50+D60+D66+D71</f>
        <v>140527.93088372098</v>
      </c>
      <c r="E73" s="476">
        <f>E40+E50+E60+E66+E71</f>
        <v>4194177.378937826</v>
      </c>
      <c r="F73" s="424">
        <f>F40+F50+F60+F66+F71</f>
        <v>405024.31590073655</v>
      </c>
      <c r="G73" s="424">
        <f ca="1">G40+G50+G60+G66+G71</f>
        <v>431787.33035114367</v>
      </c>
      <c r="H73" s="424">
        <f ca="1">H40+H50+H60+H66+H71</f>
        <v>26763.014450407143</v>
      </c>
      <c r="I73" s="501">
        <f t="shared" ref="I73" ca="1" si="58">IFERROR(H73/F73*100,0)</f>
        <v>6.6077549914228424</v>
      </c>
      <c r="J73" s="424">
        <f ca="1">J40+J50+J60+J66+J71</f>
        <v>431787.33035114367</v>
      </c>
      <c r="K73" s="424">
        <f ca="1">K40+K50+K60+K66+K71</f>
        <v>459734.87371228758</v>
      </c>
      <c r="L73" s="424">
        <f ca="1">L40+L50+L60+L66+L71</f>
        <v>27947.543361143904</v>
      </c>
      <c r="M73" s="467">
        <f t="shared" ref="M73" ca="1" si="59">IFERROR(L73/J73*100,0)</f>
        <v>6.4725251059163877</v>
      </c>
      <c r="N73" s="476">
        <f ca="1">N40+N50+N60+N66+N71</f>
        <v>54710.557811551051</v>
      </c>
      <c r="O73" s="479">
        <f t="shared" ca="1" si="21"/>
        <v>13.507968698096517</v>
      </c>
      <c r="P73" s="582"/>
    </row>
    <row r="74" spans="1:16" ht="15.75" customHeight="1">
      <c r="C74" s="446"/>
      <c r="E74" s="465"/>
      <c r="H74" s="135"/>
      <c r="I74" s="135"/>
      <c r="L74" s="135"/>
      <c r="M74" s="273"/>
      <c r="N74" s="273"/>
    </row>
    <row r="75" spans="1:16" ht="15.75" customHeight="1">
      <c r="G75" s="505" t="s">
        <v>568</v>
      </c>
      <c r="H75" s="107"/>
      <c r="I75" s="107"/>
      <c r="J75" s="505"/>
      <c r="K75" s="505" t="s">
        <v>569</v>
      </c>
      <c r="M75" s="273"/>
      <c r="N75" s="273"/>
    </row>
  </sheetData>
  <printOptions horizontalCentered="1"/>
  <pageMargins left="0.2" right="0.2" top="0.2" bottom="0.2" header="0" footer="0"/>
  <pageSetup scale="66" fitToHeight="0" orientation="landscape" r:id="rId1"/>
  <ignoredErrors>
    <ignoredError sqref="I8:I12 M8:M12 I41:J49 L41:M49 I13:I25 M13:M25 I57:J59 L57:M59 I61:J65 I60 L61:M65 M60 I40 M40 I51:J56 I50 L51:M56 M50 I67:J70 I66 L67:M70 I72:J73 I71 L72:M73 E45:E55 M66 M71" formula="1"/>
    <ignoredError sqref="T9:T11 T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showGridLines="0" zoomScaleNormal="100" workbookViewId="0"/>
  </sheetViews>
  <sheetFormatPr defaultColWidth="8.83203125" defaultRowHeight="15.35"/>
  <cols>
    <col min="1" max="1" width="0.83203125" customWidth="1"/>
    <col min="2" max="2" width="33" style="202" bestFit="1" customWidth="1"/>
    <col min="3" max="3" width="9.5" style="202" customWidth="1"/>
    <col min="4" max="12" width="9.5" customWidth="1"/>
    <col min="13" max="13" width="9.5" style="234" customWidth="1"/>
    <col min="14" max="16" width="9.5" customWidth="1"/>
    <col min="17" max="25" width="10.6640625" customWidth="1"/>
  </cols>
  <sheetData>
    <row r="2" spans="2:16" ht="15.75" customHeight="1">
      <c r="B2" s="640" t="s">
        <v>630</v>
      </c>
      <c r="C2" s="453"/>
      <c r="D2" s="200"/>
      <c r="E2" s="200"/>
      <c r="F2" s="333"/>
      <c r="G2" s="333"/>
      <c r="H2" s="333"/>
      <c r="I2" s="333"/>
      <c r="J2" s="333"/>
      <c r="K2" s="333"/>
      <c r="L2" s="333"/>
      <c r="M2" s="200"/>
      <c r="N2" s="200"/>
      <c r="O2" s="200"/>
      <c r="P2" s="201"/>
    </row>
    <row r="3" spans="2:16" ht="15.75" customHeight="1">
      <c r="B3" s="296"/>
      <c r="C3" s="338" t="s">
        <v>501</v>
      </c>
      <c r="D3" s="200"/>
      <c r="E3" s="200"/>
      <c r="F3" s="377"/>
      <c r="G3" s="333"/>
      <c r="H3" s="216"/>
      <c r="I3" s="338" t="s">
        <v>503</v>
      </c>
      <c r="J3" s="200"/>
      <c r="K3" s="200"/>
      <c r="L3" s="377"/>
      <c r="M3" s="333"/>
      <c r="N3" s="216"/>
      <c r="O3" s="653"/>
      <c r="P3" s="371"/>
    </row>
    <row r="4" spans="2:16" ht="15.75" customHeight="1">
      <c r="B4" s="296"/>
      <c r="C4" s="641"/>
      <c r="D4" s="10"/>
      <c r="E4" s="644" t="s">
        <v>360</v>
      </c>
      <c r="F4" s="377"/>
      <c r="G4" s="333"/>
      <c r="H4" s="216"/>
      <c r="I4" s="641"/>
      <c r="J4" s="10"/>
      <c r="K4" s="644" t="s">
        <v>360</v>
      </c>
      <c r="L4" s="377"/>
      <c r="M4" s="333"/>
      <c r="N4" s="216"/>
      <c r="O4" s="652" t="s">
        <v>639</v>
      </c>
      <c r="P4" s="374"/>
    </row>
    <row r="5" spans="2:16" ht="15.75" customHeight="1">
      <c r="B5" s="296"/>
      <c r="C5" s="457" t="s">
        <v>628</v>
      </c>
      <c r="D5" s="374"/>
      <c r="F5" s="642"/>
      <c r="G5" s="643"/>
      <c r="H5" s="210" t="s">
        <v>494</v>
      </c>
      <c r="I5" s="457" t="s">
        <v>628</v>
      </c>
      <c r="J5" s="374"/>
      <c r="L5" s="642"/>
      <c r="M5" s="643"/>
      <c r="N5" s="210" t="s">
        <v>494</v>
      </c>
      <c r="O5" s="643"/>
      <c r="P5" s="210" t="s">
        <v>494</v>
      </c>
    </row>
    <row r="6" spans="2:16" ht="15.75" customHeight="1">
      <c r="B6" s="461" t="s">
        <v>401</v>
      </c>
      <c r="C6" s="211" t="s">
        <v>406</v>
      </c>
      <c r="D6" s="299" t="s">
        <v>412</v>
      </c>
      <c r="E6" s="211" t="s">
        <v>406</v>
      </c>
      <c r="F6" s="211" t="s">
        <v>412</v>
      </c>
      <c r="G6" s="211" t="s">
        <v>414</v>
      </c>
      <c r="H6" s="211" t="s">
        <v>414</v>
      </c>
      <c r="I6" s="211" t="s">
        <v>406</v>
      </c>
      <c r="J6" s="211" t="s">
        <v>412</v>
      </c>
      <c r="K6" s="211" t="s">
        <v>406</v>
      </c>
      <c r="L6" s="211" t="s">
        <v>412</v>
      </c>
      <c r="M6" s="211" t="s">
        <v>414</v>
      </c>
      <c r="N6" s="211" t="s">
        <v>414</v>
      </c>
      <c r="O6" s="211" t="s">
        <v>414</v>
      </c>
      <c r="P6" s="211" t="s">
        <v>414</v>
      </c>
    </row>
    <row r="7" spans="2:16" ht="15.75" customHeight="1">
      <c r="B7" s="472" t="s">
        <v>627</v>
      </c>
      <c r="C7" s="656">
        <f>'Sch.16,17,19'!Q19</f>
        <v>7.75</v>
      </c>
      <c r="D7" s="656">
        <f>'Sch.16,17,19'!Q35</f>
        <v>10</v>
      </c>
      <c r="E7" s="595">
        <f>C7</f>
        <v>7.75</v>
      </c>
      <c r="F7" s="595">
        <f>D7</f>
        <v>10</v>
      </c>
      <c r="G7" s="595">
        <f>F7-E7</f>
        <v>2.25</v>
      </c>
      <c r="H7" s="504">
        <f>IFERROR(G7/E7*100,0)</f>
        <v>29.032258064516132</v>
      </c>
      <c r="I7" s="535">
        <f>D7</f>
        <v>10</v>
      </c>
      <c r="J7" s="535">
        <f>'Sch.16,17,19'!Q59</f>
        <v>10</v>
      </c>
      <c r="K7" s="595">
        <f>I7</f>
        <v>10</v>
      </c>
      <c r="L7" s="595">
        <f>J7</f>
        <v>10</v>
      </c>
      <c r="M7" s="595">
        <f>L7-K7</f>
        <v>0</v>
      </c>
      <c r="N7" s="504">
        <f>IFERROR(M7/K7*100,0)</f>
        <v>0</v>
      </c>
      <c r="O7" s="663">
        <f>L7-E7</f>
        <v>2.25</v>
      </c>
      <c r="P7" s="471">
        <f>IFERROR(O7/E7*100,0)</f>
        <v>29.032258064516132</v>
      </c>
    </row>
    <row r="8" spans="2:16" ht="15.75" customHeight="1">
      <c r="B8" s="407" t="s">
        <v>396</v>
      </c>
      <c r="C8" s="657">
        <f>'Sch.16,17,19'!Q23</f>
        <v>8.276E-2</v>
      </c>
      <c r="D8" s="657">
        <f ca="1">'Sch.16,17,19'!Q40</f>
        <v>0.10617</v>
      </c>
      <c r="E8" s="597">
        <f>C8*600*$D30</f>
        <v>14.409718746203444</v>
      </c>
      <c r="F8" s="597">
        <f ca="1">D8*600*$D30</f>
        <v>18.485739962354032</v>
      </c>
      <c r="G8" s="597">
        <f t="shared" ref="G8:G19" ca="1" si="0">F8-E8</f>
        <v>4.076021216150588</v>
      </c>
      <c r="H8" s="499">
        <f t="shared" ref="H8:H20" ca="1" si="1">IFERROR(G8/E8*100,0)</f>
        <v>28.28661188980184</v>
      </c>
      <c r="I8" s="343">
        <f ca="1">D8</f>
        <v>0.10617</v>
      </c>
      <c r="J8" s="343">
        <f ca="1">'Sch.16,17,19'!Q64</f>
        <v>0.12878999999999999</v>
      </c>
      <c r="K8" s="597">
        <f ca="1">I8*600*$D30</f>
        <v>18.485739962354032</v>
      </c>
      <c r="L8" s="597">
        <f ca="1">J8*600*$D30</f>
        <v>22.424210697481165</v>
      </c>
      <c r="M8" s="597">
        <f t="shared" ref="M8:M19" ca="1" si="2">L8-K8</f>
        <v>3.9384707351271331</v>
      </c>
      <c r="N8" s="499">
        <f t="shared" ref="N8:N19" ca="1" si="3">IFERROR(M8/K8*100,0)</f>
        <v>21.305453517942897</v>
      </c>
      <c r="O8" s="664">
        <f t="shared" ref="O8:O19" ca="1" si="4">L8-E8</f>
        <v>8.0144919512777211</v>
      </c>
      <c r="P8" s="464">
        <f t="shared" ref="P8:P19" ca="1" si="5">IFERROR(O8/E8*100,0)</f>
        <v>55.618656355727381</v>
      </c>
    </row>
    <row r="9" spans="2:16" ht="15.75" customHeight="1">
      <c r="B9" s="407" t="s">
        <v>394</v>
      </c>
      <c r="C9" s="657">
        <f>'Sch.16,17,19'!Q23</f>
        <v>8.276E-2</v>
      </c>
      <c r="D9" s="657">
        <f ca="1">'Sch.16,17,19'!Q41</f>
        <v>9.6560000000000007E-2</v>
      </c>
      <c r="E9" s="597">
        <f>C9*600*$D31</f>
        <v>35.246281253796553</v>
      </c>
      <c r="F9" s="597">
        <f ca="1">D9*600*$D31</f>
        <v>41.123500699209707</v>
      </c>
      <c r="G9" s="597">
        <f t="shared" ref="G9:G11" ca="1" si="6">F9-E9</f>
        <v>5.8772194454131537</v>
      </c>
      <c r="H9" s="499">
        <f t="shared" ref="H9:H11" ca="1" si="7">IFERROR(G9/E9*100,0)</f>
        <v>16.674722087965208</v>
      </c>
      <c r="I9" s="343">
        <f t="shared" ref="I9:I11" ca="1" si="8">D9</f>
        <v>9.6560000000000007E-2</v>
      </c>
      <c r="J9" s="343">
        <f ca="1">'Sch.16,17,19'!Q65</f>
        <v>0.10958</v>
      </c>
      <c r="K9" s="597">
        <f ca="1">I9*600*$D31</f>
        <v>41.123500699209707</v>
      </c>
      <c r="L9" s="597">
        <f ca="1">J9*600*$D31</f>
        <v>46.668529480316899</v>
      </c>
      <c r="M9" s="597">
        <f t="shared" ref="M9:M11" ca="1" si="9">L9-K9</f>
        <v>5.5450287811071917</v>
      </c>
      <c r="N9" s="499">
        <f t="shared" ref="N9:N11" ca="1" si="10">IFERROR(M9/K9*100,0)</f>
        <v>13.483844241922121</v>
      </c>
      <c r="O9" s="664">
        <f t="shared" ref="O9:O11" ca="1" si="11">L9-E9</f>
        <v>11.422248226520345</v>
      </c>
      <c r="P9" s="464">
        <f t="shared" ref="P9:P11" ca="1" si="12">IFERROR(O9/E9*100,0)</f>
        <v>32.406959884001942</v>
      </c>
    </row>
    <row r="10" spans="2:16" ht="15.75" customHeight="1">
      <c r="B10" s="407" t="s">
        <v>397</v>
      </c>
      <c r="C10" s="657">
        <f>'Sch.16,17,19'!Q24</f>
        <v>0.11198</v>
      </c>
      <c r="D10" s="657">
        <f ca="1">'Sch.16,17,19'!Q42</f>
        <v>0.12078</v>
      </c>
      <c r="E10" s="597">
        <f>C10*600*$D30</f>
        <v>19.497345398741686</v>
      </c>
      <c r="F10" s="597">
        <f ca="1">D10*600*$D30</f>
        <v>21.029553288623152</v>
      </c>
      <c r="G10" s="597">
        <f t="shared" ca="1" si="6"/>
        <v>1.5322078898814659</v>
      </c>
      <c r="H10" s="499">
        <f t="shared" ca="1" si="7"/>
        <v>7.8585461689587301</v>
      </c>
      <c r="I10" s="343">
        <f t="shared" ca="1" si="8"/>
        <v>0.12078</v>
      </c>
      <c r="J10" s="343">
        <f ca="1">'Sch.16,17,19'!Q66</f>
        <v>0.12878999999999999</v>
      </c>
      <c r="K10" s="597">
        <f ca="1">I10*600*$D30</f>
        <v>21.029553288623152</v>
      </c>
      <c r="L10" s="597">
        <f ca="1">J10*600*$D30</f>
        <v>22.424210697481165</v>
      </c>
      <c r="M10" s="597">
        <f t="shared" ca="1" si="9"/>
        <v>1.3946574088580128</v>
      </c>
      <c r="N10" s="499">
        <f t="shared" ca="1" si="10"/>
        <v>6.6318926974664416</v>
      </c>
      <c r="O10" s="664">
        <f t="shared" ca="1" si="11"/>
        <v>2.9268652987394788</v>
      </c>
      <c r="P10" s="464">
        <f t="shared" ca="1" si="12"/>
        <v>15.011609215931374</v>
      </c>
    </row>
    <row r="11" spans="2:16" ht="15.75" customHeight="1">
      <c r="B11" s="407" t="s">
        <v>395</v>
      </c>
      <c r="C11" s="657">
        <f>'Sch.16,17,19'!Q24</f>
        <v>0.11198</v>
      </c>
      <c r="D11" s="658">
        <f ca="1">'Sch.16,17,19'!Q43</f>
        <v>0.11117</v>
      </c>
      <c r="E11" s="597">
        <f>C11*600*$D31</f>
        <v>47.690654601258316</v>
      </c>
      <c r="F11" s="597">
        <f ca="1">D11*600*$D31</f>
        <v>47.345687372940581</v>
      </c>
      <c r="G11" s="597">
        <f t="shared" ca="1" si="6"/>
        <v>-0.34496722831773496</v>
      </c>
      <c r="H11" s="499">
        <f t="shared" ca="1" si="7"/>
        <v>-0.72334345418826151</v>
      </c>
      <c r="I11" s="343">
        <f t="shared" ca="1" si="8"/>
        <v>0.11117</v>
      </c>
      <c r="J11" s="343">
        <f ca="1">'Sch.16,17,19'!Q67</f>
        <v>0.10958</v>
      </c>
      <c r="K11" s="597">
        <f ca="1">I11*600*$D31</f>
        <v>47.345687372940581</v>
      </c>
      <c r="L11" s="597">
        <f ca="1">J11*600*$D31</f>
        <v>46.668529480316899</v>
      </c>
      <c r="M11" s="597">
        <f t="shared" ca="1" si="9"/>
        <v>-0.67715789262368276</v>
      </c>
      <c r="N11" s="499">
        <f t="shared" ca="1" si="10"/>
        <v>-1.4302419717549564</v>
      </c>
      <c r="O11" s="664">
        <f t="shared" ca="1" si="11"/>
        <v>-1.0221251209414177</v>
      </c>
      <c r="P11" s="464">
        <f t="shared" ca="1" si="12"/>
        <v>-2.1432398642614752</v>
      </c>
    </row>
    <row r="12" spans="2:16" ht="15.75" customHeight="1">
      <c r="B12" s="472" t="s">
        <v>631</v>
      </c>
      <c r="C12" s="659">
        <v>2</v>
      </c>
      <c r="D12" s="659">
        <f>C12</f>
        <v>2</v>
      </c>
      <c r="E12" s="595">
        <f>C12</f>
        <v>2</v>
      </c>
      <c r="F12" s="595">
        <f>D12</f>
        <v>2</v>
      </c>
      <c r="G12" s="595">
        <f t="shared" si="0"/>
        <v>0</v>
      </c>
      <c r="H12" s="504">
        <f t="shared" si="1"/>
        <v>0</v>
      </c>
      <c r="I12" s="535">
        <f t="shared" ref="I12:I19" si="13">D12</f>
        <v>2</v>
      </c>
      <c r="J12" s="535">
        <f>I12</f>
        <v>2</v>
      </c>
      <c r="K12" s="595">
        <f>I12</f>
        <v>2</v>
      </c>
      <c r="L12" s="595">
        <f>J12</f>
        <v>2</v>
      </c>
      <c r="M12" s="595">
        <f t="shared" si="2"/>
        <v>0</v>
      </c>
      <c r="N12" s="504">
        <f t="shared" si="3"/>
        <v>0</v>
      </c>
      <c r="O12" s="663">
        <f t="shared" si="4"/>
        <v>0</v>
      </c>
      <c r="P12" s="471">
        <f t="shared" si="5"/>
        <v>0</v>
      </c>
    </row>
    <row r="13" spans="2:16" ht="15.75" customHeight="1">
      <c r="B13" s="462" t="s">
        <v>632</v>
      </c>
      <c r="C13" s="660">
        <v>0</v>
      </c>
      <c r="D13" s="660">
        <f t="shared" ref="D13:D19" si="14">C13</f>
        <v>0</v>
      </c>
      <c r="E13" s="597">
        <f>C13*1200</f>
        <v>0</v>
      </c>
      <c r="F13" s="597">
        <f>D13*1200</f>
        <v>0</v>
      </c>
      <c r="G13" s="597">
        <f t="shared" si="0"/>
        <v>0</v>
      </c>
      <c r="H13" s="499">
        <f t="shared" si="1"/>
        <v>0</v>
      </c>
      <c r="I13" s="343">
        <f t="shared" si="13"/>
        <v>0</v>
      </c>
      <c r="J13" s="343">
        <f t="shared" ref="J13:J19" si="15">I13</f>
        <v>0</v>
      </c>
      <c r="K13" s="597">
        <f>I13*1200</f>
        <v>0</v>
      </c>
      <c r="L13" s="597">
        <f>J13*1200</f>
        <v>0</v>
      </c>
      <c r="M13" s="597">
        <f t="shared" si="2"/>
        <v>0</v>
      </c>
      <c r="N13" s="499">
        <f t="shared" si="3"/>
        <v>0</v>
      </c>
      <c r="O13" s="664">
        <f t="shared" si="4"/>
        <v>0</v>
      </c>
      <c r="P13" s="464">
        <f t="shared" si="5"/>
        <v>0</v>
      </c>
    </row>
    <row r="14" spans="2:16" ht="15.75" customHeight="1">
      <c r="B14" s="462" t="s">
        <v>638</v>
      </c>
      <c r="C14" s="660">
        <v>3.62E-3</v>
      </c>
      <c r="D14" s="660">
        <f t="shared" si="14"/>
        <v>3.62E-3</v>
      </c>
      <c r="E14" s="597">
        <f t="shared" ref="E14:E19" si="16">C14*1200</f>
        <v>4.3440000000000003</v>
      </c>
      <c r="F14" s="597">
        <f t="shared" ref="F14:F19" si="17">D14*1200</f>
        <v>4.3440000000000003</v>
      </c>
      <c r="G14" s="597">
        <f t="shared" si="0"/>
        <v>0</v>
      </c>
      <c r="H14" s="499">
        <f t="shared" si="1"/>
        <v>0</v>
      </c>
      <c r="I14" s="343">
        <f t="shared" si="13"/>
        <v>3.62E-3</v>
      </c>
      <c r="J14" s="343">
        <f t="shared" si="15"/>
        <v>3.62E-3</v>
      </c>
      <c r="K14" s="597">
        <f t="shared" ref="K14:K19" si="18">I14*1200</f>
        <v>4.3440000000000003</v>
      </c>
      <c r="L14" s="597">
        <f t="shared" ref="L14:L19" si="19">J14*1200</f>
        <v>4.3440000000000003</v>
      </c>
      <c r="M14" s="597">
        <f t="shared" si="2"/>
        <v>0</v>
      </c>
      <c r="N14" s="499">
        <f t="shared" si="3"/>
        <v>0</v>
      </c>
      <c r="O14" s="664">
        <f t="shared" si="4"/>
        <v>0</v>
      </c>
      <c r="P14" s="464">
        <f t="shared" si="5"/>
        <v>0</v>
      </c>
    </row>
    <row r="15" spans="2:16" ht="15.75" customHeight="1">
      <c r="B15" s="462" t="s">
        <v>637</v>
      </c>
      <c r="C15" s="660">
        <v>3.1900000000000001E-3</v>
      </c>
      <c r="D15" s="660">
        <f t="shared" si="14"/>
        <v>3.1900000000000001E-3</v>
      </c>
      <c r="E15" s="597">
        <f t="shared" si="16"/>
        <v>3.8280000000000003</v>
      </c>
      <c r="F15" s="597">
        <f t="shared" si="17"/>
        <v>3.8280000000000003</v>
      </c>
      <c r="G15" s="597">
        <f t="shared" si="0"/>
        <v>0</v>
      </c>
      <c r="H15" s="499">
        <f t="shared" si="1"/>
        <v>0</v>
      </c>
      <c r="I15" s="343">
        <f t="shared" si="13"/>
        <v>3.1900000000000001E-3</v>
      </c>
      <c r="J15" s="343">
        <f t="shared" si="15"/>
        <v>3.1900000000000001E-3</v>
      </c>
      <c r="K15" s="597">
        <f t="shared" si="18"/>
        <v>3.8280000000000003</v>
      </c>
      <c r="L15" s="597">
        <f t="shared" si="19"/>
        <v>3.8280000000000003</v>
      </c>
      <c r="M15" s="597">
        <f t="shared" si="2"/>
        <v>0</v>
      </c>
      <c r="N15" s="499">
        <f t="shared" si="3"/>
        <v>0</v>
      </c>
      <c r="O15" s="664">
        <f t="shared" si="4"/>
        <v>0</v>
      </c>
      <c r="P15" s="464">
        <f t="shared" si="5"/>
        <v>0</v>
      </c>
    </row>
    <row r="16" spans="2:16" ht="15.75" customHeight="1">
      <c r="B16" s="462" t="s">
        <v>636</v>
      </c>
      <c r="C16" s="660">
        <v>-1.0290000000000001E-2</v>
      </c>
      <c r="D16" s="660">
        <f t="shared" si="14"/>
        <v>-1.0290000000000001E-2</v>
      </c>
      <c r="E16" s="597">
        <f t="shared" si="16"/>
        <v>-12.348000000000001</v>
      </c>
      <c r="F16" s="597">
        <f t="shared" si="17"/>
        <v>-12.348000000000001</v>
      </c>
      <c r="G16" s="597">
        <f t="shared" si="0"/>
        <v>0</v>
      </c>
      <c r="H16" s="499">
        <f t="shared" si="1"/>
        <v>0</v>
      </c>
      <c r="I16" s="343">
        <f t="shared" si="13"/>
        <v>-1.0290000000000001E-2</v>
      </c>
      <c r="J16" s="343">
        <f t="shared" si="15"/>
        <v>-1.0290000000000001E-2</v>
      </c>
      <c r="K16" s="597">
        <f t="shared" si="18"/>
        <v>-12.348000000000001</v>
      </c>
      <c r="L16" s="597">
        <f t="shared" si="19"/>
        <v>-12.348000000000001</v>
      </c>
      <c r="M16" s="597">
        <f t="shared" si="2"/>
        <v>0</v>
      </c>
      <c r="N16" s="499">
        <f t="shared" si="3"/>
        <v>0</v>
      </c>
      <c r="O16" s="664">
        <f t="shared" si="4"/>
        <v>0</v>
      </c>
      <c r="P16" s="464">
        <f t="shared" si="5"/>
        <v>0</v>
      </c>
    </row>
    <row r="17" spans="2:16" ht="15.75" customHeight="1">
      <c r="B17" s="462" t="s">
        <v>635</v>
      </c>
      <c r="C17" s="660">
        <v>8.4000000000000003E-4</v>
      </c>
      <c r="D17" s="660">
        <f t="shared" si="14"/>
        <v>8.4000000000000003E-4</v>
      </c>
      <c r="E17" s="597">
        <f t="shared" si="16"/>
        <v>1.008</v>
      </c>
      <c r="F17" s="597">
        <f t="shared" si="17"/>
        <v>1.008</v>
      </c>
      <c r="G17" s="597">
        <f t="shared" si="0"/>
        <v>0</v>
      </c>
      <c r="H17" s="499">
        <f t="shared" si="1"/>
        <v>0</v>
      </c>
      <c r="I17" s="343">
        <f t="shared" si="13"/>
        <v>8.4000000000000003E-4</v>
      </c>
      <c r="J17" s="343">
        <f t="shared" si="15"/>
        <v>8.4000000000000003E-4</v>
      </c>
      <c r="K17" s="597">
        <f t="shared" si="18"/>
        <v>1.008</v>
      </c>
      <c r="L17" s="597">
        <f t="shared" si="19"/>
        <v>1.008</v>
      </c>
      <c r="M17" s="597">
        <f t="shared" si="2"/>
        <v>0</v>
      </c>
      <c r="N17" s="499">
        <f t="shared" si="3"/>
        <v>0</v>
      </c>
      <c r="O17" s="664">
        <f t="shared" si="4"/>
        <v>0</v>
      </c>
      <c r="P17" s="464">
        <f t="shared" si="5"/>
        <v>0</v>
      </c>
    </row>
    <row r="18" spans="2:16" ht="15.75" customHeight="1">
      <c r="B18" s="462" t="s">
        <v>634</v>
      </c>
      <c r="C18" s="660">
        <v>5.1399999999999996E-3</v>
      </c>
      <c r="D18" s="660">
        <f t="shared" si="14"/>
        <v>5.1399999999999996E-3</v>
      </c>
      <c r="E18" s="597">
        <f t="shared" si="16"/>
        <v>6.1679999999999993</v>
      </c>
      <c r="F18" s="597">
        <f t="shared" si="17"/>
        <v>6.1679999999999993</v>
      </c>
      <c r="G18" s="597">
        <f t="shared" si="0"/>
        <v>0</v>
      </c>
      <c r="H18" s="499">
        <f t="shared" si="1"/>
        <v>0</v>
      </c>
      <c r="I18" s="343">
        <f t="shared" si="13"/>
        <v>5.1399999999999996E-3</v>
      </c>
      <c r="J18" s="343">
        <f t="shared" si="15"/>
        <v>5.1399999999999996E-3</v>
      </c>
      <c r="K18" s="597">
        <f t="shared" si="18"/>
        <v>6.1679999999999993</v>
      </c>
      <c r="L18" s="597">
        <f t="shared" si="19"/>
        <v>6.1679999999999993</v>
      </c>
      <c r="M18" s="597">
        <f t="shared" si="2"/>
        <v>0</v>
      </c>
      <c r="N18" s="499">
        <f t="shared" si="3"/>
        <v>0</v>
      </c>
      <c r="O18" s="664">
        <f t="shared" si="4"/>
        <v>0</v>
      </c>
      <c r="P18" s="464">
        <f t="shared" si="5"/>
        <v>0</v>
      </c>
    </row>
    <row r="19" spans="2:16" ht="15.75" customHeight="1">
      <c r="B19" s="461" t="s">
        <v>633</v>
      </c>
      <c r="C19" s="661">
        <v>-3.5899999999999999E-3</v>
      </c>
      <c r="D19" s="661">
        <f t="shared" si="14"/>
        <v>-3.5899999999999999E-3</v>
      </c>
      <c r="E19" s="662">
        <f t="shared" si="16"/>
        <v>-4.3079999999999998</v>
      </c>
      <c r="F19" s="662">
        <f t="shared" si="17"/>
        <v>-4.3079999999999998</v>
      </c>
      <c r="G19" s="662">
        <f t="shared" si="0"/>
        <v>0</v>
      </c>
      <c r="H19" s="500">
        <f t="shared" si="1"/>
        <v>0</v>
      </c>
      <c r="I19" s="536">
        <f t="shared" si="13"/>
        <v>-3.5899999999999999E-3</v>
      </c>
      <c r="J19" s="536">
        <f t="shared" si="15"/>
        <v>-3.5899999999999999E-3</v>
      </c>
      <c r="K19" s="662">
        <f t="shared" si="18"/>
        <v>-4.3079999999999998</v>
      </c>
      <c r="L19" s="662">
        <f t="shared" si="19"/>
        <v>-4.3079999999999998</v>
      </c>
      <c r="M19" s="662">
        <f t="shared" si="2"/>
        <v>0</v>
      </c>
      <c r="N19" s="500">
        <f t="shared" si="3"/>
        <v>0</v>
      </c>
      <c r="O19" s="665">
        <f t="shared" si="4"/>
        <v>0</v>
      </c>
      <c r="P19" s="666">
        <f t="shared" si="5"/>
        <v>0</v>
      </c>
    </row>
    <row r="20" spans="2:16" ht="15.75" customHeight="1">
      <c r="B20" s="462" t="s">
        <v>1</v>
      </c>
      <c r="C20" s="660"/>
      <c r="D20" s="660"/>
      <c r="E20" s="597">
        <f>SUM(E7:E19)</f>
        <v>125.28600000000003</v>
      </c>
      <c r="F20" s="597">
        <f t="shared" ref="F20:G20" ca="1" si="20">SUM(F7:F19)</f>
        <v>138.67648132312749</v>
      </c>
      <c r="G20" s="597">
        <f t="shared" ca="1" si="20"/>
        <v>13.390481323127473</v>
      </c>
      <c r="H20" s="499">
        <f t="shared" ca="1" si="1"/>
        <v>10.687931072208762</v>
      </c>
      <c r="I20" s="343"/>
      <c r="J20" s="343"/>
      <c r="K20" s="597">
        <f ca="1">SUM(K7:K19)</f>
        <v>138.67648132312749</v>
      </c>
      <c r="L20" s="597">
        <f ca="1">SUM(L7:L19)</f>
        <v>148.87748035559613</v>
      </c>
      <c r="M20" s="597">
        <f ca="1">SUM(M7:M19)</f>
        <v>10.200999032468655</v>
      </c>
      <c r="N20" s="499">
        <f ca="1">IFERROR(M20/K20*100,0)</f>
        <v>7.3559690404168068</v>
      </c>
      <c r="O20" s="664">
        <f ca="1">L20-E20</f>
        <v>23.591480355596104</v>
      </c>
      <c r="P20" s="464">
        <f ca="1">IFERROR(O20/E20*100,0)</f>
        <v>18.830101013358316</v>
      </c>
    </row>
    <row r="21" spans="2:16" ht="15.75" customHeight="1">
      <c r="B21" s="472"/>
      <c r="C21" s="648"/>
      <c r="D21" s="648"/>
      <c r="E21" s="650"/>
      <c r="F21" s="650"/>
      <c r="G21" s="650"/>
      <c r="H21" s="510"/>
      <c r="I21" s="651"/>
      <c r="J21" s="651"/>
      <c r="K21" s="650"/>
      <c r="L21" s="650"/>
      <c r="M21" s="650"/>
      <c r="N21" s="510"/>
      <c r="O21" s="650"/>
      <c r="P21" s="655"/>
    </row>
    <row r="22" spans="2:16" ht="15.75" customHeight="1">
      <c r="B22" s="462" t="s">
        <v>640</v>
      </c>
      <c r="C22" s="649"/>
      <c r="D22" s="649"/>
      <c r="E22" s="259"/>
      <c r="F22" s="259"/>
      <c r="G22" s="259"/>
      <c r="H22" s="511"/>
      <c r="I22" s="270"/>
      <c r="J22" s="270"/>
      <c r="K22" s="259"/>
      <c r="L22" s="259"/>
      <c r="M22" s="259"/>
      <c r="N22" s="511"/>
      <c r="O22" s="314"/>
      <c r="P22" s="654"/>
    </row>
    <row r="23" spans="2:16" ht="15.75" customHeight="1">
      <c r="B23" s="462"/>
      <c r="C23" s="649"/>
      <c r="D23" s="649"/>
      <c r="E23" s="259"/>
      <c r="F23" s="259"/>
      <c r="G23" s="259"/>
      <c r="H23" s="511"/>
      <c r="I23" s="270"/>
      <c r="J23" s="270"/>
      <c r="K23" s="259"/>
      <c r="L23" s="259"/>
      <c r="M23" s="259"/>
      <c r="N23" s="511"/>
      <c r="O23" s="314"/>
      <c r="P23" s="654"/>
    </row>
    <row r="24" spans="2:16" ht="15.75" customHeight="1">
      <c r="B24" s="601" t="s">
        <v>629</v>
      </c>
      <c r="C24" s="446"/>
      <c r="E24" s="138"/>
      <c r="F24" s="138"/>
      <c r="G24" s="138"/>
      <c r="H24" s="138"/>
      <c r="I24" s="511"/>
      <c r="J24" s="138"/>
      <c r="K24" s="138"/>
      <c r="L24" s="138"/>
      <c r="P24" s="18"/>
    </row>
    <row r="25" spans="2:16" ht="15.75" customHeight="1">
      <c r="B25" s="462" t="s">
        <v>643</v>
      </c>
      <c r="C25" s="446"/>
      <c r="E25" s="138"/>
      <c r="F25" s="138"/>
      <c r="G25" s="138"/>
      <c r="H25" s="138"/>
      <c r="I25" s="511"/>
      <c r="J25" s="138"/>
      <c r="K25" s="138"/>
      <c r="L25" s="138"/>
      <c r="P25" s="18"/>
    </row>
    <row r="26" spans="2:16" ht="15.75" customHeight="1">
      <c r="B26" s="462" t="s">
        <v>644</v>
      </c>
      <c r="C26" s="446"/>
      <c r="E26" s="138"/>
      <c r="F26" s="138"/>
      <c r="G26" s="138"/>
      <c r="H26" s="138"/>
      <c r="I26" s="511"/>
      <c r="J26" s="138"/>
      <c r="K26" s="138"/>
      <c r="L26" s="138"/>
      <c r="P26" s="18"/>
    </row>
    <row r="27" spans="2:16" ht="15.75" customHeight="1">
      <c r="B27" s="667" t="s">
        <v>645</v>
      </c>
      <c r="C27" s="446"/>
      <c r="E27" s="138"/>
      <c r="F27" s="138"/>
      <c r="G27" s="138"/>
      <c r="H27" s="138"/>
      <c r="I27" s="511"/>
      <c r="J27" s="138"/>
      <c r="K27" s="138"/>
      <c r="L27" s="138"/>
      <c r="P27" s="18"/>
    </row>
    <row r="28" spans="2:16" ht="15.75" customHeight="1">
      <c r="B28" s="668" t="s">
        <v>646</v>
      </c>
      <c r="C28" s="647"/>
      <c r="D28" s="395"/>
      <c r="E28" s="669"/>
      <c r="F28" s="346"/>
      <c r="G28" s="346"/>
      <c r="H28" s="346"/>
      <c r="I28" s="512"/>
      <c r="J28" s="346"/>
      <c r="K28" s="346"/>
      <c r="L28" s="346"/>
      <c r="M28" s="645"/>
      <c r="N28" s="395"/>
      <c r="O28" s="395"/>
      <c r="P28" s="646"/>
    </row>
    <row r="29" spans="2:16" ht="15.75" customHeight="1"/>
    <row r="30" spans="2:16" ht="15.75" customHeight="1">
      <c r="C30" s="472" t="s">
        <v>641</v>
      </c>
      <c r="D30" s="670">
        <f>('Sch.16,17,19'!Q14+'Sch.16,17,19'!Q16)/('Sch.16,17,19'!Q14+'Sch.16,17,19'!Q15+'Sch.16,17,19'!Q16+'Sch.16,17,19'!Q17)</f>
        <v>0.29019088823512657</v>
      </c>
    </row>
    <row r="31" spans="2:16" ht="15.75" customHeight="1">
      <c r="C31" s="461" t="s">
        <v>642</v>
      </c>
      <c r="D31" s="671">
        <f>('Sch.16,17,19'!Q15+'Sch.16,17,19'!Q17)/('Sch.16,17,19'!Q14+'Sch.16,17,19'!Q15+'Sch.16,17,19'!Q16+'Sch.16,17,19'!Q17)</f>
        <v>0.70980911176487338</v>
      </c>
    </row>
    <row r="32" spans="2:16" ht="15.75" customHeight="1"/>
    <row r="33" spans="2:3" ht="15.75" customHeight="1">
      <c r="B33" s="446"/>
      <c r="C33" s="446"/>
    </row>
    <row r="34" spans="2:3" ht="15.75" customHeight="1">
      <c r="B34" s="446"/>
      <c r="C34" s="446"/>
    </row>
    <row r="35" spans="2:3" ht="15.75" customHeight="1">
      <c r="B35" s="446"/>
      <c r="C35" s="446"/>
    </row>
    <row r="36" spans="2:3" ht="15.75" customHeight="1">
      <c r="B36" s="446"/>
      <c r="C36" s="446"/>
    </row>
    <row r="37" spans="2:3">
      <c r="B37" s="446"/>
      <c r="C37" s="446"/>
    </row>
    <row r="38" spans="2:3">
      <c r="B38" s="446"/>
      <c r="C38" s="446"/>
    </row>
    <row r="39" spans="2:3">
      <c r="B39" s="446"/>
      <c r="C39" s="446"/>
    </row>
    <row r="40" spans="2:3">
      <c r="B40" s="446"/>
      <c r="C40" s="446"/>
    </row>
    <row r="41" spans="2:3">
      <c r="B41" s="446"/>
      <c r="C41" s="446"/>
    </row>
    <row r="42" spans="2:3">
      <c r="B42" s="446"/>
      <c r="C42" s="446"/>
    </row>
    <row r="43" spans="2:3">
      <c r="B43" s="446"/>
      <c r="C43" s="446"/>
    </row>
    <row r="44" spans="2:3">
      <c r="B44" s="446"/>
      <c r="C44" s="446"/>
    </row>
    <row r="45" spans="2:3">
      <c r="B45" s="446"/>
      <c r="C45" s="446"/>
    </row>
    <row r="46" spans="2:3">
      <c r="B46" s="446"/>
      <c r="C46" s="446"/>
    </row>
    <row r="47" spans="2:3">
      <c r="B47" s="446"/>
      <c r="C47" s="446"/>
    </row>
    <row r="48" spans="2:3">
      <c r="B48" s="446"/>
      <c r="C48" s="4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7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15.6640625" style="135" customWidth="1"/>
    <col min="2" max="2" width="11.6640625" style="135" bestFit="1" customWidth="1"/>
    <col min="3" max="3" width="7.5" style="135" bestFit="1" customWidth="1"/>
    <col min="4" max="11" width="10.1640625" style="135" customWidth="1"/>
    <col min="12" max="12" width="21.33203125" style="152" bestFit="1" customWidth="1"/>
    <col min="13" max="13" width="7.1640625" style="152" bestFit="1" customWidth="1"/>
    <col min="14" max="14" width="17.6640625" style="152" bestFit="1" customWidth="1"/>
    <col min="15" max="15" width="7.6640625" style="152" bestFit="1" customWidth="1"/>
    <col min="16" max="16" width="35.1640625" style="152" bestFit="1" customWidth="1"/>
    <col min="17" max="17" width="13.33203125" style="153" bestFit="1" customWidth="1"/>
    <col min="18" max="25" width="15.1640625" customWidth="1"/>
    <col min="26" max="26" width="9.33203125" customWidth="1"/>
    <col min="27" max="27" width="11.1640625" bestFit="1" customWidth="1"/>
    <col min="28" max="34" width="12.1640625" customWidth="1"/>
  </cols>
  <sheetData>
    <row r="1" spans="1:34">
      <c r="A1" s="375" t="s">
        <v>334</v>
      </c>
      <c r="B1" s="376"/>
      <c r="C1" s="376"/>
      <c r="D1" s="376"/>
      <c r="E1" s="376"/>
      <c r="F1" s="376"/>
      <c r="G1" s="376"/>
      <c r="H1" s="376"/>
      <c r="I1" s="376"/>
      <c r="J1" s="376"/>
      <c r="K1" s="334"/>
    </row>
    <row r="2" spans="1:34">
      <c r="A2" s="378" t="s">
        <v>423</v>
      </c>
      <c r="B2" s="335"/>
      <c r="C2" s="335"/>
      <c r="D2" s="335"/>
      <c r="E2" s="335"/>
      <c r="F2" s="335"/>
      <c r="G2" s="335"/>
      <c r="H2" s="335"/>
      <c r="I2" s="335"/>
      <c r="J2" s="335"/>
      <c r="K2" s="392"/>
    </row>
    <row r="3" spans="1:34">
      <c r="A3" s="378" t="s">
        <v>508</v>
      </c>
      <c r="B3" s="335"/>
      <c r="C3" s="335"/>
      <c r="D3" s="380"/>
      <c r="E3" s="380"/>
      <c r="F3" s="380"/>
      <c r="G3" s="380"/>
      <c r="H3" s="380"/>
      <c r="I3" s="380"/>
      <c r="J3" s="380"/>
      <c r="K3" s="390"/>
    </row>
    <row r="4" spans="1:34">
      <c r="A4" s="427"/>
      <c r="B4" s="427"/>
      <c r="C4" s="427"/>
      <c r="D4" s="200" t="s">
        <v>622</v>
      </c>
      <c r="E4" s="200"/>
      <c r="F4" s="200"/>
      <c r="G4" s="200"/>
      <c r="H4" s="200"/>
      <c r="I4" s="200"/>
      <c r="J4" s="200"/>
      <c r="K4" s="201"/>
      <c r="L4" s="253" t="s">
        <v>421</v>
      </c>
      <c r="M4" s="244"/>
      <c r="N4" s="244"/>
      <c r="O4" s="244"/>
      <c r="P4" s="244"/>
      <c r="Q4" s="246"/>
    </row>
    <row r="5" spans="1:34">
      <c r="A5" s="136"/>
      <c r="B5" s="136"/>
      <c r="C5" s="85"/>
      <c r="D5" s="377" t="s">
        <v>501</v>
      </c>
      <c r="E5" s="377"/>
      <c r="F5" s="333"/>
      <c r="G5" s="216"/>
      <c r="H5" s="338" t="s">
        <v>503</v>
      </c>
      <c r="I5" s="377"/>
      <c r="J5" s="333"/>
      <c r="K5" s="216"/>
      <c r="L5" s="268" t="s">
        <v>423</v>
      </c>
      <c r="M5" s="247"/>
      <c r="N5" s="247"/>
      <c r="O5" s="247"/>
      <c r="P5" s="247"/>
      <c r="Q5" s="263"/>
    </row>
    <row r="6" spans="1:34">
      <c r="A6" s="136" t="s">
        <v>514</v>
      </c>
      <c r="B6" s="136"/>
      <c r="C6" s="136"/>
      <c r="D6" s="627"/>
      <c r="E6" s="383"/>
      <c r="F6" s="383"/>
      <c r="G6" s="213" t="s">
        <v>494</v>
      </c>
      <c r="H6" s="383"/>
      <c r="I6" s="383"/>
      <c r="J6" s="383"/>
      <c r="K6" s="213" t="s">
        <v>494</v>
      </c>
      <c r="L6" s="248" t="s">
        <v>407</v>
      </c>
      <c r="M6" s="249"/>
      <c r="N6" s="250"/>
      <c r="O6" s="250"/>
      <c r="P6" s="251"/>
      <c r="Q6" s="252"/>
    </row>
    <row r="7" spans="1:34">
      <c r="A7" s="329" t="s">
        <v>519</v>
      </c>
      <c r="B7" s="329" t="s">
        <v>513</v>
      </c>
      <c r="C7" s="257" t="s">
        <v>6</v>
      </c>
      <c r="D7" s="628" t="s">
        <v>406</v>
      </c>
      <c r="E7" s="210" t="s">
        <v>412</v>
      </c>
      <c r="F7" s="210" t="s">
        <v>414</v>
      </c>
      <c r="G7" s="210" t="s">
        <v>414</v>
      </c>
      <c r="H7" s="210" t="s">
        <v>406</v>
      </c>
      <c r="I7" s="210" t="s">
        <v>412</v>
      </c>
      <c r="J7" s="210" t="s">
        <v>414</v>
      </c>
      <c r="K7" s="211" t="s">
        <v>414</v>
      </c>
      <c r="L7" s="212"/>
      <c r="M7" s="212"/>
      <c r="N7" s="212" t="s">
        <v>209</v>
      </c>
      <c r="O7" s="212" t="s">
        <v>193</v>
      </c>
      <c r="P7" s="141" t="s">
        <v>401</v>
      </c>
      <c r="Q7" s="228" t="s">
        <v>206</v>
      </c>
    </row>
    <row r="8" spans="1:34">
      <c r="A8" s="220" t="s">
        <v>515</v>
      </c>
      <c r="B8" s="220" t="s">
        <v>524</v>
      </c>
      <c r="C8" s="136">
        <v>0</v>
      </c>
      <c r="D8" s="260">
        <f>Q$19+IF(C8&lt;=600,C8*Q$23,600*Q$23+(C8-600)*Q$24)</f>
        <v>7.75</v>
      </c>
      <c r="E8" s="260">
        <f t="shared" ref="E8:E28" ca="1" si="0">Q$35+IF(C8&lt;=600,C8*Q$40,600*Q$40+(C8-600)*Q$42)</f>
        <v>10</v>
      </c>
      <c r="F8" s="260">
        <f ca="1">E8-D8</f>
        <v>2.25</v>
      </c>
      <c r="G8" s="504">
        <f ca="1">F8/D8*100</f>
        <v>29.032258064516132</v>
      </c>
      <c r="H8" s="260">
        <f ca="1">E8</f>
        <v>10</v>
      </c>
      <c r="I8" s="260">
        <f t="shared" ref="I8:I28" ca="1" si="1">Q$59+IF(C8&lt;=600,C8*Q$64,600*Q$64+(C8-600)*Q$66)</f>
        <v>10</v>
      </c>
      <c r="J8" s="260">
        <f ca="1">I8-H8</f>
        <v>0</v>
      </c>
      <c r="K8" s="504">
        <f ca="1">J8/H8*100</f>
        <v>0</v>
      </c>
      <c r="L8" s="254" t="s">
        <v>217</v>
      </c>
      <c r="M8" s="140" t="s">
        <v>402</v>
      </c>
      <c r="N8" s="139" t="s">
        <v>422</v>
      </c>
      <c r="O8" s="139" t="s">
        <v>199</v>
      </c>
      <c r="P8" s="139" t="s">
        <v>419</v>
      </c>
      <c r="Q8" s="139">
        <f>('Normalized Units'!I7-Q10-Q11)*R8/(R8+R9)</f>
        <v>1074260.9827545122</v>
      </c>
      <c r="R8" s="306">
        <f>109201-R9</f>
        <v>88346</v>
      </c>
    </row>
    <row r="9" spans="1:34">
      <c r="A9" s="220" t="s">
        <v>515</v>
      </c>
      <c r="B9" s="220" t="s">
        <v>524</v>
      </c>
      <c r="C9" s="136">
        <v>50</v>
      </c>
      <c r="D9" s="136">
        <f t="shared" ref="D9:D28" si="2">Q$19+IF(C9&lt;=600,C9*Q$23,600*Q$23+(C9-600)*Q$24)</f>
        <v>11.888</v>
      </c>
      <c r="E9" s="136">
        <f t="shared" ca="1" si="0"/>
        <v>15.3085</v>
      </c>
      <c r="F9" s="136">
        <f t="shared" ref="F9:F28" ca="1" si="3">E9-D9</f>
        <v>3.4205000000000005</v>
      </c>
      <c r="G9" s="499">
        <f t="shared" ref="G9:G28" ca="1" si="4">F9/D9*100</f>
        <v>28.772711978465686</v>
      </c>
      <c r="H9" s="136">
        <f t="shared" ref="H9:H28" ca="1" si="5">E9</f>
        <v>15.3085</v>
      </c>
      <c r="I9" s="136">
        <f t="shared" ca="1" si="1"/>
        <v>16.439499999999999</v>
      </c>
      <c r="J9" s="136">
        <f t="shared" ref="J9:J28" ca="1" si="6">I9-H9</f>
        <v>1.1309999999999985</v>
      </c>
      <c r="K9" s="499">
        <f t="shared" ref="K9:K28" ca="1" si="7">J9/H9*100</f>
        <v>7.3880523891955345</v>
      </c>
      <c r="L9" s="230" t="s">
        <v>217</v>
      </c>
      <c r="M9" s="97" t="s">
        <v>402</v>
      </c>
      <c r="N9" s="95" t="s">
        <v>422</v>
      </c>
      <c r="O9" s="95" t="s">
        <v>199</v>
      </c>
      <c r="P9" s="95" t="s">
        <v>420</v>
      </c>
      <c r="Q9" s="95">
        <f>('Normalized Units'!I7-Q10-Q11)*R9/(R8+R9)</f>
        <v>253590.57337452009</v>
      </c>
      <c r="R9" s="306">
        <v>20855</v>
      </c>
      <c r="U9" s="595"/>
      <c r="V9" s="596" t="s">
        <v>447</v>
      </c>
      <c r="W9" s="532"/>
      <c r="X9" s="10"/>
      <c r="Z9" s="338" t="s">
        <v>615</v>
      </c>
      <c r="AA9" s="200"/>
      <c r="AB9" s="377"/>
      <c r="AC9" s="377"/>
      <c r="AD9" s="377"/>
      <c r="AE9" s="216"/>
      <c r="AF9" s="377"/>
      <c r="AG9" s="264" t="s">
        <v>616</v>
      </c>
      <c r="AH9" s="617"/>
    </row>
    <row r="10" spans="1:34">
      <c r="A10" s="220" t="s">
        <v>515</v>
      </c>
      <c r="B10" s="220" t="s">
        <v>524</v>
      </c>
      <c r="C10" s="136">
        <v>100</v>
      </c>
      <c r="D10" s="136">
        <f t="shared" si="2"/>
        <v>16.026</v>
      </c>
      <c r="E10" s="136">
        <f t="shared" ca="1" si="0"/>
        <v>20.617000000000001</v>
      </c>
      <c r="F10" s="136">
        <f t="shared" ca="1" si="3"/>
        <v>4.5910000000000011</v>
      </c>
      <c r="G10" s="499">
        <f t="shared" ca="1" si="4"/>
        <v>28.647198302758024</v>
      </c>
      <c r="H10" s="136">
        <f t="shared" ca="1" si="5"/>
        <v>20.617000000000001</v>
      </c>
      <c r="I10" s="136">
        <f t="shared" ca="1" si="1"/>
        <v>22.878999999999998</v>
      </c>
      <c r="J10" s="136">
        <f t="shared" ca="1" si="6"/>
        <v>2.2619999999999969</v>
      </c>
      <c r="K10" s="499">
        <f t="shared" ca="1" si="7"/>
        <v>10.971528350390439</v>
      </c>
      <c r="L10" s="230" t="s">
        <v>217</v>
      </c>
      <c r="M10" s="97" t="s">
        <v>402</v>
      </c>
      <c r="N10" s="95" t="s">
        <v>422</v>
      </c>
      <c r="O10" s="95" t="s">
        <v>200</v>
      </c>
      <c r="P10" s="95" t="s">
        <v>419</v>
      </c>
      <c r="Q10" s="136">
        <v>1026.7019354838708</v>
      </c>
      <c r="U10" s="597"/>
      <c r="V10" s="598" t="s">
        <v>448</v>
      </c>
      <c r="W10" s="599"/>
      <c r="X10" s="18"/>
      <c r="Z10" s="427"/>
      <c r="AA10" s="427"/>
      <c r="AB10" s="427"/>
      <c r="AC10" s="427"/>
      <c r="AD10" s="427"/>
      <c r="AE10" s="427"/>
      <c r="AF10" s="532"/>
      <c r="AG10" s="616" t="s">
        <v>609</v>
      </c>
      <c r="AH10" s="372"/>
    </row>
    <row r="11" spans="1:34">
      <c r="A11" s="220" t="s">
        <v>515</v>
      </c>
      <c r="B11" s="220" t="s">
        <v>524</v>
      </c>
      <c r="C11" s="136">
        <v>150</v>
      </c>
      <c r="D11" s="136">
        <f t="shared" si="2"/>
        <v>20.164000000000001</v>
      </c>
      <c r="E11" s="136">
        <f t="shared" ca="1" si="0"/>
        <v>25.9255</v>
      </c>
      <c r="F11" s="136">
        <f t="shared" ca="1" si="3"/>
        <v>5.7614999999999981</v>
      </c>
      <c r="G11" s="499">
        <f t="shared" ca="1" si="4"/>
        <v>28.573199761951983</v>
      </c>
      <c r="H11" s="136">
        <f t="shared" ca="1" si="5"/>
        <v>25.9255</v>
      </c>
      <c r="I11" s="136">
        <f t="shared" ca="1" si="1"/>
        <v>29.318499999999997</v>
      </c>
      <c r="J11" s="136">
        <f t="shared" ca="1" si="6"/>
        <v>3.3929999999999971</v>
      </c>
      <c r="K11" s="499">
        <f t="shared" ca="1" si="7"/>
        <v>13.087500723226157</v>
      </c>
      <c r="L11" s="230" t="s">
        <v>217</v>
      </c>
      <c r="M11" s="97" t="s">
        <v>402</v>
      </c>
      <c r="N11" s="95" t="s">
        <v>422</v>
      </c>
      <c r="O11" s="95" t="s">
        <v>200</v>
      </c>
      <c r="P11" s="95" t="s">
        <v>420</v>
      </c>
      <c r="Q11" s="95">
        <v>22.100645161290323</v>
      </c>
      <c r="U11" s="597"/>
      <c r="V11" s="600" t="s">
        <v>449</v>
      </c>
      <c r="W11" s="599"/>
      <c r="X11" s="18"/>
      <c r="Z11" s="418"/>
      <c r="AA11" s="85"/>
      <c r="AB11" s="85"/>
      <c r="AC11" s="594"/>
      <c r="AD11" s="594"/>
      <c r="AE11" s="594"/>
      <c r="AF11" s="601" t="s">
        <v>611</v>
      </c>
      <c r="AG11" s="496" t="s">
        <v>617</v>
      </c>
      <c r="AH11" s="374"/>
    </row>
    <row r="12" spans="1:34">
      <c r="A12" s="220" t="s">
        <v>515</v>
      </c>
      <c r="B12" s="220" t="s">
        <v>524</v>
      </c>
      <c r="C12" s="136">
        <v>200</v>
      </c>
      <c r="D12" s="136">
        <f t="shared" si="2"/>
        <v>24.302</v>
      </c>
      <c r="E12" s="136">
        <f t="shared" ca="1" si="0"/>
        <v>31.234000000000002</v>
      </c>
      <c r="F12" s="136">
        <f t="shared" ca="1" si="3"/>
        <v>6.9320000000000022</v>
      </c>
      <c r="G12" s="499">
        <f t="shared" ca="1" si="4"/>
        <v>28.524401283844959</v>
      </c>
      <c r="H12" s="136">
        <f t="shared" ca="1" si="5"/>
        <v>31.234000000000002</v>
      </c>
      <c r="I12" s="136">
        <f t="shared" ca="1" si="1"/>
        <v>35.757999999999996</v>
      </c>
      <c r="J12" s="136">
        <f t="shared" ca="1" si="6"/>
        <v>4.5239999999999938</v>
      </c>
      <c r="K12" s="499">
        <f t="shared" ca="1" si="7"/>
        <v>14.484215918550278</v>
      </c>
      <c r="L12" s="230" t="s">
        <v>217</v>
      </c>
      <c r="M12" s="97" t="s">
        <v>402</v>
      </c>
      <c r="N12" s="95" t="s">
        <v>422</v>
      </c>
      <c r="O12" s="95" t="s">
        <v>195</v>
      </c>
      <c r="P12" s="95" t="s">
        <v>196</v>
      </c>
      <c r="Q12" s="95">
        <f>SUMIFS('Normalized Units'!I:I,'Normalized Units'!B:B,"Normalized Billing Units",'Normalized Units'!C:C,N12,'Normalized Units'!H:H,P12)</f>
        <v>6381.4662921348308</v>
      </c>
      <c r="U12" s="597"/>
      <c r="V12" s="600" t="s">
        <v>450</v>
      </c>
      <c r="W12" s="602" t="s">
        <v>451</v>
      </c>
      <c r="X12" s="372"/>
      <c r="Z12" s="594"/>
      <c r="AA12" s="594"/>
      <c r="AB12" s="594"/>
      <c r="AC12" s="85" t="s">
        <v>521</v>
      </c>
      <c r="AD12" s="85" t="s">
        <v>522</v>
      </c>
      <c r="AE12" s="85" t="s">
        <v>460</v>
      </c>
      <c r="AF12" s="436" t="s">
        <v>460</v>
      </c>
      <c r="AG12" s="597" t="s">
        <v>613</v>
      </c>
      <c r="AH12" s="597" t="s">
        <v>614</v>
      </c>
    </row>
    <row r="13" spans="1:34">
      <c r="A13" s="220" t="s">
        <v>515</v>
      </c>
      <c r="B13" s="220" t="s">
        <v>524</v>
      </c>
      <c r="C13" s="136">
        <v>300</v>
      </c>
      <c r="D13" s="136">
        <f t="shared" si="2"/>
        <v>32.578000000000003</v>
      </c>
      <c r="E13" s="136">
        <f t="shared" ca="1" si="0"/>
        <v>41.850999999999999</v>
      </c>
      <c r="F13" s="136">
        <f t="shared" ca="1" si="3"/>
        <v>9.2729999999999961</v>
      </c>
      <c r="G13" s="499">
        <f t="shared" ca="1" si="4"/>
        <v>28.463994106452194</v>
      </c>
      <c r="H13" s="136">
        <f t="shared" ca="1" si="5"/>
        <v>41.850999999999999</v>
      </c>
      <c r="I13" s="136">
        <f t="shared" ca="1" si="1"/>
        <v>48.636999999999993</v>
      </c>
      <c r="J13" s="136">
        <f t="shared" ca="1" si="6"/>
        <v>6.7859999999999943</v>
      </c>
      <c r="K13" s="499">
        <f t="shared" ca="1" si="7"/>
        <v>16.214666316217041</v>
      </c>
      <c r="L13" s="230" t="s">
        <v>217</v>
      </c>
      <c r="M13" s="97" t="s">
        <v>402</v>
      </c>
      <c r="N13" s="95" t="s">
        <v>422</v>
      </c>
      <c r="O13" s="95" t="s">
        <v>195</v>
      </c>
      <c r="P13" s="95" t="s">
        <v>280</v>
      </c>
      <c r="Q13" s="95">
        <f>SUMIFS('Normalized Units'!I:I,'Normalized Units'!B:B,"Normalized Billing Units",'Normalized Units'!C:C,N13,'Normalized Units'!H:H,P13)</f>
        <v>596.1514285714286</v>
      </c>
      <c r="S13" s="429"/>
      <c r="U13" s="381" t="s">
        <v>412</v>
      </c>
      <c r="V13" s="598" t="s">
        <v>452</v>
      </c>
      <c r="W13" s="311" t="s">
        <v>453</v>
      </c>
      <c r="X13" s="374"/>
      <c r="Z13" s="257" t="s">
        <v>520</v>
      </c>
      <c r="AA13" s="257" t="s">
        <v>461</v>
      </c>
      <c r="AB13" s="437" t="s">
        <v>462</v>
      </c>
      <c r="AC13" s="257" t="s">
        <v>472</v>
      </c>
      <c r="AD13" s="257" t="s">
        <v>468</v>
      </c>
      <c r="AE13" s="257" t="s">
        <v>463</v>
      </c>
      <c r="AF13" s="437" t="s">
        <v>612</v>
      </c>
      <c r="AG13" s="257" t="s">
        <v>520</v>
      </c>
      <c r="AH13" s="257" t="s">
        <v>520</v>
      </c>
    </row>
    <row r="14" spans="1:34">
      <c r="A14" s="220" t="s">
        <v>515</v>
      </c>
      <c r="B14" s="220" t="s">
        <v>524</v>
      </c>
      <c r="C14" s="136">
        <v>400</v>
      </c>
      <c r="D14" s="136">
        <f t="shared" si="2"/>
        <v>40.853999999999999</v>
      </c>
      <c r="E14" s="136">
        <f t="shared" ca="1" si="0"/>
        <v>52.468000000000004</v>
      </c>
      <c r="F14" s="136">
        <f t="shared" ca="1" si="3"/>
        <v>11.614000000000004</v>
      </c>
      <c r="G14" s="499">
        <f t="shared" ca="1" si="4"/>
        <v>28.428060899789504</v>
      </c>
      <c r="H14" s="136">
        <f t="shared" ca="1" si="5"/>
        <v>52.468000000000004</v>
      </c>
      <c r="I14" s="136">
        <f t="shared" ca="1" si="1"/>
        <v>61.515999999999998</v>
      </c>
      <c r="J14" s="136">
        <f t="shared" ca="1" si="6"/>
        <v>9.0479999999999947</v>
      </c>
      <c r="K14" s="499">
        <f t="shared" ca="1" si="7"/>
        <v>17.244796828543102</v>
      </c>
      <c r="L14" s="230" t="s">
        <v>217</v>
      </c>
      <c r="M14" s="97" t="s">
        <v>402</v>
      </c>
      <c r="N14" s="95" t="s">
        <v>422</v>
      </c>
      <c r="O14" s="95" t="s">
        <v>195</v>
      </c>
      <c r="P14" s="407" t="s">
        <v>396</v>
      </c>
      <c r="Q14" s="95">
        <f>'Normalized Units'!U195+'Normalized Units'!J195+'Normalized Units'!K195+'Normalized Units'!L195</f>
        <v>232417497.86607584</v>
      </c>
      <c r="U14" s="381" t="s">
        <v>454</v>
      </c>
      <c r="V14" s="297" t="s">
        <v>455</v>
      </c>
      <c r="W14" s="603" t="s">
        <v>456</v>
      </c>
      <c r="X14" s="603" t="s">
        <v>457</v>
      </c>
      <c r="Z14" s="397">
        <v>2024</v>
      </c>
      <c r="AA14" s="381" t="s">
        <v>466</v>
      </c>
      <c r="AB14" s="604">
        <v>7.847140990578734E-2</v>
      </c>
      <c r="AC14" s="409"/>
      <c r="AD14" s="409">
        <f>AB14</f>
        <v>7.847140990578734E-2</v>
      </c>
      <c r="AE14" s="409"/>
      <c r="AF14" s="605"/>
      <c r="AG14" s="427"/>
      <c r="AH14" s="427"/>
    </row>
    <row r="15" spans="1:34">
      <c r="A15" s="329" t="s">
        <v>515</v>
      </c>
      <c r="B15" s="329" t="s">
        <v>524</v>
      </c>
      <c r="C15" s="137">
        <v>500</v>
      </c>
      <c r="D15" s="137">
        <f t="shared" si="2"/>
        <v>49.13</v>
      </c>
      <c r="E15" s="137">
        <f t="shared" ca="1" si="0"/>
        <v>63.085000000000001</v>
      </c>
      <c r="F15" s="137">
        <f t="shared" ca="1" si="3"/>
        <v>13.954999999999998</v>
      </c>
      <c r="G15" s="500">
        <f t="shared" ca="1" si="4"/>
        <v>28.404233665784652</v>
      </c>
      <c r="H15" s="137">
        <f t="shared" ca="1" si="5"/>
        <v>63.085000000000001</v>
      </c>
      <c r="I15" s="137">
        <f t="shared" ca="1" si="1"/>
        <v>74.394999999999996</v>
      </c>
      <c r="J15" s="137">
        <f t="shared" ca="1" si="6"/>
        <v>11.309999999999995</v>
      </c>
      <c r="K15" s="500">
        <f t="shared" ca="1" si="7"/>
        <v>17.928192121740501</v>
      </c>
      <c r="L15" s="230" t="s">
        <v>217</v>
      </c>
      <c r="M15" s="97" t="s">
        <v>402</v>
      </c>
      <c r="N15" s="95" t="s">
        <v>422</v>
      </c>
      <c r="O15" s="95" t="s">
        <v>195</v>
      </c>
      <c r="P15" s="407" t="s">
        <v>394</v>
      </c>
      <c r="Q15" s="95">
        <f>'Normalized Units'!M195+'Normalized Units'!N195+'Normalized Units'!O195+'Normalized Units'!P195+'Normalized Units'!Q195+'Normalized Units'!R195+'Normalized Units'!S195+'Normalized Units'!T195</f>
        <v>484809660.2077716</v>
      </c>
      <c r="U15" s="439" t="s">
        <v>458</v>
      </c>
      <c r="V15" s="299" t="s">
        <v>459</v>
      </c>
      <c r="W15" s="606" t="s">
        <v>415</v>
      </c>
      <c r="X15" s="606" t="s">
        <v>413</v>
      </c>
      <c r="Z15" s="397">
        <v>2024</v>
      </c>
      <c r="AA15" s="381" t="s">
        <v>467</v>
      </c>
      <c r="AB15" s="604">
        <v>5.8059305111111105E-2</v>
      </c>
      <c r="AC15" s="409"/>
      <c r="AD15" s="409">
        <f t="shared" ref="AD15:AD16" si="8">AB15</f>
        <v>5.8059305111111105E-2</v>
      </c>
      <c r="AE15" s="409"/>
      <c r="AF15" s="605"/>
      <c r="AG15" s="426"/>
      <c r="AH15" s="426"/>
    </row>
    <row r="16" spans="1:34">
      <c r="A16" s="220" t="s">
        <v>515</v>
      </c>
      <c r="B16" s="220" t="s">
        <v>524</v>
      </c>
      <c r="C16" s="136">
        <v>600</v>
      </c>
      <c r="D16" s="136">
        <f t="shared" si="2"/>
        <v>57.405999999999999</v>
      </c>
      <c r="E16" s="136">
        <f t="shared" ca="1" si="0"/>
        <v>73.701999999999998</v>
      </c>
      <c r="F16" s="136">
        <f t="shared" ca="1" si="3"/>
        <v>16.295999999999999</v>
      </c>
      <c r="G16" s="499">
        <f t="shared" ca="1" si="4"/>
        <v>28.387276591297077</v>
      </c>
      <c r="H16" s="136">
        <f t="shared" ca="1" si="5"/>
        <v>73.701999999999998</v>
      </c>
      <c r="I16" s="136">
        <f t="shared" ca="1" si="1"/>
        <v>87.273999999999987</v>
      </c>
      <c r="J16" s="136">
        <f t="shared" ca="1" si="6"/>
        <v>13.571999999999989</v>
      </c>
      <c r="K16" s="499">
        <f t="shared" ca="1" si="7"/>
        <v>18.414697023147252</v>
      </c>
      <c r="L16" s="230" t="s">
        <v>217</v>
      </c>
      <c r="M16" s="97" t="s">
        <v>402</v>
      </c>
      <c r="N16" s="95" t="s">
        <v>422</v>
      </c>
      <c r="O16" s="95" t="s">
        <v>195</v>
      </c>
      <c r="P16" s="407" t="s">
        <v>397</v>
      </c>
      <c r="Q16" s="95">
        <f>'Normalized Units'!U196+'Normalized Units'!J196+'Normalized Units'!K196+'Normalized Units'!L196</f>
        <v>237000520.04247469</v>
      </c>
      <c r="U16" s="607">
        <f>ROUND(V16/100*(W16-X16)/12,0)</f>
        <v>8</v>
      </c>
      <c r="V16" s="608">
        <v>2.36</v>
      </c>
      <c r="W16" s="391">
        <v>7657</v>
      </c>
      <c r="X16" s="391">
        <v>3713</v>
      </c>
      <c r="Z16" s="397">
        <v>2024</v>
      </c>
      <c r="AA16" s="381" t="s">
        <v>468</v>
      </c>
      <c r="AB16" s="604">
        <v>5.3759932258064518E-2</v>
      </c>
      <c r="AC16" s="409"/>
      <c r="AD16" s="409">
        <f t="shared" si="8"/>
        <v>5.3759932258064518E-2</v>
      </c>
      <c r="AE16" s="409"/>
      <c r="AF16" s="605"/>
      <c r="AG16" s="426"/>
      <c r="AH16" s="426"/>
    </row>
    <row r="17" spans="1:34">
      <c r="A17" s="220" t="s">
        <v>515</v>
      </c>
      <c r="B17" s="220" t="s">
        <v>524</v>
      </c>
      <c r="C17" s="136">
        <v>700</v>
      </c>
      <c r="D17" s="136">
        <f t="shared" si="2"/>
        <v>68.603999999999999</v>
      </c>
      <c r="E17" s="136">
        <f t="shared" ca="1" si="0"/>
        <v>85.78</v>
      </c>
      <c r="F17" s="136">
        <f t="shared" ca="1" si="3"/>
        <v>17.176000000000002</v>
      </c>
      <c r="G17" s="499">
        <f t="shared" ca="1" si="4"/>
        <v>25.036441023847011</v>
      </c>
      <c r="H17" s="136">
        <f t="shared" ca="1" si="5"/>
        <v>85.78</v>
      </c>
      <c r="I17" s="136">
        <f t="shared" ca="1" si="1"/>
        <v>100.15299999999999</v>
      </c>
      <c r="J17" s="136">
        <f t="shared" ca="1" si="6"/>
        <v>14.37299999999999</v>
      </c>
      <c r="K17" s="499">
        <f t="shared" ca="1" si="7"/>
        <v>16.755653998601062</v>
      </c>
      <c r="L17" s="230" t="s">
        <v>217</v>
      </c>
      <c r="M17" s="97" t="s">
        <v>402</v>
      </c>
      <c r="N17" s="95" t="s">
        <v>422</v>
      </c>
      <c r="O17" s="95" t="s">
        <v>195</v>
      </c>
      <c r="P17" s="407" t="s">
        <v>395</v>
      </c>
      <c r="Q17" s="95">
        <f>'Normalized Units'!M196+'Normalized Units'!N196+'Normalized Units'!O196+'Normalized Units'!P196+'Normalized Units'!Q196+'Normalized Units'!R196+'Normalized Units'!S196+'Normalized Units'!T196</f>
        <v>663390368.96793199</v>
      </c>
      <c r="Z17" s="397">
        <v>2024</v>
      </c>
      <c r="AA17" s="381" t="s">
        <v>469</v>
      </c>
      <c r="AB17" s="604">
        <v>5.5844087777777773E-2</v>
      </c>
      <c r="AC17" s="409">
        <f>AB17</f>
        <v>5.5844087777777773E-2</v>
      </c>
      <c r="AD17" s="343"/>
      <c r="AE17" s="409"/>
      <c r="AF17" s="605"/>
      <c r="AG17" s="426"/>
      <c r="AH17" s="426"/>
    </row>
    <row r="18" spans="1:34">
      <c r="A18" s="220" t="s">
        <v>515</v>
      </c>
      <c r="B18" s="220" t="s">
        <v>524</v>
      </c>
      <c r="C18" s="136">
        <v>800</v>
      </c>
      <c r="D18" s="136">
        <f t="shared" si="2"/>
        <v>79.801999999999992</v>
      </c>
      <c r="E18" s="136">
        <f t="shared" ca="1" si="0"/>
        <v>97.858000000000004</v>
      </c>
      <c r="F18" s="136">
        <f t="shared" ca="1" si="3"/>
        <v>18.056000000000012</v>
      </c>
      <c r="G18" s="499">
        <f t="shared" ca="1" si="4"/>
        <v>22.625999348387275</v>
      </c>
      <c r="H18" s="136">
        <f t="shared" ca="1" si="5"/>
        <v>97.858000000000004</v>
      </c>
      <c r="I18" s="136">
        <f t="shared" ca="1" si="1"/>
        <v>113.03199999999998</v>
      </c>
      <c r="J18" s="136">
        <f t="shared" ca="1" si="6"/>
        <v>15.173999999999978</v>
      </c>
      <c r="K18" s="499">
        <f t="shared" ca="1" si="7"/>
        <v>15.506141552044777</v>
      </c>
      <c r="L18" s="255" t="s">
        <v>217</v>
      </c>
      <c r="M18" s="145" t="s">
        <v>402</v>
      </c>
      <c r="N18" s="147" t="s">
        <v>422</v>
      </c>
      <c r="O18" s="147" t="s">
        <v>195</v>
      </c>
      <c r="P18" s="411" t="s">
        <v>366</v>
      </c>
      <c r="Q18" s="147">
        <f>SUMIFS('Normalized Units'!I:I,'Normalized Units'!B:B,"Normalized Billing Units",'Normalized Units'!C:C,N18,'Normalized Units'!H:H,P18)</f>
        <v>340424.48000000004</v>
      </c>
      <c r="Z18" s="397">
        <v>2024</v>
      </c>
      <c r="AA18" s="381" t="s">
        <v>470</v>
      </c>
      <c r="AB18" s="604">
        <v>0.1330884705376344</v>
      </c>
      <c r="AC18" s="409">
        <f>AB18</f>
        <v>0.1330884705376344</v>
      </c>
      <c r="AD18" s="343"/>
      <c r="AE18" s="409"/>
      <c r="AF18" s="605"/>
      <c r="AG18" s="426"/>
      <c r="AH18" s="426"/>
    </row>
    <row r="19" spans="1:34">
      <c r="A19" s="220" t="s">
        <v>515</v>
      </c>
      <c r="B19" s="220" t="s">
        <v>524</v>
      </c>
      <c r="C19" s="136">
        <v>900</v>
      </c>
      <c r="D19" s="136">
        <f t="shared" si="2"/>
        <v>91</v>
      </c>
      <c r="E19" s="136">
        <f t="shared" ca="1" si="0"/>
        <v>109.93600000000001</v>
      </c>
      <c r="F19" s="136">
        <f t="shared" ca="1" si="3"/>
        <v>18.936000000000007</v>
      </c>
      <c r="G19" s="499">
        <f t="shared" ca="1" si="4"/>
        <v>20.808791208791217</v>
      </c>
      <c r="H19" s="136">
        <f t="shared" ca="1" si="5"/>
        <v>109.93600000000001</v>
      </c>
      <c r="I19" s="136">
        <f t="shared" ca="1" si="1"/>
        <v>125.91099999999997</v>
      </c>
      <c r="J19" s="136">
        <f t="shared" ca="1" si="6"/>
        <v>15.974999999999966</v>
      </c>
      <c r="K19" s="499">
        <f t="shared" ca="1" si="7"/>
        <v>14.531181778489271</v>
      </c>
      <c r="L19" s="140" t="s">
        <v>406</v>
      </c>
      <c r="M19" s="140" t="s">
        <v>403</v>
      </c>
      <c r="N19" s="140" t="s">
        <v>424</v>
      </c>
      <c r="O19" s="139" t="s">
        <v>195</v>
      </c>
      <c r="P19" s="140" t="s">
        <v>335</v>
      </c>
      <c r="Q19" s="412">
        <v>7.75</v>
      </c>
      <c r="Z19" s="397">
        <v>2024</v>
      </c>
      <c r="AA19" s="381" t="s">
        <v>471</v>
      </c>
      <c r="AB19" s="604">
        <v>0.15451822290322581</v>
      </c>
      <c r="AC19" s="409">
        <f>AB19</f>
        <v>0.15451822290322581</v>
      </c>
      <c r="AD19" s="409"/>
      <c r="AE19" s="409"/>
      <c r="AF19" s="605"/>
      <c r="AG19" s="426"/>
      <c r="AH19" s="426"/>
    </row>
    <row r="20" spans="1:34">
      <c r="A20" s="220" t="s">
        <v>515</v>
      </c>
      <c r="B20" s="220" t="s">
        <v>524</v>
      </c>
      <c r="C20" s="136">
        <v>1000</v>
      </c>
      <c r="D20" s="136">
        <f t="shared" si="2"/>
        <v>102.19800000000001</v>
      </c>
      <c r="E20" s="136">
        <f t="shared" ca="1" si="0"/>
        <v>122.014</v>
      </c>
      <c r="F20" s="136">
        <f t="shared" ca="1" si="3"/>
        <v>19.815999999999988</v>
      </c>
      <c r="G20" s="499">
        <f t="shared" ca="1" si="4"/>
        <v>19.38981193369732</v>
      </c>
      <c r="H20" s="136">
        <f t="shared" ca="1" si="5"/>
        <v>122.014</v>
      </c>
      <c r="I20" s="136">
        <f t="shared" ca="1" si="1"/>
        <v>138.79</v>
      </c>
      <c r="J20" s="136">
        <f t="shared" ca="1" si="6"/>
        <v>16.775999999999996</v>
      </c>
      <c r="K20" s="499">
        <f t="shared" ca="1" si="7"/>
        <v>13.749241890274883</v>
      </c>
      <c r="L20" s="97" t="s">
        <v>406</v>
      </c>
      <c r="M20" s="97" t="s">
        <v>403</v>
      </c>
      <c r="N20" s="97" t="s">
        <v>424</v>
      </c>
      <c r="O20" s="95" t="s">
        <v>195</v>
      </c>
      <c r="P20" s="95" t="s">
        <v>196</v>
      </c>
      <c r="Q20" s="409">
        <v>1.78</v>
      </c>
      <c r="Z20" s="397">
        <v>2024</v>
      </c>
      <c r="AA20" s="381" t="s">
        <v>472</v>
      </c>
      <c r="AB20" s="604">
        <v>0.12423173066666666</v>
      </c>
      <c r="AC20" s="409">
        <f t="shared" ref="AC20" si="9">AB20</f>
        <v>0.12423173066666666</v>
      </c>
      <c r="AD20" s="409"/>
      <c r="AE20" s="409"/>
      <c r="AF20" s="605"/>
      <c r="AG20" s="426"/>
      <c r="AH20" s="426"/>
    </row>
    <row r="21" spans="1:34">
      <c r="A21" s="220" t="s">
        <v>515</v>
      </c>
      <c r="B21" s="220" t="s">
        <v>524</v>
      </c>
      <c r="C21" s="136">
        <v>1100</v>
      </c>
      <c r="D21" s="136">
        <f t="shared" si="2"/>
        <v>113.39599999999999</v>
      </c>
      <c r="E21" s="136">
        <f t="shared" ca="1" si="0"/>
        <v>134.09199999999998</v>
      </c>
      <c r="F21" s="136">
        <f t="shared" ca="1" si="3"/>
        <v>20.695999999999998</v>
      </c>
      <c r="G21" s="499">
        <f t="shared" ca="1" si="4"/>
        <v>18.251084694345479</v>
      </c>
      <c r="H21" s="136">
        <f t="shared" ca="1" si="5"/>
        <v>134.09199999999998</v>
      </c>
      <c r="I21" s="136">
        <f t="shared" ca="1" si="1"/>
        <v>151.66899999999998</v>
      </c>
      <c r="J21" s="136">
        <f t="shared" ca="1" si="6"/>
        <v>17.576999999999998</v>
      </c>
      <c r="K21" s="499">
        <f t="shared" ca="1" si="7"/>
        <v>13.108164543746085</v>
      </c>
      <c r="L21" s="97" t="s">
        <v>406</v>
      </c>
      <c r="M21" s="97" t="s">
        <v>403</v>
      </c>
      <c r="N21" s="97" t="s">
        <v>424</v>
      </c>
      <c r="O21" s="95" t="s">
        <v>195</v>
      </c>
      <c r="P21" s="95" t="s">
        <v>280</v>
      </c>
      <c r="Q21" s="409">
        <v>3.5</v>
      </c>
      <c r="Z21" s="397">
        <v>2024</v>
      </c>
      <c r="AA21" s="381" t="s">
        <v>473</v>
      </c>
      <c r="AB21" s="604">
        <v>8.3900320000000014E-2</v>
      </c>
      <c r="AC21" s="343"/>
      <c r="AD21" s="409">
        <f>AB21</f>
        <v>8.3900320000000014E-2</v>
      </c>
      <c r="AE21" s="409"/>
      <c r="AF21" s="605"/>
      <c r="AG21" s="426"/>
      <c r="AH21" s="426"/>
    </row>
    <row r="22" spans="1:34">
      <c r="A22" s="328" t="s">
        <v>515</v>
      </c>
      <c r="B22" s="328" t="s">
        <v>524</v>
      </c>
      <c r="C22" s="332">
        <f>MROUND((Q14+Q15+Q16+Q17)/(Q8+Q9+Q10+Q11),100)</f>
        <v>1200</v>
      </c>
      <c r="D22" s="332">
        <f t="shared" si="2"/>
        <v>124.59399999999999</v>
      </c>
      <c r="E22" s="332">
        <f t="shared" ca="1" si="0"/>
        <v>146.17000000000002</v>
      </c>
      <c r="F22" s="332">
        <f t="shared" ca="1" si="3"/>
        <v>21.576000000000022</v>
      </c>
      <c r="G22" s="501">
        <f t="shared" ca="1" si="4"/>
        <v>17.317045764643581</v>
      </c>
      <c r="H22" s="332">
        <f t="shared" ca="1" si="5"/>
        <v>146.17000000000002</v>
      </c>
      <c r="I22" s="332">
        <f t="shared" ca="1" si="1"/>
        <v>164.54799999999997</v>
      </c>
      <c r="J22" s="332">
        <f t="shared" ca="1" si="6"/>
        <v>18.377999999999957</v>
      </c>
      <c r="K22" s="501">
        <f t="shared" ca="1" si="7"/>
        <v>12.573031401792404</v>
      </c>
      <c r="L22" s="97" t="s">
        <v>406</v>
      </c>
      <c r="M22" s="97" t="s">
        <v>403</v>
      </c>
      <c r="N22" s="97" t="s">
        <v>424</v>
      </c>
      <c r="O22" s="95" t="s">
        <v>195</v>
      </c>
      <c r="P22" s="407" t="s">
        <v>366</v>
      </c>
      <c r="Q22" s="316">
        <v>-0.25</v>
      </c>
      <c r="Z22" s="397">
        <v>2024</v>
      </c>
      <c r="AA22" s="381" t="s">
        <v>474</v>
      </c>
      <c r="AB22" s="604">
        <v>8.9367898432732323E-2</v>
      </c>
      <c r="AC22" s="343"/>
      <c r="AD22" s="409">
        <f>AB22</f>
        <v>8.9367898432732323E-2</v>
      </c>
      <c r="AE22" s="409"/>
      <c r="AF22" s="605"/>
      <c r="AG22" s="426"/>
      <c r="AH22" s="426"/>
    </row>
    <row r="23" spans="1:34">
      <c r="A23" s="220" t="s">
        <v>515</v>
      </c>
      <c r="B23" s="220" t="s">
        <v>524</v>
      </c>
      <c r="C23" s="136">
        <v>1300</v>
      </c>
      <c r="D23" s="136">
        <f t="shared" si="2"/>
        <v>135.792</v>
      </c>
      <c r="E23" s="136">
        <f t="shared" ca="1" si="0"/>
        <v>158.24799999999999</v>
      </c>
      <c r="F23" s="136">
        <f t="shared" ca="1" si="3"/>
        <v>22.455999999999989</v>
      </c>
      <c r="G23" s="499">
        <f t="shared" ca="1" si="4"/>
        <v>16.537056674914567</v>
      </c>
      <c r="H23" s="136">
        <f t="shared" ca="1" si="5"/>
        <v>158.24799999999999</v>
      </c>
      <c r="I23" s="136">
        <f t="shared" ca="1" si="1"/>
        <v>177.42699999999996</v>
      </c>
      <c r="J23" s="136">
        <f t="shared" ca="1" si="6"/>
        <v>19.178999999999974</v>
      </c>
      <c r="K23" s="499">
        <f t="shared" ca="1" si="7"/>
        <v>12.119584449724467</v>
      </c>
      <c r="L23" s="97" t="s">
        <v>406</v>
      </c>
      <c r="M23" s="97" t="s">
        <v>403</v>
      </c>
      <c r="N23" s="95" t="s">
        <v>334</v>
      </c>
      <c r="O23" s="95" t="s">
        <v>195</v>
      </c>
      <c r="P23" s="407" t="s">
        <v>197</v>
      </c>
      <c r="Q23" s="409">
        <v>8.276E-2</v>
      </c>
      <c r="Z23" s="398">
        <v>2024</v>
      </c>
      <c r="AA23" s="439" t="s">
        <v>475</v>
      </c>
      <c r="AB23" s="609">
        <v>0.11378116440860214</v>
      </c>
      <c r="AC23" s="413"/>
      <c r="AD23" s="413">
        <f>AB23</f>
        <v>0.11378116440860214</v>
      </c>
      <c r="AE23" s="413"/>
      <c r="AF23" s="610"/>
      <c r="AG23" s="527"/>
      <c r="AH23" s="527"/>
    </row>
    <row r="24" spans="1:34">
      <c r="A24" s="220" t="s">
        <v>515</v>
      </c>
      <c r="B24" s="220" t="s">
        <v>524</v>
      </c>
      <c r="C24" s="136">
        <v>1400</v>
      </c>
      <c r="D24" s="136">
        <f t="shared" si="2"/>
        <v>146.99</v>
      </c>
      <c r="E24" s="136">
        <f t="shared" ca="1" si="0"/>
        <v>170.32599999999999</v>
      </c>
      <c r="F24" s="136">
        <f t="shared" ca="1" si="3"/>
        <v>23.335999999999984</v>
      </c>
      <c r="G24" s="499">
        <f t="shared" ca="1" si="4"/>
        <v>15.875909925845283</v>
      </c>
      <c r="H24" s="136">
        <f t="shared" ca="1" si="5"/>
        <v>170.32599999999999</v>
      </c>
      <c r="I24" s="136">
        <f t="shared" ca="1" si="1"/>
        <v>190.30599999999998</v>
      </c>
      <c r="J24" s="136">
        <f t="shared" ca="1" si="6"/>
        <v>19.97999999999999</v>
      </c>
      <c r="K24" s="499">
        <f t="shared" ca="1" si="7"/>
        <v>11.730446320585225</v>
      </c>
      <c r="L24" s="97" t="s">
        <v>406</v>
      </c>
      <c r="M24" s="97" t="s">
        <v>403</v>
      </c>
      <c r="N24" s="95" t="s">
        <v>334</v>
      </c>
      <c r="O24" s="95" t="s">
        <v>195</v>
      </c>
      <c r="P24" s="407" t="s">
        <v>198</v>
      </c>
      <c r="Q24" s="409">
        <v>0.11198</v>
      </c>
      <c r="S24" s="431" t="s">
        <v>334</v>
      </c>
      <c r="T24" s="371"/>
      <c r="Z24" s="396">
        <v>2025</v>
      </c>
      <c r="AA24" s="611" t="s">
        <v>464</v>
      </c>
      <c r="AB24" s="612">
        <v>0.11479678548387098</v>
      </c>
      <c r="AC24" s="412"/>
      <c r="AD24" s="412">
        <f t="shared" ref="AD24:AD25" si="10">AB24</f>
        <v>0.11479678548387098</v>
      </c>
      <c r="AE24" s="412"/>
      <c r="AF24" s="613"/>
      <c r="AG24" s="427"/>
      <c r="AH24" s="427"/>
    </row>
    <row r="25" spans="1:34">
      <c r="A25" s="220" t="s">
        <v>515</v>
      </c>
      <c r="B25" s="220" t="s">
        <v>524</v>
      </c>
      <c r="C25" s="136">
        <v>1500</v>
      </c>
      <c r="D25" s="136">
        <f t="shared" si="2"/>
        <v>158.18799999999999</v>
      </c>
      <c r="E25" s="136">
        <f t="shared" ca="1" si="0"/>
        <v>182.404</v>
      </c>
      <c r="F25" s="136">
        <f t="shared" ca="1" si="3"/>
        <v>24.216000000000008</v>
      </c>
      <c r="G25" s="499">
        <f t="shared" ca="1" si="4"/>
        <v>15.308367259210565</v>
      </c>
      <c r="H25" s="136">
        <f t="shared" ca="1" si="5"/>
        <v>182.404</v>
      </c>
      <c r="I25" s="136">
        <f t="shared" ca="1" si="1"/>
        <v>203.18499999999997</v>
      </c>
      <c r="J25" s="136">
        <f t="shared" ca="1" si="6"/>
        <v>20.780999999999977</v>
      </c>
      <c r="K25" s="499">
        <f t="shared" ca="1" si="7"/>
        <v>11.392842262231079</v>
      </c>
      <c r="L25" s="97" t="s">
        <v>406</v>
      </c>
      <c r="M25" s="97" t="s">
        <v>403</v>
      </c>
      <c r="N25" s="97" t="s">
        <v>425</v>
      </c>
      <c r="O25" s="95" t="s">
        <v>195</v>
      </c>
      <c r="P25" s="407" t="s">
        <v>207</v>
      </c>
      <c r="Q25" s="409">
        <v>0.1298</v>
      </c>
      <c r="S25" s="378" t="s">
        <v>511</v>
      </c>
      <c r="T25" s="392"/>
      <c r="V25" s="539" t="s">
        <v>584</v>
      </c>
      <c r="W25" s="201"/>
      <c r="Z25" s="397">
        <v>2025</v>
      </c>
      <c r="AA25" s="381" t="s">
        <v>465</v>
      </c>
      <c r="AB25" s="604">
        <v>9.9773471428571431E-2</v>
      </c>
      <c r="AC25" s="409"/>
      <c r="AD25" s="409">
        <f t="shared" si="10"/>
        <v>9.9773471428571431E-2</v>
      </c>
      <c r="AE25" s="409"/>
      <c r="AF25" s="605"/>
      <c r="AG25" s="426"/>
      <c r="AH25" s="426"/>
    </row>
    <row r="26" spans="1:34">
      <c r="A26" s="220" t="s">
        <v>515</v>
      </c>
      <c r="B26" s="220" t="s">
        <v>524</v>
      </c>
      <c r="C26" s="136">
        <v>1600</v>
      </c>
      <c r="D26" s="136">
        <f t="shared" si="2"/>
        <v>169.386</v>
      </c>
      <c r="E26" s="136">
        <f t="shared" ca="1" si="0"/>
        <v>194.482</v>
      </c>
      <c r="F26" s="136">
        <f t="shared" ca="1" si="3"/>
        <v>25.096000000000004</v>
      </c>
      <c r="G26" s="499">
        <f t="shared" ca="1" si="4"/>
        <v>14.815864357148763</v>
      </c>
      <c r="H26" s="136">
        <f t="shared" ca="1" si="5"/>
        <v>194.482</v>
      </c>
      <c r="I26" s="136">
        <f t="shared" ca="1" si="1"/>
        <v>216.06399999999996</v>
      </c>
      <c r="J26" s="136">
        <f t="shared" ca="1" si="6"/>
        <v>21.581999999999965</v>
      </c>
      <c r="K26" s="499">
        <f t="shared" ca="1" si="7"/>
        <v>11.097170946411476</v>
      </c>
      <c r="L26" s="145" t="s">
        <v>406</v>
      </c>
      <c r="M26" s="145" t="s">
        <v>403</v>
      </c>
      <c r="N26" s="145" t="s">
        <v>425</v>
      </c>
      <c r="O26" s="147" t="s">
        <v>195</v>
      </c>
      <c r="P26" s="408" t="s">
        <v>208</v>
      </c>
      <c r="Q26" s="413">
        <v>7.6749999999999999E-2</v>
      </c>
      <c r="S26" s="379" t="s">
        <v>512</v>
      </c>
      <c r="T26" s="390"/>
      <c r="V26" s="540" t="s">
        <v>609</v>
      </c>
      <c r="W26" s="540" t="s">
        <v>494</v>
      </c>
      <c r="Z26" s="397">
        <v>2025</v>
      </c>
      <c r="AA26" s="381" t="s">
        <v>466</v>
      </c>
      <c r="AB26" s="604">
        <v>8.2494677994616405E-2</v>
      </c>
      <c r="AC26" s="409"/>
      <c r="AD26" s="409">
        <f>AB26</f>
        <v>8.2494677994616405E-2</v>
      </c>
      <c r="AE26" s="409"/>
      <c r="AF26" s="605"/>
      <c r="AG26" s="136"/>
      <c r="AH26" s="136"/>
    </row>
    <row r="27" spans="1:34" s="135" customFormat="1">
      <c r="A27" s="220" t="s">
        <v>515</v>
      </c>
      <c r="B27" s="220" t="s">
        <v>524</v>
      </c>
      <c r="C27" s="136">
        <v>2000</v>
      </c>
      <c r="D27" s="136">
        <f t="shared" si="2"/>
        <v>214.178</v>
      </c>
      <c r="E27" s="136">
        <f t="shared" ca="1" si="0"/>
        <v>242.79399999999998</v>
      </c>
      <c r="F27" s="136">
        <f t="shared" ca="1" si="3"/>
        <v>28.615999999999985</v>
      </c>
      <c r="G27" s="499">
        <f t="shared" ca="1" si="4"/>
        <v>13.360849386958504</v>
      </c>
      <c r="H27" s="136">
        <f t="shared" ca="1" si="5"/>
        <v>242.79399999999998</v>
      </c>
      <c r="I27" s="136">
        <f t="shared" ca="1" si="1"/>
        <v>267.58</v>
      </c>
      <c r="J27" s="136">
        <f t="shared" ca="1" si="6"/>
        <v>24.786000000000001</v>
      </c>
      <c r="K27" s="499">
        <f t="shared" ca="1" si="7"/>
        <v>10.208654250105029</v>
      </c>
      <c r="L27" s="140" t="s">
        <v>406</v>
      </c>
      <c r="M27" s="256" t="s">
        <v>29</v>
      </c>
      <c r="N27" s="139" t="s">
        <v>422</v>
      </c>
      <c r="O27" s="139" t="s">
        <v>195</v>
      </c>
      <c r="P27" s="141" t="s">
        <v>335</v>
      </c>
      <c r="Q27" s="213">
        <f>(Q8+Q9+Q10+Q11)*Q19</f>
        <v>10298977.779999999</v>
      </c>
      <c r="S27" s="331" t="s">
        <v>501</v>
      </c>
      <c r="T27" s="331" t="s">
        <v>503</v>
      </c>
      <c r="V27" s="541" t="s">
        <v>582</v>
      </c>
      <c r="W27" s="541" t="s">
        <v>492</v>
      </c>
      <c r="Z27" s="397">
        <v>2025</v>
      </c>
      <c r="AA27" s="381" t="s">
        <v>467</v>
      </c>
      <c r="AB27" s="604">
        <v>5.2966263333333333E-2</v>
      </c>
      <c r="AC27" s="409"/>
      <c r="AD27" s="409">
        <f t="shared" ref="AD27:AD28" si="11">AB27</f>
        <v>5.2966263333333333E-2</v>
      </c>
      <c r="AE27" s="409"/>
      <c r="AF27" s="605"/>
      <c r="AG27" s="136"/>
      <c r="AH27" s="136"/>
    </row>
    <row r="28" spans="1:34" s="135" customFormat="1">
      <c r="A28" s="329" t="s">
        <v>515</v>
      </c>
      <c r="B28" s="329" t="s">
        <v>524</v>
      </c>
      <c r="C28" s="137">
        <v>2600</v>
      </c>
      <c r="D28" s="137">
        <f t="shared" si="2"/>
        <v>281.36599999999999</v>
      </c>
      <c r="E28" s="137">
        <f t="shared" ca="1" si="0"/>
        <v>315.262</v>
      </c>
      <c r="F28" s="137">
        <f t="shared" ca="1" si="3"/>
        <v>33.896000000000015</v>
      </c>
      <c r="G28" s="500">
        <f t="shared" ca="1" si="4"/>
        <v>12.046942416638833</v>
      </c>
      <c r="H28" s="137">
        <f t="shared" ca="1" si="5"/>
        <v>315.262</v>
      </c>
      <c r="I28" s="137">
        <f t="shared" ca="1" si="1"/>
        <v>344.85399999999998</v>
      </c>
      <c r="J28" s="137">
        <f t="shared" ca="1" si="6"/>
        <v>29.591999999999985</v>
      </c>
      <c r="K28" s="500">
        <f t="shared" ca="1" si="7"/>
        <v>9.3864785480013389</v>
      </c>
      <c r="L28" s="97" t="s">
        <v>406</v>
      </c>
      <c r="M28" s="85" t="s">
        <v>29</v>
      </c>
      <c r="N28" s="95" t="s">
        <v>422</v>
      </c>
      <c r="O28" s="95" t="s">
        <v>195</v>
      </c>
      <c r="P28" s="143" t="s">
        <v>196</v>
      </c>
      <c r="Q28" s="210">
        <f>Q12*Q20</f>
        <v>11359.009999999998</v>
      </c>
      <c r="S28" s="614">
        <v>50</v>
      </c>
      <c r="T28" s="391">
        <v>100</v>
      </c>
      <c r="V28" s="542">
        <f>Q25-Q26</f>
        <v>5.305E-2</v>
      </c>
      <c r="W28" s="391">
        <v>42.314263710172199</v>
      </c>
      <c r="Z28" s="397">
        <v>2025</v>
      </c>
      <c r="AA28" s="381" t="s">
        <v>468</v>
      </c>
      <c r="AB28" s="604">
        <v>4.8951005913978496E-2</v>
      </c>
      <c r="AC28" s="409"/>
      <c r="AD28" s="409">
        <f t="shared" si="11"/>
        <v>4.8951005913978496E-2</v>
      </c>
      <c r="AE28" s="409"/>
      <c r="AF28" s="605"/>
      <c r="AG28" s="136"/>
      <c r="AH28" s="136"/>
    </row>
    <row r="29" spans="1:34" s="135" customFormat="1">
      <c r="A29" s="393" t="s">
        <v>517</v>
      </c>
      <c r="B29" s="345"/>
      <c r="C29" s="345"/>
      <c r="D29" s="345"/>
      <c r="E29" s="8"/>
      <c r="F29" s="345"/>
      <c r="G29" s="510"/>
      <c r="H29" s="8"/>
      <c r="I29" s="8"/>
      <c r="J29" s="345"/>
      <c r="K29" s="513"/>
      <c r="L29" s="97" t="s">
        <v>406</v>
      </c>
      <c r="M29" s="85" t="s">
        <v>29</v>
      </c>
      <c r="N29" s="95" t="s">
        <v>422</v>
      </c>
      <c r="O29" s="95" t="s">
        <v>195</v>
      </c>
      <c r="P29" s="143" t="s">
        <v>280</v>
      </c>
      <c r="Q29" s="210">
        <f>Q13*Q21</f>
        <v>2086.5300000000002</v>
      </c>
      <c r="Z29" s="397">
        <v>2025</v>
      </c>
      <c r="AA29" s="381" t="s">
        <v>469</v>
      </c>
      <c r="AB29" s="604">
        <v>4.9907077777777781E-2</v>
      </c>
      <c r="AC29" s="409">
        <f>AB29</f>
        <v>4.9907077777777781E-2</v>
      </c>
      <c r="AD29" s="343"/>
      <c r="AE29" s="409"/>
      <c r="AF29" s="605"/>
      <c r="AG29" s="136"/>
      <c r="AH29" s="136"/>
    </row>
    <row r="30" spans="1:34" s="135" customFormat="1">
      <c r="A30" s="394" t="str">
        <f>"The average residential customer uses "&amp;TEXT(C$22,"#,###")&amp;" kilowatt hours per month"</f>
        <v>The average residential customer uses 1,200 kilowatt hours per month</v>
      </c>
      <c r="B30" s="138"/>
      <c r="C30" s="138"/>
      <c r="D30" s="138"/>
      <c r="E30"/>
      <c r="F30" s="138"/>
      <c r="G30" s="511"/>
      <c r="H30"/>
      <c r="I30"/>
      <c r="J30" s="138"/>
      <c r="K30" s="514"/>
      <c r="L30" s="97" t="s">
        <v>406</v>
      </c>
      <c r="M30" s="85" t="s">
        <v>29</v>
      </c>
      <c r="N30" s="95" t="s">
        <v>422</v>
      </c>
      <c r="O30" s="95" t="s">
        <v>195</v>
      </c>
      <c r="P30" s="96" t="s">
        <v>197</v>
      </c>
      <c r="Q30" s="210">
        <f>(Q14+Q15)*Q23</f>
        <v>59357719.602191612</v>
      </c>
      <c r="Z30" s="397">
        <v>2025</v>
      </c>
      <c r="AA30" s="381" t="s">
        <v>470</v>
      </c>
      <c r="AB30" s="604">
        <v>0.14296307204301076</v>
      </c>
      <c r="AC30" s="409">
        <f>AB30</f>
        <v>0.14296307204301076</v>
      </c>
      <c r="AD30" s="343"/>
      <c r="AE30" s="409"/>
      <c r="AF30" s="605"/>
      <c r="AG30" s="136"/>
      <c r="AH30" s="136"/>
    </row>
    <row r="31" spans="1:34" s="135" customFormat="1">
      <c r="A31" s="384" t="s">
        <v>518</v>
      </c>
      <c r="B31"/>
      <c r="C31"/>
      <c r="D31"/>
      <c r="E31"/>
      <c r="F31" s="138"/>
      <c r="G31" s="511"/>
      <c r="H31"/>
      <c r="I31"/>
      <c r="J31" s="138"/>
      <c r="K31" s="514"/>
      <c r="L31" s="97" t="s">
        <v>406</v>
      </c>
      <c r="M31" s="85" t="s">
        <v>29</v>
      </c>
      <c r="N31" s="95" t="s">
        <v>422</v>
      </c>
      <c r="O31" s="95" t="s">
        <v>195</v>
      </c>
      <c r="P31" s="96" t="s">
        <v>198</v>
      </c>
      <c r="Q31" s="210">
        <f>(Q16+Q17)*Q24</f>
        <v>100825771.75138535</v>
      </c>
      <c r="Z31" s="397">
        <v>2025</v>
      </c>
      <c r="AA31" s="381" t="s">
        <v>471</v>
      </c>
      <c r="AB31" s="604">
        <v>0.15888442150537635</v>
      </c>
      <c r="AC31" s="409">
        <f>AB31</f>
        <v>0.15888442150537635</v>
      </c>
      <c r="AD31" s="409"/>
      <c r="AE31" s="409"/>
      <c r="AF31" s="605"/>
      <c r="AG31" s="136"/>
      <c r="AH31" s="136"/>
    </row>
    <row r="32" spans="1:34" s="135" customFormat="1">
      <c r="A32" s="330" t="s">
        <v>523</v>
      </c>
      <c r="B32" s="346"/>
      <c r="C32" s="346"/>
      <c r="D32" s="346"/>
      <c r="E32" s="395"/>
      <c r="F32" s="346"/>
      <c r="G32" s="512"/>
      <c r="H32" s="395"/>
      <c r="I32" s="395"/>
      <c r="J32" s="346"/>
      <c r="K32" s="515"/>
      <c r="L32" s="97" t="s">
        <v>406</v>
      </c>
      <c r="M32" s="85" t="s">
        <v>29</v>
      </c>
      <c r="N32" s="95" t="s">
        <v>422</v>
      </c>
      <c r="O32" s="95" t="s">
        <v>195</v>
      </c>
      <c r="P32" s="96" t="s">
        <v>366</v>
      </c>
      <c r="Q32" s="210">
        <f>Q18*Q22</f>
        <v>-85106.12000000001</v>
      </c>
      <c r="R32"/>
      <c r="Z32" s="397">
        <v>2025</v>
      </c>
      <c r="AA32" s="381" t="s">
        <v>472</v>
      </c>
      <c r="AB32" s="604">
        <v>0.14421123333333336</v>
      </c>
      <c r="AC32" s="409">
        <f t="shared" ref="AC32" si="12">AB32</f>
        <v>0.14421123333333336</v>
      </c>
      <c r="AD32" s="409"/>
      <c r="AE32" s="409"/>
      <c r="AF32" s="605"/>
      <c r="AG32" s="136"/>
      <c r="AH32" s="136"/>
    </row>
    <row r="33" spans="1:34" s="135" customFormat="1">
      <c r="A33" s="342" t="s">
        <v>515</v>
      </c>
      <c r="B33" s="342" t="s">
        <v>525</v>
      </c>
      <c r="C33" s="260">
        <f t="shared" ref="C33:C53" si="13">C8</f>
        <v>0</v>
      </c>
      <c r="D33" s="260">
        <f t="shared" ref="D33:D53" si="14">Q$19+IF(C33&lt;=600,C33*Q$23,600*Q$23+(C33-600)*Q$24)</f>
        <v>7.75</v>
      </c>
      <c r="E33" s="260">
        <f t="shared" ref="E33:E53" ca="1" si="15">Q$35+IF(C33&lt;=600,C33*Q$41,600*Q$41+(C33-600)*Q$43)</f>
        <v>10</v>
      </c>
      <c r="F33" s="260">
        <f t="shared" ref="F33:F53" ca="1" si="16">E33-D33</f>
        <v>2.25</v>
      </c>
      <c r="G33" s="504">
        <f t="shared" ref="G33:G53" ca="1" si="17">F33/D33*100</f>
        <v>29.032258064516132</v>
      </c>
      <c r="H33" s="260">
        <f t="shared" ref="H33:H53" ca="1" si="18">E33</f>
        <v>10</v>
      </c>
      <c r="I33" s="260">
        <f t="shared" ref="I33:I53" ca="1" si="19">Q$59+IF(C33&lt;=600,C33*Q$65,600*Q$65+(C33-600)*Q$67)</f>
        <v>10</v>
      </c>
      <c r="J33" s="260">
        <f t="shared" ref="J33:J53" ca="1" si="20">I33-H33</f>
        <v>0</v>
      </c>
      <c r="K33" s="504">
        <f t="shared" ref="K33:K53" ca="1" si="21">J33/H33*100</f>
        <v>0</v>
      </c>
      <c r="L33" s="145" t="s">
        <v>406</v>
      </c>
      <c r="M33" s="257" t="s">
        <v>29</v>
      </c>
      <c r="N33" s="147" t="s">
        <v>422</v>
      </c>
      <c r="O33" s="147" t="s">
        <v>195</v>
      </c>
      <c r="P33" s="257" t="s">
        <v>168</v>
      </c>
      <c r="Q33" s="211">
        <f>Unbilled!E4</f>
        <v>5660946.3060093932</v>
      </c>
      <c r="R33"/>
      <c r="Z33" s="397">
        <v>2025</v>
      </c>
      <c r="AA33" s="381" t="s">
        <v>473</v>
      </c>
      <c r="AB33" s="604">
        <v>7.4730941935483866E-2</v>
      </c>
      <c r="AC33" s="343"/>
      <c r="AD33" s="409">
        <f>AB33</f>
        <v>7.4730941935483866E-2</v>
      </c>
      <c r="AE33" s="409"/>
      <c r="AF33" s="605"/>
      <c r="AG33" s="426"/>
      <c r="AH33" s="426"/>
    </row>
    <row r="34" spans="1:34">
      <c r="A34" s="220" t="s">
        <v>515</v>
      </c>
      <c r="B34" s="220" t="s">
        <v>525</v>
      </c>
      <c r="C34" s="136">
        <f t="shared" si="13"/>
        <v>50</v>
      </c>
      <c r="D34" s="136">
        <f t="shared" si="14"/>
        <v>11.888</v>
      </c>
      <c r="E34" s="136">
        <f t="shared" ca="1" si="15"/>
        <v>14.827999999999999</v>
      </c>
      <c r="F34" s="136">
        <f t="shared" ca="1" si="16"/>
        <v>2.9399999999999995</v>
      </c>
      <c r="G34" s="499">
        <f t="shared" ca="1" si="17"/>
        <v>24.730820995962311</v>
      </c>
      <c r="H34" s="136">
        <f t="shared" ca="1" si="18"/>
        <v>14.827999999999999</v>
      </c>
      <c r="I34" s="136">
        <f t="shared" ca="1" si="19"/>
        <v>15.478999999999999</v>
      </c>
      <c r="J34" s="136">
        <f t="shared" ca="1" si="20"/>
        <v>0.6509999999999998</v>
      </c>
      <c r="K34" s="499">
        <f t="shared" ca="1" si="21"/>
        <v>4.3903425950903685</v>
      </c>
      <c r="L34" s="328" t="s">
        <v>532</v>
      </c>
      <c r="M34" s="433" t="s">
        <v>29</v>
      </c>
      <c r="N34" s="222" t="s">
        <v>422</v>
      </c>
      <c r="O34" s="226" t="s">
        <v>195</v>
      </c>
      <c r="P34" s="226" t="s">
        <v>195</v>
      </c>
      <c r="Q34" s="228">
        <f ca="1">'Cost of Service and Proposed $'!L128</f>
        <v>190936644.49349293</v>
      </c>
      <c r="Z34" s="397">
        <v>2025</v>
      </c>
      <c r="AA34" s="381" t="s">
        <v>474</v>
      </c>
      <c r="AB34" s="604">
        <v>8.1246862968099867E-2</v>
      </c>
      <c r="AC34" s="343"/>
      <c r="AD34" s="409">
        <f>AB34</f>
        <v>8.1246862968099867E-2</v>
      </c>
      <c r="AE34" s="409"/>
      <c r="AF34" s="605"/>
      <c r="AG34" s="426"/>
      <c r="AH34" s="426"/>
    </row>
    <row r="35" spans="1:34">
      <c r="A35" s="220" t="s">
        <v>515</v>
      </c>
      <c r="B35" s="220" t="s">
        <v>525</v>
      </c>
      <c r="C35" s="136">
        <f t="shared" si="13"/>
        <v>100</v>
      </c>
      <c r="D35" s="136">
        <f t="shared" si="14"/>
        <v>16.026</v>
      </c>
      <c r="E35" s="136">
        <f t="shared" ca="1" si="15"/>
        <v>19.655999999999999</v>
      </c>
      <c r="F35" s="136">
        <f t="shared" ca="1" si="16"/>
        <v>3.629999999999999</v>
      </c>
      <c r="G35" s="499">
        <f t="shared" ca="1" si="17"/>
        <v>22.650692624485206</v>
      </c>
      <c r="H35" s="136">
        <f t="shared" ca="1" si="18"/>
        <v>19.655999999999999</v>
      </c>
      <c r="I35" s="136">
        <f t="shared" ca="1" si="19"/>
        <v>20.957999999999998</v>
      </c>
      <c r="J35" s="136">
        <f t="shared" ca="1" si="20"/>
        <v>1.3019999999999996</v>
      </c>
      <c r="K35" s="499">
        <f t="shared" ca="1" si="21"/>
        <v>6.6239316239316226</v>
      </c>
      <c r="L35" s="212" t="s">
        <v>505</v>
      </c>
      <c r="M35" s="611" t="s">
        <v>403</v>
      </c>
      <c r="N35" s="140" t="s">
        <v>424</v>
      </c>
      <c r="O35" s="139" t="s">
        <v>199</v>
      </c>
      <c r="P35" s="139" t="s">
        <v>419</v>
      </c>
      <c r="Q35" s="415">
        <f>T35</f>
        <v>10</v>
      </c>
      <c r="T35" s="389">
        <v>10</v>
      </c>
      <c r="U35" s="135">
        <f>Q$8*T35+Q$9*T36+Q$10*T37+Q$11*T38</f>
        <v>12726765.491197653</v>
      </c>
      <c r="Z35" s="398">
        <v>2025</v>
      </c>
      <c r="AA35" s="439" t="s">
        <v>475</v>
      </c>
      <c r="AB35" s="609">
        <v>9.530004784946236E-2</v>
      </c>
      <c r="AC35" s="413"/>
      <c r="AD35" s="413">
        <f>AB35</f>
        <v>9.530004784946236E-2</v>
      </c>
      <c r="AE35" s="413"/>
      <c r="AF35" s="610"/>
      <c r="AG35" s="527"/>
      <c r="AH35" s="527"/>
    </row>
    <row r="36" spans="1:34">
      <c r="A36" s="220" t="s">
        <v>515</v>
      </c>
      <c r="B36" s="220" t="s">
        <v>525</v>
      </c>
      <c r="C36" s="136">
        <f t="shared" si="13"/>
        <v>150</v>
      </c>
      <c r="D36" s="136">
        <f t="shared" si="14"/>
        <v>20.164000000000001</v>
      </c>
      <c r="E36" s="136">
        <f t="shared" ca="1" si="15"/>
        <v>24.484000000000002</v>
      </c>
      <c r="F36" s="136">
        <f t="shared" ca="1" si="16"/>
        <v>4.32</v>
      </c>
      <c r="G36" s="499">
        <f t="shared" ca="1" si="17"/>
        <v>21.424320571315214</v>
      </c>
      <c r="H36" s="136">
        <f t="shared" ca="1" si="18"/>
        <v>24.484000000000002</v>
      </c>
      <c r="I36" s="136">
        <f t="shared" ca="1" si="19"/>
        <v>26.437000000000001</v>
      </c>
      <c r="J36" s="136">
        <f t="shared" ca="1" si="20"/>
        <v>1.9529999999999994</v>
      </c>
      <c r="K36" s="499">
        <f t="shared" ca="1" si="21"/>
        <v>7.9766378042803439</v>
      </c>
      <c r="L36" s="208" t="s">
        <v>505</v>
      </c>
      <c r="M36" s="381" t="s">
        <v>403</v>
      </c>
      <c r="N36" s="97" t="s">
        <v>424</v>
      </c>
      <c r="O36" s="95" t="s">
        <v>199</v>
      </c>
      <c r="P36" s="95" t="s">
        <v>420</v>
      </c>
      <c r="Q36" s="410">
        <f>T36</f>
        <v>7.75</v>
      </c>
      <c r="T36" s="389">
        <v>7.75</v>
      </c>
      <c r="U36" s="135"/>
      <c r="Z36" s="396">
        <v>2026</v>
      </c>
      <c r="AA36" s="611" t="s">
        <v>464</v>
      </c>
      <c r="AB36" s="612">
        <v>0.10045117849462366</v>
      </c>
      <c r="AC36" s="412"/>
      <c r="AD36" s="412">
        <f t="shared" ref="AD36:AD37" si="22">AB36</f>
        <v>0.10045117849462366</v>
      </c>
      <c r="AE36" s="412"/>
      <c r="AF36" s="613"/>
      <c r="AG36" s="427"/>
      <c r="AH36" s="427"/>
    </row>
    <row r="37" spans="1:34">
      <c r="A37" s="220" t="s">
        <v>515</v>
      </c>
      <c r="B37" s="220" t="s">
        <v>525</v>
      </c>
      <c r="C37" s="136">
        <f t="shared" si="13"/>
        <v>200</v>
      </c>
      <c r="D37" s="136">
        <f t="shared" si="14"/>
        <v>24.302</v>
      </c>
      <c r="E37" s="136">
        <f t="shared" ca="1" si="15"/>
        <v>29.312000000000001</v>
      </c>
      <c r="F37" s="136">
        <f t="shared" ca="1" si="16"/>
        <v>5.0100000000000016</v>
      </c>
      <c r="G37" s="499">
        <f t="shared" ca="1" si="17"/>
        <v>20.615587194469597</v>
      </c>
      <c r="H37" s="136">
        <f t="shared" ca="1" si="18"/>
        <v>29.312000000000001</v>
      </c>
      <c r="I37" s="136">
        <f t="shared" ca="1" si="19"/>
        <v>31.916</v>
      </c>
      <c r="J37" s="136">
        <f t="shared" ca="1" si="20"/>
        <v>2.6039999999999992</v>
      </c>
      <c r="K37" s="499">
        <f t="shared" ca="1" si="21"/>
        <v>8.8837336244541465</v>
      </c>
      <c r="L37" s="208" t="s">
        <v>505</v>
      </c>
      <c r="M37" s="381" t="s">
        <v>403</v>
      </c>
      <c r="N37" s="97" t="s">
        <v>424</v>
      </c>
      <c r="O37" s="95" t="s">
        <v>200</v>
      </c>
      <c r="P37" s="95" t="s">
        <v>419</v>
      </c>
      <c r="Q37" s="410">
        <f>T37</f>
        <v>18</v>
      </c>
      <c r="T37" s="304">
        <f>T35+U16</f>
        <v>18</v>
      </c>
      <c r="U37" s="135"/>
      <c r="Z37" s="397">
        <v>2026</v>
      </c>
      <c r="AA37" s="381" t="s">
        <v>465</v>
      </c>
      <c r="AB37" s="609">
        <v>8.4458228571428567E-2</v>
      </c>
      <c r="AC37" s="413"/>
      <c r="AD37" s="413">
        <f t="shared" si="22"/>
        <v>8.4458228571428567E-2</v>
      </c>
      <c r="AE37" s="413"/>
      <c r="AF37" s="610"/>
      <c r="AG37" s="527"/>
      <c r="AH37" s="527"/>
    </row>
    <row r="38" spans="1:34">
      <c r="A38" s="220" t="s">
        <v>515</v>
      </c>
      <c r="B38" s="220" t="s">
        <v>525</v>
      </c>
      <c r="C38" s="136">
        <f t="shared" si="13"/>
        <v>300</v>
      </c>
      <c r="D38" s="136">
        <f t="shared" si="14"/>
        <v>32.578000000000003</v>
      </c>
      <c r="E38" s="136">
        <f t="shared" ca="1" si="15"/>
        <v>38.968000000000004</v>
      </c>
      <c r="F38" s="136">
        <f t="shared" ca="1" si="16"/>
        <v>6.3900000000000006</v>
      </c>
      <c r="G38" s="499">
        <f t="shared" ca="1" si="17"/>
        <v>19.614463748541962</v>
      </c>
      <c r="H38" s="136">
        <f t="shared" ca="1" si="18"/>
        <v>38.968000000000004</v>
      </c>
      <c r="I38" s="136">
        <f t="shared" ca="1" si="19"/>
        <v>42.874000000000002</v>
      </c>
      <c r="J38" s="136">
        <f t="shared" ca="1" si="20"/>
        <v>3.9059999999999988</v>
      </c>
      <c r="K38" s="499">
        <f t="shared" ca="1" si="21"/>
        <v>10.023609115171418</v>
      </c>
      <c r="L38" s="208" t="s">
        <v>505</v>
      </c>
      <c r="M38" s="381" t="s">
        <v>403</v>
      </c>
      <c r="N38" s="97" t="s">
        <v>424</v>
      </c>
      <c r="O38" s="95" t="s">
        <v>200</v>
      </c>
      <c r="P38" s="95" t="s">
        <v>420</v>
      </c>
      <c r="Q38" s="410">
        <f>T38</f>
        <v>15.75</v>
      </c>
      <c r="T38" s="304">
        <f>T36+U16</f>
        <v>15.75</v>
      </c>
      <c r="U38" s="135"/>
      <c r="Z38" s="615" t="s">
        <v>476</v>
      </c>
      <c r="AA38" s="428"/>
      <c r="AB38" s="269">
        <f>AVERAGE(AB14:AB37)</f>
        <v>9.4839908776440385E-2</v>
      </c>
      <c r="AC38" s="413">
        <f>AVERAGE(AC14:AC37)</f>
        <v>0.12045603956810036</v>
      </c>
      <c r="AD38" s="413">
        <f>AVERAGE(AD14:AD37)</f>
        <v>8.2031843380610397E-2</v>
      </c>
      <c r="AE38" s="413">
        <f>AC38-AD38</f>
        <v>3.8424196187489962E-2</v>
      </c>
      <c r="AF38" s="610">
        <f>50%*AE38</f>
        <v>1.9212098093744981E-2</v>
      </c>
      <c r="AG38" s="610">
        <f>AF38*AG39</f>
        <v>9.6060490468724904E-3</v>
      </c>
      <c r="AH38" s="413">
        <f>AF38*AH39</f>
        <v>1.9212098093744981E-2</v>
      </c>
    </row>
    <row r="39" spans="1:34">
      <c r="A39" s="220" t="s">
        <v>515</v>
      </c>
      <c r="B39" s="220" t="s">
        <v>525</v>
      </c>
      <c r="C39" s="136">
        <f t="shared" si="13"/>
        <v>400</v>
      </c>
      <c r="D39" s="136">
        <f t="shared" si="14"/>
        <v>40.853999999999999</v>
      </c>
      <c r="E39" s="136">
        <f t="shared" ca="1" si="15"/>
        <v>48.624000000000002</v>
      </c>
      <c r="F39" s="136">
        <f t="shared" ca="1" si="16"/>
        <v>7.7700000000000031</v>
      </c>
      <c r="G39" s="499">
        <f t="shared" ca="1" si="17"/>
        <v>19.018945513291243</v>
      </c>
      <c r="H39" s="136">
        <f t="shared" ca="1" si="18"/>
        <v>48.624000000000002</v>
      </c>
      <c r="I39" s="136">
        <f t="shared" ca="1" si="19"/>
        <v>53.832000000000001</v>
      </c>
      <c r="J39" s="136">
        <f t="shared" ca="1" si="20"/>
        <v>5.2079999999999984</v>
      </c>
      <c r="K39" s="499">
        <f t="shared" ca="1" si="21"/>
        <v>10.710760118460016</v>
      </c>
      <c r="L39" s="208" t="s">
        <v>505</v>
      </c>
      <c r="M39" s="381" t="s">
        <v>403</v>
      </c>
      <c r="N39" s="97" t="s">
        <v>424</v>
      </c>
      <c r="O39" s="95" t="s">
        <v>195</v>
      </c>
      <c r="P39" s="407" t="s">
        <v>366</v>
      </c>
      <c r="Q39" s="410">
        <f>T39</f>
        <v>-0.25</v>
      </c>
      <c r="R39" s="314"/>
      <c r="T39" s="304">
        <f>Q22</f>
        <v>-0.25</v>
      </c>
      <c r="AG39" s="545">
        <v>0.5</v>
      </c>
      <c r="AH39" s="545">
        <v>1</v>
      </c>
    </row>
    <row r="40" spans="1:34">
      <c r="A40" s="329" t="s">
        <v>515</v>
      </c>
      <c r="B40" s="329" t="s">
        <v>525</v>
      </c>
      <c r="C40" s="137">
        <f t="shared" si="13"/>
        <v>500</v>
      </c>
      <c r="D40" s="137">
        <f t="shared" si="14"/>
        <v>49.13</v>
      </c>
      <c r="E40" s="137">
        <f t="shared" ca="1" si="15"/>
        <v>58.28</v>
      </c>
      <c r="F40" s="137">
        <f t="shared" ca="1" si="16"/>
        <v>9.1499999999999986</v>
      </c>
      <c r="G40" s="500">
        <f t="shared" ca="1" si="17"/>
        <v>18.624058619987785</v>
      </c>
      <c r="H40" s="137">
        <f t="shared" ca="1" si="18"/>
        <v>58.28</v>
      </c>
      <c r="I40" s="137">
        <f t="shared" ca="1" si="19"/>
        <v>64.789999999999992</v>
      </c>
      <c r="J40" s="137">
        <f t="shared" ca="1" si="20"/>
        <v>6.5099999999999909</v>
      </c>
      <c r="K40" s="500">
        <f t="shared" ca="1" si="21"/>
        <v>11.17021276595743</v>
      </c>
      <c r="L40" s="208" t="s">
        <v>505</v>
      </c>
      <c r="M40" s="381" t="s">
        <v>403</v>
      </c>
      <c r="N40" s="208" t="s">
        <v>334</v>
      </c>
      <c r="O40" s="208" t="s">
        <v>195</v>
      </c>
      <c r="P40" s="407" t="s">
        <v>396</v>
      </c>
      <c r="Q40" s="316">
        <f ca="1">ROUND(R40/100*U40/V40+W40+X40,S40)</f>
        <v>0.10617</v>
      </c>
      <c r="R40" s="429">
        <f>100+Summary!$Q$8</f>
        <v>100.71</v>
      </c>
      <c r="S40" s="135">
        <v>5</v>
      </c>
      <c r="T40" s="303">
        <f ca="1">U40/V40+W40+X40</f>
        <v>0.10540745018953482</v>
      </c>
      <c r="U40" s="2">
        <f t="shared" ref="U40:U47" ca="1" si="23">Q$34-U$35-Q$32-Q$33</f>
        <v>172634038.81628591</v>
      </c>
      <c r="V40" s="2">
        <f t="shared" ref="V40:V47" si="24">Q$14+Q$15+Q$16+Q$17</f>
        <v>1617618047.084254</v>
      </c>
      <c r="W40" s="304">
        <f>AG38*(Q15+Q17)/(Q14+Q15+Q16+Q17)</f>
        <v>6.8184611415303712E-3</v>
      </c>
      <c r="X40" s="270">
        <f>-(Q16+Q17)*(Q24-Q23)/(Q14+Q15+Q16+Q17)*(100-S28)/100</f>
        <v>-8.1321489409402429E-3</v>
      </c>
    </row>
    <row r="41" spans="1:34">
      <c r="A41" s="220" t="s">
        <v>515</v>
      </c>
      <c r="B41" s="220" t="s">
        <v>525</v>
      </c>
      <c r="C41" s="136">
        <f t="shared" si="13"/>
        <v>600</v>
      </c>
      <c r="D41" s="136">
        <f t="shared" si="14"/>
        <v>57.405999999999999</v>
      </c>
      <c r="E41" s="136">
        <f t="shared" ca="1" si="15"/>
        <v>67.936000000000007</v>
      </c>
      <c r="F41" s="136">
        <f t="shared" ca="1" si="16"/>
        <v>10.530000000000008</v>
      </c>
      <c r="G41" s="499">
        <f t="shared" ca="1" si="17"/>
        <v>18.343030345260093</v>
      </c>
      <c r="H41" s="136">
        <f t="shared" ca="1" si="18"/>
        <v>67.936000000000007</v>
      </c>
      <c r="I41" s="136">
        <f t="shared" ca="1" si="19"/>
        <v>75.748000000000005</v>
      </c>
      <c r="J41" s="136">
        <f t="shared" ca="1" si="20"/>
        <v>7.8119999999999976</v>
      </c>
      <c r="K41" s="499">
        <f t="shared" ca="1" si="21"/>
        <v>11.499057936881767</v>
      </c>
      <c r="L41" s="208" t="s">
        <v>505</v>
      </c>
      <c r="M41" s="381" t="s">
        <v>403</v>
      </c>
      <c r="N41" s="208" t="s">
        <v>334</v>
      </c>
      <c r="O41" s="208" t="s">
        <v>195</v>
      </c>
      <c r="P41" s="407" t="s">
        <v>394</v>
      </c>
      <c r="Q41" s="316">
        <f t="shared" ref="Q41:Q47" ca="1" si="25">ROUND(R41/100*U41/V41+W41+X41,S41)</f>
        <v>9.6560000000000007E-2</v>
      </c>
      <c r="R41" s="429">
        <f>100+Summary!$Q$8</f>
        <v>100.71</v>
      </c>
      <c r="S41" s="135">
        <v>5</v>
      </c>
      <c r="T41" s="303">
        <f t="shared" ref="T41:T47" ca="1" si="26">U41/V41+W41+X41</f>
        <v>9.5801401142662335E-2</v>
      </c>
      <c r="U41" s="2">
        <f t="shared" ca="1" si="23"/>
        <v>172634038.81628591</v>
      </c>
      <c r="V41" s="2">
        <f t="shared" si="24"/>
        <v>1617618047.084254</v>
      </c>
      <c r="W41" s="304">
        <f>-AG38*(Q14+Q16)/(Q14+Q15+Q16+Q17)</f>
        <v>-2.7875879053421192E-3</v>
      </c>
      <c r="X41" s="270">
        <f>-(Q16+Q17)*(Q24-Q23)/(Q14+Q15+Q16+Q17)*(100-S28)/100</f>
        <v>-8.1321489409402429E-3</v>
      </c>
      <c r="Y41" s="303">
        <f ca="1">R41/100*U41/V41+X41</f>
        <v>9.9346709127725946E-2</v>
      </c>
    </row>
    <row r="42" spans="1:34">
      <c r="A42" s="220" t="s">
        <v>515</v>
      </c>
      <c r="B42" s="220" t="s">
        <v>525</v>
      </c>
      <c r="C42" s="136">
        <f t="shared" si="13"/>
        <v>700</v>
      </c>
      <c r="D42" s="136">
        <f t="shared" si="14"/>
        <v>68.603999999999999</v>
      </c>
      <c r="E42" s="136">
        <f t="shared" ca="1" si="15"/>
        <v>79.053000000000011</v>
      </c>
      <c r="F42" s="136">
        <f t="shared" ca="1" si="16"/>
        <v>10.449000000000012</v>
      </c>
      <c r="G42" s="499">
        <f t="shared" ca="1" si="17"/>
        <v>15.230890327094649</v>
      </c>
      <c r="H42" s="136">
        <f t="shared" ca="1" si="18"/>
        <v>79.053000000000011</v>
      </c>
      <c r="I42" s="136">
        <f t="shared" ca="1" si="19"/>
        <v>86.706000000000003</v>
      </c>
      <c r="J42" s="136">
        <f t="shared" ca="1" si="20"/>
        <v>7.6529999999999916</v>
      </c>
      <c r="K42" s="499">
        <f t="shared" ca="1" si="21"/>
        <v>9.6808470266782916</v>
      </c>
      <c r="L42" s="208" t="s">
        <v>505</v>
      </c>
      <c r="M42" s="381" t="s">
        <v>403</v>
      </c>
      <c r="N42" s="208" t="s">
        <v>334</v>
      </c>
      <c r="O42" s="208" t="s">
        <v>195</v>
      </c>
      <c r="P42" s="407" t="s">
        <v>397</v>
      </c>
      <c r="Q42" s="316">
        <f t="shared" ca="1" si="25"/>
        <v>0.12078</v>
      </c>
      <c r="R42" s="429">
        <f>100+Summary!$Q$8</f>
        <v>100.71</v>
      </c>
      <c r="S42" s="135">
        <v>5</v>
      </c>
      <c r="T42" s="303">
        <f t="shared" ca="1" si="26"/>
        <v>0.12001745018953482</v>
      </c>
      <c r="U42" s="2">
        <f t="shared" ca="1" si="23"/>
        <v>172634038.81628591</v>
      </c>
      <c r="V42" s="2">
        <f t="shared" si="24"/>
        <v>1617618047.084254</v>
      </c>
      <c r="W42" s="304">
        <f>AG38*(Q15+Q17)/(Q14+Q15+Q16+Q17)</f>
        <v>6.8184611415303712E-3</v>
      </c>
      <c r="X42" s="270">
        <f>(Q14+Q15)*(Q24-Q23)/(Q14+Q15+Q16+Q17)*(100-S28)/100</f>
        <v>6.4778510590597551E-3</v>
      </c>
      <c r="Y42" s="303"/>
    </row>
    <row r="43" spans="1:34">
      <c r="A43" s="220" t="s">
        <v>515</v>
      </c>
      <c r="B43" s="220" t="s">
        <v>525</v>
      </c>
      <c r="C43" s="136">
        <f t="shared" si="13"/>
        <v>800</v>
      </c>
      <c r="D43" s="136">
        <f t="shared" si="14"/>
        <v>79.801999999999992</v>
      </c>
      <c r="E43" s="136">
        <f t="shared" ca="1" si="15"/>
        <v>90.170000000000016</v>
      </c>
      <c r="F43" s="136">
        <f t="shared" ca="1" si="16"/>
        <v>10.368000000000023</v>
      </c>
      <c r="G43" s="499">
        <f t="shared" ca="1" si="17"/>
        <v>12.992155585073087</v>
      </c>
      <c r="H43" s="136">
        <f t="shared" ca="1" si="18"/>
        <v>90.170000000000016</v>
      </c>
      <c r="I43" s="136">
        <f t="shared" ca="1" si="19"/>
        <v>97.664000000000001</v>
      </c>
      <c r="J43" s="136">
        <f t="shared" ca="1" si="20"/>
        <v>7.4939999999999856</v>
      </c>
      <c r="K43" s="499">
        <f t="shared" ca="1" si="21"/>
        <v>8.3109681712320995</v>
      </c>
      <c r="L43" s="208" t="s">
        <v>505</v>
      </c>
      <c r="M43" s="381" t="s">
        <v>403</v>
      </c>
      <c r="N43" s="208" t="s">
        <v>334</v>
      </c>
      <c r="O43" s="208" t="s">
        <v>195</v>
      </c>
      <c r="P43" s="407" t="s">
        <v>395</v>
      </c>
      <c r="Q43" s="316">
        <f t="shared" ca="1" si="25"/>
        <v>0.11117</v>
      </c>
      <c r="R43" s="429">
        <f>100+Summary!$Q$8</f>
        <v>100.71</v>
      </c>
      <c r="S43" s="135">
        <v>5</v>
      </c>
      <c r="T43" s="303">
        <f t="shared" ca="1" si="26"/>
        <v>0.11041140114266233</v>
      </c>
      <c r="U43" s="2">
        <f t="shared" ca="1" si="23"/>
        <v>172634038.81628591</v>
      </c>
      <c r="V43" s="2">
        <f t="shared" si="24"/>
        <v>1617618047.084254</v>
      </c>
      <c r="W43" s="304">
        <f>-AG38*(Q14+Q16)/(Q14+Q15+Q16+Q17)</f>
        <v>-2.7875879053421192E-3</v>
      </c>
      <c r="X43" s="270">
        <f>(Q14+Q15)*(Q24-Q23)/(Q14+Q15+Q16+Q17)*(100-S28)/100</f>
        <v>6.4778510590597551E-3</v>
      </c>
      <c r="Y43" s="303">
        <f ca="1">R43/100*U43/V43+X43</f>
        <v>0.11395670912772594</v>
      </c>
    </row>
    <row r="44" spans="1:34">
      <c r="A44" s="220" t="s">
        <v>515</v>
      </c>
      <c r="B44" s="220" t="s">
        <v>525</v>
      </c>
      <c r="C44" s="136">
        <f t="shared" si="13"/>
        <v>900</v>
      </c>
      <c r="D44" s="136">
        <f t="shared" si="14"/>
        <v>91</v>
      </c>
      <c r="E44" s="136">
        <f t="shared" ca="1" si="15"/>
        <v>101.28700000000001</v>
      </c>
      <c r="F44" s="136">
        <f t="shared" ca="1" si="16"/>
        <v>10.287000000000006</v>
      </c>
      <c r="G44" s="499">
        <f t="shared" ca="1" si="17"/>
        <v>11.304395604395612</v>
      </c>
      <c r="H44" s="136">
        <f t="shared" ca="1" si="18"/>
        <v>101.28700000000001</v>
      </c>
      <c r="I44" s="136">
        <f t="shared" ca="1" si="19"/>
        <v>108.62200000000001</v>
      </c>
      <c r="J44" s="136">
        <f t="shared" ca="1" si="20"/>
        <v>7.335000000000008</v>
      </c>
      <c r="K44" s="499">
        <f t="shared" ca="1" si="21"/>
        <v>7.2417980589809234</v>
      </c>
      <c r="L44" s="208" t="s">
        <v>505</v>
      </c>
      <c r="M44" s="381" t="s">
        <v>403</v>
      </c>
      <c r="N44" s="208" t="s">
        <v>425</v>
      </c>
      <c r="O44" s="208" t="s">
        <v>195</v>
      </c>
      <c r="P44" s="407" t="s">
        <v>477</v>
      </c>
      <c r="Q44" s="316">
        <f t="shared" ca="1" si="25"/>
        <v>0.1449</v>
      </c>
      <c r="R44" s="429">
        <f>100+Summary!$Q$8</f>
        <v>100.71</v>
      </c>
      <c r="S44" s="135">
        <v>5</v>
      </c>
      <c r="T44" s="303">
        <f t="shared" ca="1" si="26"/>
        <v>0.14413959913047505</v>
      </c>
      <c r="U44" s="2">
        <f t="shared" ca="1" si="23"/>
        <v>172634038.81628591</v>
      </c>
      <c r="V44" s="2">
        <f t="shared" si="24"/>
        <v>1617618047.084254</v>
      </c>
      <c r="W44" s="304">
        <f>AG38*(Q15+Q17)/(Q14+Q15+Q16+Q17)</f>
        <v>6.8184611415303712E-3</v>
      </c>
      <c r="X44" s="441">
        <f>ROUND(V28*(1-W28/100),5)</f>
        <v>3.0599999999999999E-2</v>
      </c>
    </row>
    <row r="45" spans="1:34">
      <c r="A45" s="220" t="s">
        <v>515</v>
      </c>
      <c r="B45" s="220" t="s">
        <v>525</v>
      </c>
      <c r="C45" s="136">
        <f t="shared" si="13"/>
        <v>1000</v>
      </c>
      <c r="D45" s="136">
        <f t="shared" si="14"/>
        <v>102.19800000000001</v>
      </c>
      <c r="E45" s="136">
        <f t="shared" ca="1" si="15"/>
        <v>112.40400000000001</v>
      </c>
      <c r="F45" s="136">
        <f t="shared" ca="1" si="16"/>
        <v>10.206000000000003</v>
      </c>
      <c r="G45" s="499">
        <f t="shared" ca="1" si="17"/>
        <v>9.9864968003287764</v>
      </c>
      <c r="H45" s="136">
        <f t="shared" ca="1" si="18"/>
        <v>112.40400000000001</v>
      </c>
      <c r="I45" s="136">
        <f t="shared" ca="1" si="19"/>
        <v>119.58000000000001</v>
      </c>
      <c r="J45" s="136">
        <f t="shared" ca="1" si="20"/>
        <v>7.1760000000000019</v>
      </c>
      <c r="K45" s="499">
        <f t="shared" ca="1" si="21"/>
        <v>6.3841144443258253</v>
      </c>
      <c r="L45" s="208" t="s">
        <v>505</v>
      </c>
      <c r="M45" s="381" t="s">
        <v>403</v>
      </c>
      <c r="N45" s="208" t="s">
        <v>425</v>
      </c>
      <c r="O45" s="208" t="s">
        <v>195</v>
      </c>
      <c r="P45" s="407" t="s">
        <v>478</v>
      </c>
      <c r="Q45" s="316">
        <f t="shared" ca="1" si="25"/>
        <v>0.13528999999999999</v>
      </c>
      <c r="R45" s="429">
        <f>100+Summary!$Q$8</f>
        <v>100.71</v>
      </c>
      <c r="S45" s="135">
        <v>5</v>
      </c>
      <c r="T45" s="303">
        <f t="shared" ca="1" si="26"/>
        <v>0.13453355008360257</v>
      </c>
      <c r="U45" s="2">
        <f t="shared" ca="1" si="23"/>
        <v>172634038.81628591</v>
      </c>
      <c r="V45" s="2">
        <f t="shared" si="24"/>
        <v>1617618047.084254</v>
      </c>
      <c r="W45" s="304">
        <f>-AG38*(Q14+Q16)/(Q14+Q15+Q16+Q17)</f>
        <v>-2.7875879053421192E-3</v>
      </c>
      <c r="X45" s="441">
        <f>ROUND(V28*(1-W28/100),5)</f>
        <v>3.0599999999999999E-2</v>
      </c>
    </row>
    <row r="46" spans="1:34">
      <c r="A46" s="220" t="s">
        <v>515</v>
      </c>
      <c r="B46" s="220" t="s">
        <v>525</v>
      </c>
      <c r="C46" s="136">
        <f t="shared" si="13"/>
        <v>1100</v>
      </c>
      <c r="D46" s="136">
        <f t="shared" si="14"/>
        <v>113.39599999999999</v>
      </c>
      <c r="E46" s="136">
        <f t="shared" ca="1" si="15"/>
        <v>123.52100000000002</v>
      </c>
      <c r="F46" s="136">
        <f t="shared" ca="1" si="16"/>
        <v>10.125000000000028</v>
      </c>
      <c r="G46" s="499">
        <f t="shared" ca="1" si="17"/>
        <v>8.9288863804720009</v>
      </c>
      <c r="H46" s="136">
        <f t="shared" ca="1" si="18"/>
        <v>123.52100000000002</v>
      </c>
      <c r="I46" s="136">
        <f t="shared" ca="1" si="19"/>
        <v>130.53800000000001</v>
      </c>
      <c r="J46" s="136">
        <f t="shared" ca="1" si="20"/>
        <v>7.0169999999999959</v>
      </c>
      <c r="K46" s="499">
        <f t="shared" ca="1" si="21"/>
        <v>5.6808154079063433</v>
      </c>
      <c r="L46" s="208" t="s">
        <v>505</v>
      </c>
      <c r="M46" s="381" t="s">
        <v>403</v>
      </c>
      <c r="N46" s="208" t="s">
        <v>425</v>
      </c>
      <c r="O46" s="208" t="s">
        <v>195</v>
      </c>
      <c r="P46" s="407" t="s">
        <v>479</v>
      </c>
      <c r="Q46" s="316">
        <f t="shared" ca="1" si="25"/>
        <v>9.1850000000000001E-2</v>
      </c>
      <c r="R46" s="429">
        <f>100+Summary!$Q$8</f>
        <v>100.71</v>
      </c>
      <c r="S46" s="135">
        <v>5</v>
      </c>
      <c r="T46" s="303">
        <f t="shared" ca="1" si="26"/>
        <v>9.1089599130475069E-2</v>
      </c>
      <c r="U46" s="2">
        <f t="shared" ca="1" si="23"/>
        <v>172634038.81628591</v>
      </c>
      <c r="V46" s="2">
        <f t="shared" si="24"/>
        <v>1617618047.084254</v>
      </c>
      <c r="W46" s="304">
        <f>AG38*(Q15+Q17)/(Q14+Q15+Q16+Q17)</f>
        <v>6.8184611415303712E-3</v>
      </c>
      <c r="X46" s="441">
        <f>ROUND(-V28*W28/100,5)</f>
        <v>-2.2450000000000001E-2</v>
      </c>
    </row>
    <row r="47" spans="1:34">
      <c r="A47" s="328" t="s">
        <v>515</v>
      </c>
      <c r="B47" s="328" t="s">
        <v>525</v>
      </c>
      <c r="C47" s="332">
        <f t="shared" si="13"/>
        <v>1200</v>
      </c>
      <c r="D47" s="332">
        <f t="shared" si="14"/>
        <v>124.59399999999999</v>
      </c>
      <c r="E47" s="332">
        <f t="shared" ca="1" si="15"/>
        <v>134.63800000000001</v>
      </c>
      <c r="F47" s="332">
        <f t="shared" ca="1" si="16"/>
        <v>10.044000000000011</v>
      </c>
      <c r="G47" s="501">
        <f t="shared" ca="1" si="17"/>
        <v>8.0613833731961506</v>
      </c>
      <c r="H47" s="332">
        <f t="shared" ca="1" si="18"/>
        <v>134.63800000000001</v>
      </c>
      <c r="I47" s="332">
        <f t="shared" ca="1" si="19"/>
        <v>141.49600000000001</v>
      </c>
      <c r="J47" s="332">
        <f t="shared" ca="1" si="20"/>
        <v>6.8580000000000041</v>
      </c>
      <c r="K47" s="501">
        <f t="shared" ca="1" si="21"/>
        <v>5.0936585510777075</v>
      </c>
      <c r="L47" s="209" t="s">
        <v>505</v>
      </c>
      <c r="M47" s="439" t="s">
        <v>403</v>
      </c>
      <c r="N47" s="209" t="s">
        <v>425</v>
      </c>
      <c r="O47" s="209" t="s">
        <v>195</v>
      </c>
      <c r="P47" s="408" t="s">
        <v>480</v>
      </c>
      <c r="Q47" s="316">
        <f t="shared" ca="1" si="25"/>
        <v>8.2239999999999994E-2</v>
      </c>
      <c r="R47" s="429">
        <f>100+Summary!$Q$8</f>
        <v>100.71</v>
      </c>
      <c r="S47" s="135">
        <v>5</v>
      </c>
      <c r="T47" s="303">
        <f t="shared" ca="1" si="26"/>
        <v>8.1483550083602585E-2</v>
      </c>
      <c r="U47" s="2">
        <f t="shared" ca="1" si="23"/>
        <v>172634038.81628591</v>
      </c>
      <c r="V47" s="2">
        <f t="shared" si="24"/>
        <v>1617618047.084254</v>
      </c>
      <c r="W47" s="304">
        <f>-AG38*(Q14+Q16)/(Q14+Q15+Q16+Q17)</f>
        <v>-2.7875879053421192E-3</v>
      </c>
      <c r="X47" s="441">
        <f>ROUND(-V28*W28/100,5)</f>
        <v>-2.2450000000000001E-2</v>
      </c>
    </row>
    <row r="48" spans="1:34">
      <c r="A48" s="220" t="s">
        <v>515</v>
      </c>
      <c r="B48" s="220" t="s">
        <v>525</v>
      </c>
      <c r="C48" s="136">
        <f t="shared" si="13"/>
        <v>1300</v>
      </c>
      <c r="D48" s="136">
        <f t="shared" si="14"/>
        <v>135.792</v>
      </c>
      <c r="E48" s="136">
        <f t="shared" ca="1" si="15"/>
        <v>145.755</v>
      </c>
      <c r="F48" s="136">
        <f t="shared" ca="1" si="16"/>
        <v>9.9629999999999939</v>
      </c>
      <c r="G48" s="499">
        <f t="shared" ca="1" si="17"/>
        <v>7.3369565217391255</v>
      </c>
      <c r="H48" s="136">
        <f t="shared" ca="1" si="18"/>
        <v>145.755</v>
      </c>
      <c r="I48" s="136">
        <f t="shared" ca="1" si="19"/>
        <v>152.45400000000001</v>
      </c>
      <c r="J48" s="136">
        <f t="shared" ca="1" si="20"/>
        <v>6.6990000000000123</v>
      </c>
      <c r="K48" s="499">
        <f t="shared" ca="1" si="21"/>
        <v>4.5960687454975906</v>
      </c>
      <c r="L48" s="212" t="s">
        <v>505</v>
      </c>
      <c r="M48" s="611" t="s">
        <v>29</v>
      </c>
      <c r="N48" s="140" t="s">
        <v>422</v>
      </c>
      <c r="O48" s="139" t="s">
        <v>199</v>
      </c>
      <c r="P48" s="139" t="s">
        <v>419</v>
      </c>
      <c r="Q48" s="213">
        <f t="shared" ref="Q48:Q57" si="27">IF(P48="Unbilled",SUMIFS(Q$27:Q$33,P$27:P$33,P48),SUMIFS(Q$35:Q$47,O$35:O$47,O48,P$35:P$47,P48)*S48)</f>
        <v>10742609.827545121</v>
      </c>
      <c r="R48" s="153">
        <f t="shared" ref="R48:R57" si="28">IF(P48="Unbilled",SUMIFS(Q$27:Q$33,P$27:P$33,P48),SUMIFS(T$35:T$47,O$35:O$47,O48,P$35:P$47,P48)*S48)</f>
        <v>10742609.827545121</v>
      </c>
      <c r="S48" s="157">
        <f t="shared" ref="S48:S57" si="29">SUMIFS(Q$8:Q$18,O$8:O$18,O48,P$8:P$18,P48)</f>
        <v>1074260.9827545122</v>
      </c>
      <c r="V48" s="2"/>
    </row>
    <row r="49" spans="1:24">
      <c r="A49" s="220" t="s">
        <v>515</v>
      </c>
      <c r="B49" s="220" t="s">
        <v>525</v>
      </c>
      <c r="C49" s="136">
        <f t="shared" si="13"/>
        <v>1400</v>
      </c>
      <c r="D49" s="136">
        <f t="shared" si="14"/>
        <v>146.99</v>
      </c>
      <c r="E49" s="136">
        <f t="shared" ca="1" si="15"/>
        <v>156.87200000000001</v>
      </c>
      <c r="F49" s="136">
        <f t="shared" ca="1" si="16"/>
        <v>9.882000000000005</v>
      </c>
      <c r="G49" s="499">
        <f t="shared" ca="1" si="17"/>
        <v>6.7229063201578372</v>
      </c>
      <c r="H49" s="136">
        <f t="shared" ca="1" si="18"/>
        <v>156.87200000000001</v>
      </c>
      <c r="I49" s="136">
        <f t="shared" ca="1" si="19"/>
        <v>163.41200000000001</v>
      </c>
      <c r="J49" s="136">
        <f t="shared" ca="1" si="20"/>
        <v>6.539999999999992</v>
      </c>
      <c r="K49" s="499">
        <f t="shared" ca="1" si="21"/>
        <v>4.1690040287622976</v>
      </c>
      <c r="L49" s="208" t="s">
        <v>505</v>
      </c>
      <c r="M49" s="381" t="s">
        <v>29</v>
      </c>
      <c r="N49" s="97" t="s">
        <v>422</v>
      </c>
      <c r="O49" s="95" t="s">
        <v>199</v>
      </c>
      <c r="P49" s="95" t="s">
        <v>420</v>
      </c>
      <c r="Q49" s="210">
        <f t="shared" si="27"/>
        <v>1965326.9436525307</v>
      </c>
      <c r="R49" s="153">
        <f t="shared" si="28"/>
        <v>1965326.9436525307</v>
      </c>
      <c r="S49" s="157">
        <f t="shared" si="29"/>
        <v>253590.57337452009</v>
      </c>
      <c r="V49" s="2"/>
      <c r="W49" s="270"/>
    </row>
    <row r="50" spans="1:24">
      <c r="A50" s="220" t="s">
        <v>515</v>
      </c>
      <c r="B50" s="220" t="s">
        <v>525</v>
      </c>
      <c r="C50" s="136">
        <f t="shared" si="13"/>
        <v>1500</v>
      </c>
      <c r="D50" s="136">
        <f t="shared" si="14"/>
        <v>158.18799999999999</v>
      </c>
      <c r="E50" s="136">
        <f t="shared" ca="1" si="15"/>
        <v>167.98900000000003</v>
      </c>
      <c r="F50" s="136">
        <f t="shared" ca="1" si="16"/>
        <v>9.8010000000000446</v>
      </c>
      <c r="G50" s="499">
        <f t="shared" ca="1" si="17"/>
        <v>6.1957923483450363</v>
      </c>
      <c r="H50" s="136">
        <f t="shared" ca="1" si="18"/>
        <v>167.98900000000003</v>
      </c>
      <c r="I50" s="136">
        <f t="shared" ca="1" si="19"/>
        <v>174.37</v>
      </c>
      <c r="J50" s="136">
        <f t="shared" ca="1" si="20"/>
        <v>6.3809999999999718</v>
      </c>
      <c r="K50" s="499">
        <f t="shared" ca="1" si="21"/>
        <v>3.7984629946008193</v>
      </c>
      <c r="L50" s="208" t="s">
        <v>505</v>
      </c>
      <c r="M50" s="381" t="s">
        <v>29</v>
      </c>
      <c r="N50" s="97" t="s">
        <v>422</v>
      </c>
      <c r="O50" s="95" t="s">
        <v>200</v>
      </c>
      <c r="P50" s="95" t="s">
        <v>419</v>
      </c>
      <c r="Q50" s="210">
        <f t="shared" si="27"/>
        <v>18480.634838709673</v>
      </c>
      <c r="R50" s="153">
        <f t="shared" si="28"/>
        <v>18480.634838709673</v>
      </c>
      <c r="S50" s="157">
        <f t="shared" si="29"/>
        <v>1026.7019354838708</v>
      </c>
      <c r="V50" s="2"/>
      <c r="W50" s="304"/>
    </row>
    <row r="51" spans="1:24">
      <c r="A51" s="220" t="s">
        <v>515</v>
      </c>
      <c r="B51" s="220" t="s">
        <v>525</v>
      </c>
      <c r="C51" s="136">
        <f t="shared" si="13"/>
        <v>1600</v>
      </c>
      <c r="D51" s="136">
        <f t="shared" si="14"/>
        <v>169.386</v>
      </c>
      <c r="E51" s="136">
        <f t="shared" ca="1" si="15"/>
        <v>179.10599999999999</v>
      </c>
      <c r="F51" s="136">
        <f t="shared" ca="1" si="16"/>
        <v>9.7199999999999989</v>
      </c>
      <c r="G51" s="499">
        <f t="shared" ca="1" si="17"/>
        <v>5.7383727108497746</v>
      </c>
      <c r="H51" s="136">
        <f t="shared" ca="1" si="18"/>
        <v>179.10599999999999</v>
      </c>
      <c r="I51" s="136">
        <f t="shared" ca="1" si="19"/>
        <v>185.328</v>
      </c>
      <c r="J51" s="136">
        <f t="shared" ca="1" si="20"/>
        <v>6.2220000000000084</v>
      </c>
      <c r="K51" s="499">
        <f t="shared" ca="1" si="21"/>
        <v>3.4739204716759953</v>
      </c>
      <c r="L51" s="208" t="s">
        <v>505</v>
      </c>
      <c r="M51" s="381" t="s">
        <v>29</v>
      </c>
      <c r="N51" s="97" t="s">
        <v>422</v>
      </c>
      <c r="O51" s="95" t="s">
        <v>200</v>
      </c>
      <c r="P51" s="95" t="s">
        <v>420</v>
      </c>
      <c r="Q51" s="210">
        <f t="shared" si="27"/>
        <v>348.08516129032262</v>
      </c>
      <c r="R51" s="153">
        <f t="shared" si="28"/>
        <v>348.08516129032262</v>
      </c>
      <c r="S51" s="157">
        <f t="shared" si="29"/>
        <v>22.100645161290323</v>
      </c>
      <c r="V51" s="2"/>
      <c r="W51" s="304"/>
    </row>
    <row r="52" spans="1:24">
      <c r="A52" s="220" t="s">
        <v>515</v>
      </c>
      <c r="B52" s="220" t="s">
        <v>525</v>
      </c>
      <c r="C52" s="136">
        <f t="shared" si="13"/>
        <v>2000</v>
      </c>
      <c r="D52" s="136">
        <f t="shared" si="14"/>
        <v>214.178</v>
      </c>
      <c r="E52" s="136">
        <f t="shared" ca="1" si="15"/>
        <v>223.57400000000001</v>
      </c>
      <c r="F52" s="136">
        <f t="shared" ca="1" si="16"/>
        <v>9.396000000000015</v>
      </c>
      <c r="G52" s="499">
        <f t="shared" ca="1" si="17"/>
        <v>4.387005201281184</v>
      </c>
      <c r="H52" s="136">
        <f t="shared" ca="1" si="18"/>
        <v>223.57400000000001</v>
      </c>
      <c r="I52" s="136">
        <f t="shared" ca="1" si="19"/>
        <v>229.16000000000003</v>
      </c>
      <c r="J52" s="136">
        <f t="shared" ca="1" si="20"/>
        <v>5.5860000000000127</v>
      </c>
      <c r="K52" s="499">
        <f t="shared" ca="1" si="21"/>
        <v>2.4985016146779198</v>
      </c>
      <c r="L52" s="208" t="s">
        <v>505</v>
      </c>
      <c r="M52" s="381" t="s">
        <v>29</v>
      </c>
      <c r="N52" s="97" t="s">
        <v>422</v>
      </c>
      <c r="O52" s="95" t="s">
        <v>195</v>
      </c>
      <c r="P52" s="407" t="s">
        <v>366</v>
      </c>
      <c r="Q52" s="210">
        <f t="shared" si="27"/>
        <v>-85106.12000000001</v>
      </c>
      <c r="R52" s="153">
        <f t="shared" si="28"/>
        <v>-85106.12000000001</v>
      </c>
      <c r="S52" s="157">
        <f t="shared" si="29"/>
        <v>340424.48000000004</v>
      </c>
      <c r="V52" s="2"/>
    </row>
    <row r="53" spans="1:24">
      <c r="A53" s="329" t="s">
        <v>515</v>
      </c>
      <c r="B53" s="329" t="s">
        <v>525</v>
      </c>
      <c r="C53" s="137">
        <f t="shared" si="13"/>
        <v>2600</v>
      </c>
      <c r="D53" s="137">
        <f t="shared" si="14"/>
        <v>281.36599999999999</v>
      </c>
      <c r="E53" s="137">
        <f t="shared" ca="1" si="15"/>
        <v>290.27600000000001</v>
      </c>
      <c r="F53" s="137">
        <f t="shared" ca="1" si="16"/>
        <v>8.910000000000025</v>
      </c>
      <c r="G53" s="500">
        <f t="shared" ca="1" si="17"/>
        <v>3.1666939146876398</v>
      </c>
      <c r="H53" s="137">
        <f t="shared" ca="1" si="18"/>
        <v>290.27600000000001</v>
      </c>
      <c r="I53" s="137">
        <f t="shared" ca="1" si="19"/>
        <v>294.90800000000002</v>
      </c>
      <c r="J53" s="137">
        <f t="shared" ca="1" si="20"/>
        <v>4.632000000000005</v>
      </c>
      <c r="K53" s="500">
        <f t="shared" ca="1" si="21"/>
        <v>1.5957226915073945</v>
      </c>
      <c r="L53" s="208" t="s">
        <v>505</v>
      </c>
      <c r="M53" s="381" t="s">
        <v>29</v>
      </c>
      <c r="N53" s="97" t="s">
        <v>422</v>
      </c>
      <c r="O53" s="208" t="s">
        <v>195</v>
      </c>
      <c r="P53" s="407" t="s">
        <v>396</v>
      </c>
      <c r="Q53" s="210">
        <f t="shared" ca="1" si="27"/>
        <v>24675765.748441271</v>
      </c>
      <c r="R53" s="153">
        <f t="shared" ca="1" si="28"/>
        <v>24498535.829494704</v>
      </c>
      <c r="S53" s="157">
        <f t="shared" si="29"/>
        <v>232417497.86607584</v>
      </c>
      <c r="V53" s="2"/>
    </row>
    <row r="54" spans="1:24">
      <c r="A54" s="393" t="s">
        <v>517</v>
      </c>
      <c r="B54" s="345"/>
      <c r="C54" s="345"/>
      <c r="D54" s="345"/>
      <c r="E54" s="8"/>
      <c r="F54" s="345"/>
      <c r="G54" s="510"/>
      <c r="H54" s="8"/>
      <c r="I54" s="8"/>
      <c r="J54" s="345"/>
      <c r="K54" s="513"/>
      <c r="L54" s="208" t="s">
        <v>505</v>
      </c>
      <c r="M54" s="381" t="s">
        <v>29</v>
      </c>
      <c r="N54" s="97" t="s">
        <v>422</v>
      </c>
      <c r="O54" s="208" t="s">
        <v>195</v>
      </c>
      <c r="P54" s="407" t="s">
        <v>394</v>
      </c>
      <c r="Q54" s="210">
        <f t="shared" ca="1" si="27"/>
        <v>46813220.789662428</v>
      </c>
      <c r="R54" s="153">
        <f t="shared" ca="1" si="28"/>
        <v>46445444.735402547</v>
      </c>
      <c r="S54" s="157">
        <f t="shared" si="29"/>
        <v>484809660.2077716</v>
      </c>
      <c r="V54" s="2"/>
    </row>
    <row r="55" spans="1:24">
      <c r="A55" s="394" t="str">
        <f>"The average residential customer uses "&amp;TEXT(C$22,"#,###")&amp;" kilowatt hours per month"</f>
        <v>The average residential customer uses 1,200 kilowatt hours per month</v>
      </c>
      <c r="B55" s="138"/>
      <c r="C55" s="138"/>
      <c r="D55" s="138"/>
      <c r="E55"/>
      <c r="F55" s="138"/>
      <c r="G55" s="511"/>
      <c r="H55"/>
      <c r="I55"/>
      <c r="J55" s="138"/>
      <c r="K55" s="514"/>
      <c r="L55" s="208" t="s">
        <v>505</v>
      </c>
      <c r="M55" s="381" t="s">
        <v>29</v>
      </c>
      <c r="N55" s="97" t="s">
        <v>422</v>
      </c>
      <c r="O55" s="208" t="s">
        <v>195</v>
      </c>
      <c r="P55" s="407" t="s">
        <v>397</v>
      </c>
      <c r="Q55" s="210">
        <f t="shared" ca="1" si="27"/>
        <v>28624922.810730092</v>
      </c>
      <c r="R55" s="153">
        <f t="shared" ca="1" si="28"/>
        <v>28444198.109091554</v>
      </c>
      <c r="S55" s="157">
        <f t="shared" si="29"/>
        <v>237000520.04247469</v>
      </c>
      <c r="V55" s="2"/>
    </row>
    <row r="56" spans="1:24">
      <c r="A56" s="384" t="s">
        <v>518</v>
      </c>
      <c r="B56"/>
      <c r="C56"/>
      <c r="D56"/>
      <c r="E56"/>
      <c r="F56" s="138"/>
      <c r="G56" s="511"/>
      <c r="H56"/>
      <c r="I56"/>
      <c r="J56" s="138"/>
      <c r="K56" s="514"/>
      <c r="L56" s="208" t="s">
        <v>505</v>
      </c>
      <c r="M56" s="381" t="s">
        <v>29</v>
      </c>
      <c r="N56" s="97" t="s">
        <v>422</v>
      </c>
      <c r="O56" s="208" t="s">
        <v>195</v>
      </c>
      <c r="P56" s="407" t="s">
        <v>395</v>
      </c>
      <c r="Q56" s="210">
        <f t="shared" ca="1" si="27"/>
        <v>73749107.318165004</v>
      </c>
      <c r="R56" s="153">
        <f t="shared" ca="1" si="28"/>
        <v>73245860.142297119</v>
      </c>
      <c r="S56" s="157">
        <f t="shared" si="29"/>
        <v>663390368.96793199</v>
      </c>
      <c r="V56" s="2"/>
    </row>
    <row r="57" spans="1:24">
      <c r="A57" s="330" t="s">
        <v>523</v>
      </c>
      <c r="B57" s="346"/>
      <c r="C57" s="346"/>
      <c r="D57" s="346"/>
      <c r="E57" s="395"/>
      <c r="F57" s="346"/>
      <c r="G57" s="512"/>
      <c r="H57" s="395"/>
      <c r="I57" s="395"/>
      <c r="J57" s="346"/>
      <c r="K57" s="515"/>
      <c r="L57" s="209" t="s">
        <v>505</v>
      </c>
      <c r="M57" s="439" t="s">
        <v>29</v>
      </c>
      <c r="N57" s="145" t="s">
        <v>422</v>
      </c>
      <c r="O57" s="209" t="s">
        <v>195</v>
      </c>
      <c r="P57" s="408" t="s">
        <v>168</v>
      </c>
      <c r="Q57" s="211">
        <f t="shared" si="27"/>
        <v>5660946.3060093932</v>
      </c>
      <c r="R57" s="153">
        <f t="shared" si="28"/>
        <v>5660946.3060093932</v>
      </c>
      <c r="S57" s="157">
        <f t="shared" si="29"/>
        <v>0</v>
      </c>
      <c r="V57" s="2"/>
    </row>
    <row r="58" spans="1:24">
      <c r="A58" s="342" t="s">
        <v>515</v>
      </c>
      <c r="B58" s="342" t="s">
        <v>526</v>
      </c>
      <c r="C58" s="260">
        <f t="shared" ref="C58:C78" si="30">C33</f>
        <v>0</v>
      </c>
      <c r="D58" s="260">
        <f t="shared" ref="D58:D78" si="31">Q$19+IF(C58&lt;=600,C58*Q$23,600*Q$23+(C58-600)*Q$24)</f>
        <v>7.75</v>
      </c>
      <c r="E58" s="260">
        <f t="shared" ref="E58:E78" ca="1" si="32">Q$35+IF(C58&lt;=600,C58*Y$41,600*Y$41+(C58-600)*Y$43)</f>
        <v>10</v>
      </c>
      <c r="F58" s="260">
        <f t="shared" ref="F58:F78" ca="1" si="33">E58-D58</f>
        <v>2.25</v>
      </c>
      <c r="G58" s="504">
        <f t="shared" ref="G58:G78" ca="1" si="34">F58/D58*100</f>
        <v>29.032258064516132</v>
      </c>
      <c r="H58" s="260">
        <f t="shared" ref="H58:H78" ca="1" si="35">E58</f>
        <v>10</v>
      </c>
      <c r="I58" s="260">
        <f t="shared" ref="I58:I78" ca="1" si="36">Q$59+IF(C58&lt;=600,C58*Y$65,600*Y$65+(C58-600)*Y$67)</f>
        <v>10</v>
      </c>
      <c r="J58" s="260">
        <f t="shared" ref="J58:J78" ca="1" si="37">I58-H58</f>
        <v>0</v>
      </c>
      <c r="K58" s="504">
        <f t="shared" ref="K58:K78" ca="1" si="38">J58/H58*100</f>
        <v>0</v>
      </c>
      <c r="L58" s="328" t="s">
        <v>533</v>
      </c>
      <c r="M58" s="433" t="s">
        <v>29</v>
      </c>
      <c r="N58" s="222" t="s">
        <v>422</v>
      </c>
      <c r="O58" s="226" t="s">
        <v>195</v>
      </c>
      <c r="P58" s="226" t="s">
        <v>195</v>
      </c>
      <c r="Q58" s="228">
        <f ca="1">'Cost of Service and Proposed $'!U128</f>
        <v>203293795.45162883</v>
      </c>
    </row>
    <row r="59" spans="1:24">
      <c r="A59" s="220" t="s">
        <v>515</v>
      </c>
      <c r="B59" s="220" t="s">
        <v>526</v>
      </c>
      <c r="C59" s="136">
        <f t="shared" si="30"/>
        <v>50</v>
      </c>
      <c r="D59" s="136">
        <f t="shared" si="31"/>
        <v>11.888</v>
      </c>
      <c r="E59" s="136">
        <f t="shared" ca="1" si="32"/>
        <v>14.967335456386298</v>
      </c>
      <c r="F59" s="136">
        <f t="shared" ca="1" si="33"/>
        <v>3.079335456386298</v>
      </c>
      <c r="G59" s="499">
        <f t="shared" ca="1" si="34"/>
        <v>25.902889101499817</v>
      </c>
      <c r="H59" s="136">
        <f t="shared" ca="1" si="35"/>
        <v>14.967335456386298</v>
      </c>
      <c r="I59" s="136">
        <f t="shared" ca="1" si="36"/>
        <v>15.757752235736888</v>
      </c>
      <c r="J59" s="136">
        <f t="shared" ca="1" si="37"/>
        <v>0.79041677935058985</v>
      </c>
      <c r="K59" s="499">
        <f t="shared" ca="1" si="38"/>
        <v>5.280945173266181</v>
      </c>
      <c r="L59" s="212" t="s">
        <v>506</v>
      </c>
      <c r="M59" s="611" t="s">
        <v>403</v>
      </c>
      <c r="N59" s="140" t="s">
        <v>424</v>
      </c>
      <c r="O59" s="139" t="s">
        <v>199</v>
      </c>
      <c r="P59" s="139" t="s">
        <v>419</v>
      </c>
      <c r="Q59" s="415">
        <f>T59</f>
        <v>10</v>
      </c>
      <c r="T59" s="304">
        <f>T35</f>
        <v>10</v>
      </c>
      <c r="U59" s="135">
        <f>Q$8*T59+Q$9*T60+Q$10*T61+Q$11*T62</f>
        <v>12726765.491197653</v>
      </c>
    </row>
    <row r="60" spans="1:24">
      <c r="A60" s="220" t="s">
        <v>515</v>
      </c>
      <c r="B60" s="220" t="s">
        <v>526</v>
      </c>
      <c r="C60" s="136">
        <f t="shared" si="30"/>
        <v>100</v>
      </c>
      <c r="D60" s="136">
        <f t="shared" si="31"/>
        <v>16.026</v>
      </c>
      <c r="E60" s="136">
        <f t="shared" ca="1" si="32"/>
        <v>19.934670912772596</v>
      </c>
      <c r="F60" s="136">
        <f t="shared" ca="1" si="33"/>
        <v>3.908670912772596</v>
      </c>
      <c r="G60" s="499">
        <f t="shared" ca="1" si="34"/>
        <v>24.389560169553199</v>
      </c>
      <c r="H60" s="136">
        <f t="shared" ca="1" si="35"/>
        <v>19.934670912772596</v>
      </c>
      <c r="I60" s="136">
        <f t="shared" ca="1" si="36"/>
        <v>21.515504471473776</v>
      </c>
      <c r="J60" s="136">
        <f t="shared" ca="1" si="37"/>
        <v>1.5808335587011797</v>
      </c>
      <c r="K60" s="499">
        <f t="shared" ca="1" si="38"/>
        <v>7.9300710085377117</v>
      </c>
      <c r="L60" s="208" t="s">
        <v>506</v>
      </c>
      <c r="M60" s="381" t="s">
        <v>403</v>
      </c>
      <c r="N60" s="97" t="s">
        <v>424</v>
      </c>
      <c r="O60" s="95" t="s">
        <v>199</v>
      </c>
      <c r="P60" s="95" t="s">
        <v>420</v>
      </c>
      <c r="Q60" s="410">
        <f>T60</f>
        <v>7.75</v>
      </c>
      <c r="T60" s="304">
        <f>T36</f>
        <v>7.75</v>
      </c>
      <c r="U60" s="135"/>
    </row>
    <row r="61" spans="1:24">
      <c r="A61" s="220" t="s">
        <v>515</v>
      </c>
      <c r="B61" s="220" t="s">
        <v>526</v>
      </c>
      <c r="C61" s="136">
        <f t="shared" si="30"/>
        <v>150</v>
      </c>
      <c r="D61" s="136">
        <f t="shared" si="31"/>
        <v>20.164000000000001</v>
      </c>
      <c r="E61" s="136">
        <f t="shared" ca="1" si="32"/>
        <v>24.90200636915889</v>
      </c>
      <c r="F61" s="136">
        <f t="shared" ca="1" si="33"/>
        <v>4.7380063691588887</v>
      </c>
      <c r="G61" s="499">
        <f t="shared" ca="1" si="34"/>
        <v>23.497353546711409</v>
      </c>
      <c r="H61" s="136">
        <f t="shared" ca="1" si="35"/>
        <v>24.90200636915889</v>
      </c>
      <c r="I61" s="136">
        <f t="shared" ca="1" si="36"/>
        <v>27.273256707210663</v>
      </c>
      <c r="J61" s="136">
        <f t="shared" ca="1" si="37"/>
        <v>2.3712503380517731</v>
      </c>
      <c r="K61" s="499">
        <f t="shared" ca="1" si="38"/>
        <v>9.522326445906641</v>
      </c>
      <c r="L61" s="208" t="s">
        <v>506</v>
      </c>
      <c r="M61" s="381" t="s">
        <v>403</v>
      </c>
      <c r="N61" s="97" t="s">
        <v>424</v>
      </c>
      <c r="O61" s="95" t="s">
        <v>200</v>
      </c>
      <c r="P61" s="95" t="s">
        <v>419</v>
      </c>
      <c r="Q61" s="410">
        <f>T61</f>
        <v>18</v>
      </c>
      <c r="T61" s="304">
        <f>T37</f>
        <v>18</v>
      </c>
      <c r="U61" s="135"/>
    </row>
    <row r="62" spans="1:24">
      <c r="A62" s="220" t="s">
        <v>515</v>
      </c>
      <c r="B62" s="220" t="s">
        <v>526</v>
      </c>
      <c r="C62" s="136">
        <f t="shared" si="30"/>
        <v>200</v>
      </c>
      <c r="D62" s="136">
        <f t="shared" si="31"/>
        <v>24.302</v>
      </c>
      <c r="E62" s="136">
        <f t="shared" ca="1" si="32"/>
        <v>29.869341825545188</v>
      </c>
      <c r="F62" s="136">
        <f t="shared" ca="1" si="33"/>
        <v>5.5673418255451885</v>
      </c>
      <c r="G62" s="499">
        <f t="shared" ca="1" si="34"/>
        <v>22.908986196795279</v>
      </c>
      <c r="H62" s="136">
        <f t="shared" ca="1" si="35"/>
        <v>29.869341825545188</v>
      </c>
      <c r="I62" s="136">
        <f t="shared" ca="1" si="36"/>
        <v>33.031008942947551</v>
      </c>
      <c r="J62" s="136">
        <f t="shared" ca="1" si="37"/>
        <v>3.1616671174023629</v>
      </c>
      <c r="K62" s="499">
        <f t="shared" ca="1" si="38"/>
        <v>10.584990910976174</v>
      </c>
      <c r="L62" s="208" t="s">
        <v>506</v>
      </c>
      <c r="M62" s="381" t="s">
        <v>403</v>
      </c>
      <c r="N62" s="97" t="s">
        <v>424</v>
      </c>
      <c r="O62" s="95" t="s">
        <v>200</v>
      </c>
      <c r="P62" s="95" t="s">
        <v>420</v>
      </c>
      <c r="Q62" s="410">
        <f>T62</f>
        <v>15.75</v>
      </c>
      <c r="T62" s="304">
        <f>T38</f>
        <v>15.75</v>
      </c>
      <c r="U62" s="135"/>
    </row>
    <row r="63" spans="1:24">
      <c r="A63" s="220" t="s">
        <v>515</v>
      </c>
      <c r="B63" s="220" t="s">
        <v>526</v>
      </c>
      <c r="C63" s="136">
        <f t="shared" si="30"/>
        <v>300</v>
      </c>
      <c r="D63" s="136">
        <f t="shared" si="31"/>
        <v>32.578000000000003</v>
      </c>
      <c r="E63" s="136">
        <f t="shared" ca="1" si="32"/>
        <v>39.80401273831778</v>
      </c>
      <c r="F63" s="136">
        <f t="shared" ca="1" si="33"/>
        <v>7.2260127383177775</v>
      </c>
      <c r="G63" s="499">
        <f t="shared" ca="1" si="34"/>
        <v>22.180651784387553</v>
      </c>
      <c r="H63" s="136">
        <f t="shared" ca="1" si="35"/>
        <v>39.80401273831778</v>
      </c>
      <c r="I63" s="136">
        <f t="shared" ca="1" si="36"/>
        <v>44.546513414421327</v>
      </c>
      <c r="J63" s="136">
        <f t="shared" ca="1" si="37"/>
        <v>4.7425006761035462</v>
      </c>
      <c r="K63" s="499">
        <f t="shared" ca="1" si="38"/>
        <v>11.914629580896815</v>
      </c>
      <c r="L63" s="208" t="s">
        <v>506</v>
      </c>
      <c r="M63" s="381" t="s">
        <v>403</v>
      </c>
      <c r="N63" s="97" t="s">
        <v>424</v>
      </c>
      <c r="O63" s="95" t="s">
        <v>195</v>
      </c>
      <c r="P63" s="407" t="s">
        <v>366</v>
      </c>
      <c r="Q63" s="410">
        <f>T63</f>
        <v>-0.25</v>
      </c>
      <c r="R63" s="153"/>
      <c r="T63" s="304">
        <f>T39</f>
        <v>-0.25</v>
      </c>
    </row>
    <row r="64" spans="1:24">
      <c r="A64" s="220" t="s">
        <v>515</v>
      </c>
      <c r="B64" s="220" t="s">
        <v>526</v>
      </c>
      <c r="C64" s="136">
        <f t="shared" si="30"/>
        <v>400</v>
      </c>
      <c r="D64" s="136">
        <f t="shared" si="31"/>
        <v>40.853999999999999</v>
      </c>
      <c r="E64" s="136">
        <f t="shared" ca="1" si="32"/>
        <v>49.738683651090376</v>
      </c>
      <c r="F64" s="136">
        <f t="shared" ca="1" si="33"/>
        <v>8.8846836510903771</v>
      </c>
      <c r="G64" s="499">
        <f t="shared" ca="1" si="34"/>
        <v>21.74740209303955</v>
      </c>
      <c r="H64" s="136">
        <f t="shared" ca="1" si="35"/>
        <v>49.738683651090376</v>
      </c>
      <c r="I64" s="136">
        <f t="shared" ca="1" si="36"/>
        <v>56.062017885895102</v>
      </c>
      <c r="J64" s="136">
        <f t="shared" ca="1" si="37"/>
        <v>6.3233342348047259</v>
      </c>
      <c r="K64" s="499">
        <f t="shared" ca="1" si="38"/>
        <v>12.713111346415989</v>
      </c>
      <c r="L64" s="208" t="s">
        <v>506</v>
      </c>
      <c r="M64" s="381" t="s">
        <v>403</v>
      </c>
      <c r="N64" s="208" t="s">
        <v>334</v>
      </c>
      <c r="O64" s="208" t="s">
        <v>195</v>
      </c>
      <c r="P64" s="407" t="s">
        <v>396</v>
      </c>
      <c r="Q64" s="316">
        <f ca="1">ROUND(R64/100*U64/V64+W64+X64,S64)</f>
        <v>0.12878999999999999</v>
      </c>
      <c r="R64" s="429">
        <f>100+Summary!$R$8</f>
        <v>100.69499999999999</v>
      </c>
      <c r="S64" s="135">
        <v>5</v>
      </c>
      <c r="T64" s="303">
        <f t="shared" ref="T64:T71" ca="1" si="39">U64/V64+X64+W64</f>
        <v>0.12799716332257388</v>
      </c>
      <c r="U64" s="2">
        <f t="shared" ref="U64:U71" ca="1" si="40">Q$58-U$59-Q$52-Q$57</f>
        <v>184991189.77442181</v>
      </c>
      <c r="V64" s="2">
        <f t="shared" ref="V64:V71" si="41">Q$14+Q$15+Q$16+Q$17</f>
        <v>1617618047.084254</v>
      </c>
      <c r="W64" s="304">
        <f>AH38*(Q15+Q17)/(Q14+Q15+Q16+Q17)</f>
        <v>1.3636922283060742E-2</v>
      </c>
      <c r="X64" s="443">
        <f>-(Q16+Q17)*(Q24-Q23)/(Q14+Q15+Q16+Q17)*(100-T28)/100</f>
        <v>0</v>
      </c>
    </row>
    <row r="65" spans="1:25">
      <c r="A65" s="329" t="s">
        <v>515</v>
      </c>
      <c r="B65" s="329" t="s">
        <v>526</v>
      </c>
      <c r="C65" s="137">
        <f t="shared" si="30"/>
        <v>500</v>
      </c>
      <c r="D65" s="137">
        <f t="shared" si="31"/>
        <v>49.13</v>
      </c>
      <c r="E65" s="137">
        <f t="shared" ca="1" si="32"/>
        <v>59.673354563862972</v>
      </c>
      <c r="F65" s="137">
        <f t="shared" ca="1" si="33"/>
        <v>10.54335456386297</v>
      </c>
      <c r="G65" s="500">
        <f t="shared" ca="1" si="34"/>
        <v>21.460115131005434</v>
      </c>
      <c r="H65" s="137">
        <f t="shared" ca="1" si="35"/>
        <v>59.673354563862972</v>
      </c>
      <c r="I65" s="137">
        <f t="shared" ca="1" si="36"/>
        <v>67.577522357368878</v>
      </c>
      <c r="J65" s="137">
        <f t="shared" ca="1" si="37"/>
        <v>7.9041677935059056</v>
      </c>
      <c r="K65" s="500">
        <f t="shared" ca="1" si="38"/>
        <v>13.245723910236675</v>
      </c>
      <c r="L65" s="208" t="s">
        <v>506</v>
      </c>
      <c r="M65" s="381" t="s">
        <v>403</v>
      </c>
      <c r="N65" s="208" t="s">
        <v>334</v>
      </c>
      <c r="O65" s="208" t="s">
        <v>195</v>
      </c>
      <c r="P65" s="407" t="s">
        <v>394</v>
      </c>
      <c r="Q65" s="316">
        <f t="shared" ref="Q65:Q71" ca="1" si="42">ROUND(R65/100*U65/V65+W65+X65,S65)</f>
        <v>0.10958</v>
      </c>
      <c r="R65" s="429">
        <f>100+Summary!$R$8</f>
        <v>100.69499999999999</v>
      </c>
      <c r="S65" s="135">
        <v>5</v>
      </c>
      <c r="T65" s="303">
        <f t="shared" ca="1" si="39"/>
        <v>0.1087850652288289</v>
      </c>
      <c r="U65" s="2">
        <f t="shared" ca="1" si="40"/>
        <v>184991189.77442181</v>
      </c>
      <c r="V65" s="2">
        <f t="shared" si="41"/>
        <v>1617618047.084254</v>
      </c>
      <c r="W65" s="304">
        <f>-AH38*(Q14+Q16)/(Q14+Q15+Q16+Q17)</f>
        <v>-5.5751758106842384E-3</v>
      </c>
      <c r="X65" s="443">
        <f>-(Q16+Q17)*(Q24-Q23)/(Q14+Q15+Q16+Q17)*(100-T28)/100</f>
        <v>0</v>
      </c>
      <c r="Y65" s="303">
        <f ca="1">R65/100*U65/V65+X65</f>
        <v>0.11515504471473775</v>
      </c>
    </row>
    <row r="66" spans="1:25">
      <c r="A66" s="220" t="s">
        <v>515</v>
      </c>
      <c r="B66" s="220" t="s">
        <v>526</v>
      </c>
      <c r="C66" s="136">
        <f t="shared" si="30"/>
        <v>600</v>
      </c>
      <c r="D66" s="136">
        <f t="shared" si="31"/>
        <v>57.405999999999999</v>
      </c>
      <c r="E66" s="136">
        <f t="shared" ca="1" si="32"/>
        <v>69.608025476635561</v>
      </c>
      <c r="F66" s="136">
        <f t="shared" ca="1" si="33"/>
        <v>12.202025476635562</v>
      </c>
      <c r="G66" s="499">
        <f t="shared" ca="1" si="34"/>
        <v>21.255662259407661</v>
      </c>
      <c r="H66" s="136">
        <f t="shared" ca="1" si="35"/>
        <v>69.608025476635561</v>
      </c>
      <c r="I66" s="136">
        <f t="shared" ca="1" si="36"/>
        <v>79.093026828842653</v>
      </c>
      <c r="J66" s="136">
        <f t="shared" ca="1" si="37"/>
        <v>9.4850013522070924</v>
      </c>
      <c r="K66" s="499">
        <f t="shared" ca="1" si="38"/>
        <v>13.62630427635216</v>
      </c>
      <c r="L66" s="208" t="s">
        <v>506</v>
      </c>
      <c r="M66" s="381" t="s">
        <v>403</v>
      </c>
      <c r="N66" s="208" t="s">
        <v>334</v>
      </c>
      <c r="O66" s="208" t="s">
        <v>195</v>
      </c>
      <c r="P66" s="407" t="s">
        <v>397</v>
      </c>
      <c r="Q66" s="316">
        <f t="shared" ca="1" si="42"/>
        <v>0.12878999999999999</v>
      </c>
      <c r="R66" s="429">
        <f>100+Summary!$R$8</f>
        <v>100.69499999999999</v>
      </c>
      <c r="S66" s="135">
        <v>5</v>
      </c>
      <c r="T66" s="303">
        <f t="shared" ca="1" si="39"/>
        <v>0.12799716332257388</v>
      </c>
      <c r="U66" s="2">
        <f t="shared" ca="1" si="40"/>
        <v>184991189.77442181</v>
      </c>
      <c r="V66" s="2">
        <f t="shared" si="41"/>
        <v>1617618047.084254</v>
      </c>
      <c r="W66" s="304">
        <f>AH38*(Q15+Q17)/(Q14+Q15+Q16+Q17)</f>
        <v>1.3636922283060742E-2</v>
      </c>
      <c r="X66" s="443">
        <f>(Q14+Q15)*(Q24-Q23)/(Q14+Q15+Q16+Q17)*(100-T28)/100</f>
        <v>0</v>
      </c>
      <c r="Y66" s="303"/>
    </row>
    <row r="67" spans="1:25">
      <c r="A67" s="220" t="s">
        <v>515</v>
      </c>
      <c r="B67" s="220" t="s">
        <v>526</v>
      </c>
      <c r="C67" s="136">
        <f t="shared" si="30"/>
        <v>700</v>
      </c>
      <c r="D67" s="136">
        <f t="shared" si="31"/>
        <v>68.603999999999999</v>
      </c>
      <c r="E67" s="136">
        <f t="shared" ca="1" si="32"/>
        <v>81.003696389408162</v>
      </c>
      <c r="F67" s="136">
        <f t="shared" ca="1" si="33"/>
        <v>12.399696389408163</v>
      </c>
      <c r="G67" s="499">
        <f t="shared" ca="1" si="34"/>
        <v>18.074305272882285</v>
      </c>
      <c r="H67" s="136">
        <f t="shared" ca="1" si="35"/>
        <v>81.003696389408162</v>
      </c>
      <c r="I67" s="136">
        <f t="shared" ca="1" si="36"/>
        <v>90.608531300316429</v>
      </c>
      <c r="J67" s="136">
        <f t="shared" ca="1" si="37"/>
        <v>9.6048349109082665</v>
      </c>
      <c r="K67" s="499">
        <f t="shared" ca="1" si="38"/>
        <v>11.857279777375901</v>
      </c>
      <c r="L67" s="208" t="s">
        <v>506</v>
      </c>
      <c r="M67" s="381" t="s">
        <v>403</v>
      </c>
      <c r="N67" s="208" t="s">
        <v>334</v>
      </c>
      <c r="O67" s="208" t="s">
        <v>195</v>
      </c>
      <c r="P67" s="407" t="s">
        <v>395</v>
      </c>
      <c r="Q67" s="316">
        <f t="shared" ca="1" si="42"/>
        <v>0.10958</v>
      </c>
      <c r="R67" s="429">
        <f>100+Summary!$R$8</f>
        <v>100.69499999999999</v>
      </c>
      <c r="S67" s="135">
        <v>5</v>
      </c>
      <c r="T67" s="303">
        <f t="shared" ca="1" si="39"/>
        <v>0.1087850652288289</v>
      </c>
      <c r="U67" s="2">
        <f t="shared" ca="1" si="40"/>
        <v>184991189.77442181</v>
      </c>
      <c r="V67" s="2">
        <f t="shared" si="41"/>
        <v>1617618047.084254</v>
      </c>
      <c r="W67" s="304">
        <f>-AH38*(Q14+Q16)/(Q14+Q15+Q16+Q17)</f>
        <v>-5.5751758106842384E-3</v>
      </c>
      <c r="X67" s="443">
        <f>(Q14+Q15)*(Q24-Q23)/(Q14+Q15+Q16+Q17)*(100-T28)/100</f>
        <v>0</v>
      </c>
      <c r="Y67" s="303">
        <f ca="1">R67/100*U67/V67+X67</f>
        <v>0.11515504471473775</v>
      </c>
    </row>
    <row r="68" spans="1:25">
      <c r="A68" s="220" t="s">
        <v>515</v>
      </c>
      <c r="B68" s="220" t="s">
        <v>526</v>
      </c>
      <c r="C68" s="136">
        <f t="shared" si="30"/>
        <v>800</v>
      </c>
      <c r="D68" s="136">
        <f t="shared" si="31"/>
        <v>79.801999999999992</v>
      </c>
      <c r="E68" s="136">
        <f t="shared" ca="1" si="32"/>
        <v>92.399367302180764</v>
      </c>
      <c r="F68" s="136">
        <f t="shared" ca="1" si="33"/>
        <v>12.597367302180771</v>
      </c>
      <c r="G68" s="499">
        <f t="shared" ca="1" si="34"/>
        <v>15.78577893057915</v>
      </c>
      <c r="H68" s="136">
        <f t="shared" ca="1" si="35"/>
        <v>92.399367302180764</v>
      </c>
      <c r="I68" s="136">
        <f t="shared" ca="1" si="36"/>
        <v>102.1240357717902</v>
      </c>
      <c r="J68" s="136">
        <f t="shared" ca="1" si="37"/>
        <v>9.7246684696094405</v>
      </c>
      <c r="K68" s="499">
        <f t="shared" ca="1" si="38"/>
        <v>10.524605041727298</v>
      </c>
      <c r="L68" s="208" t="s">
        <v>506</v>
      </c>
      <c r="M68" s="381" t="s">
        <v>403</v>
      </c>
      <c r="N68" s="208" t="s">
        <v>425</v>
      </c>
      <c r="O68" s="208" t="s">
        <v>195</v>
      </c>
      <c r="P68" s="407" t="s">
        <v>477</v>
      </c>
      <c r="Q68" s="316">
        <f t="shared" ca="1" si="42"/>
        <v>0.15939</v>
      </c>
      <c r="R68" s="429">
        <f>100+Summary!$R$8</f>
        <v>100.69499999999999</v>
      </c>
      <c r="S68" s="135">
        <v>5</v>
      </c>
      <c r="T68" s="303">
        <f t="shared" ca="1" si="39"/>
        <v>0.15859716332257387</v>
      </c>
      <c r="U68" s="2">
        <f t="shared" ca="1" si="40"/>
        <v>184991189.77442181</v>
      </c>
      <c r="V68" s="2">
        <f t="shared" si="41"/>
        <v>1617618047.084254</v>
      </c>
      <c r="W68" s="304">
        <f>AH38*(Q15+Q17)/(Q14+Q15+Q16+Q17)</f>
        <v>1.3636922283060742E-2</v>
      </c>
      <c r="X68" s="441">
        <f>ROUND(V28*(1-W28/100),5)</f>
        <v>3.0599999999999999E-2</v>
      </c>
    </row>
    <row r="69" spans="1:25">
      <c r="A69" s="220" t="s">
        <v>515</v>
      </c>
      <c r="B69" s="220" t="s">
        <v>526</v>
      </c>
      <c r="C69" s="136">
        <f t="shared" si="30"/>
        <v>900</v>
      </c>
      <c r="D69" s="136">
        <f t="shared" si="31"/>
        <v>91</v>
      </c>
      <c r="E69" s="136">
        <f t="shared" ca="1" si="32"/>
        <v>103.79503821495335</v>
      </c>
      <c r="F69" s="136">
        <f t="shared" ca="1" si="33"/>
        <v>12.795038214953351</v>
      </c>
      <c r="G69" s="499">
        <f t="shared" ca="1" si="34"/>
        <v>14.060481554893792</v>
      </c>
      <c r="H69" s="136">
        <f t="shared" ca="1" si="35"/>
        <v>103.79503821495335</v>
      </c>
      <c r="I69" s="136">
        <f t="shared" ca="1" si="36"/>
        <v>113.63954024326398</v>
      </c>
      <c r="J69" s="136">
        <f t="shared" ca="1" si="37"/>
        <v>9.8445020283106288</v>
      </c>
      <c r="K69" s="499">
        <f t="shared" ca="1" si="38"/>
        <v>9.4845593754908109</v>
      </c>
      <c r="L69" s="208" t="s">
        <v>506</v>
      </c>
      <c r="M69" s="381" t="s">
        <v>403</v>
      </c>
      <c r="N69" s="208" t="s">
        <v>425</v>
      </c>
      <c r="O69" s="208" t="s">
        <v>195</v>
      </c>
      <c r="P69" s="407" t="s">
        <v>478</v>
      </c>
      <c r="Q69" s="316">
        <f t="shared" ca="1" si="42"/>
        <v>0.14018</v>
      </c>
      <c r="R69" s="429">
        <f>100+Summary!$R$8</f>
        <v>100.69499999999999</v>
      </c>
      <c r="S69" s="135">
        <v>5</v>
      </c>
      <c r="T69" s="303">
        <f t="shared" ca="1" si="39"/>
        <v>0.1393850652288289</v>
      </c>
      <c r="U69" s="2">
        <f t="shared" ca="1" si="40"/>
        <v>184991189.77442181</v>
      </c>
      <c r="V69" s="2">
        <f t="shared" si="41"/>
        <v>1617618047.084254</v>
      </c>
      <c r="W69" s="304">
        <f>-AH38*(Q14+Q16)/(Q14+Q15+Q16+Q17)</f>
        <v>-5.5751758106842384E-3</v>
      </c>
      <c r="X69" s="441">
        <f>ROUND(V28*(1-W28/100),5)</f>
        <v>3.0599999999999999E-2</v>
      </c>
    </row>
    <row r="70" spans="1:25">
      <c r="A70" s="220" t="s">
        <v>515</v>
      </c>
      <c r="B70" s="220" t="s">
        <v>526</v>
      </c>
      <c r="C70" s="136">
        <f t="shared" si="30"/>
        <v>1000</v>
      </c>
      <c r="D70" s="136">
        <f t="shared" si="31"/>
        <v>102.19800000000001</v>
      </c>
      <c r="E70" s="136">
        <f t="shared" ca="1" si="32"/>
        <v>115.19070912772594</v>
      </c>
      <c r="F70" s="136">
        <f t="shared" ca="1" si="33"/>
        <v>12.992709127725931</v>
      </c>
      <c r="G70" s="499">
        <f t="shared" ca="1" si="34"/>
        <v>12.713271421873158</v>
      </c>
      <c r="H70" s="136">
        <f t="shared" ca="1" si="35"/>
        <v>115.19070912772594</v>
      </c>
      <c r="I70" s="136">
        <f t="shared" ca="1" si="36"/>
        <v>125.15504471473776</v>
      </c>
      <c r="J70" s="136">
        <f t="shared" ca="1" si="37"/>
        <v>9.9643355870118171</v>
      </c>
      <c r="K70" s="499">
        <f t="shared" ca="1" si="38"/>
        <v>8.6502945093975825</v>
      </c>
      <c r="L70" s="208" t="s">
        <v>506</v>
      </c>
      <c r="M70" s="381" t="s">
        <v>403</v>
      </c>
      <c r="N70" s="208" t="s">
        <v>425</v>
      </c>
      <c r="O70" s="208" t="s">
        <v>195</v>
      </c>
      <c r="P70" s="407" t="s">
        <v>479</v>
      </c>
      <c r="Q70" s="316">
        <f t="shared" ca="1" si="42"/>
        <v>0.10634</v>
      </c>
      <c r="R70" s="429">
        <f>100+Summary!$R$8</f>
        <v>100.69499999999999</v>
      </c>
      <c r="S70" s="135">
        <v>5</v>
      </c>
      <c r="T70" s="303">
        <f t="shared" ca="1" si="39"/>
        <v>0.10554716332257388</v>
      </c>
      <c r="U70" s="2">
        <f t="shared" ca="1" si="40"/>
        <v>184991189.77442181</v>
      </c>
      <c r="V70" s="2">
        <f t="shared" si="41"/>
        <v>1617618047.084254</v>
      </c>
      <c r="W70" s="304">
        <f>AH38*(Q15+Q17)/(Q14+Q15+Q16+Q17)</f>
        <v>1.3636922283060742E-2</v>
      </c>
      <c r="X70" s="441">
        <f>ROUND(-V28*W28/100,5)</f>
        <v>-2.2450000000000001E-2</v>
      </c>
    </row>
    <row r="71" spans="1:25">
      <c r="A71" s="220" t="s">
        <v>515</v>
      </c>
      <c r="B71" s="220" t="s">
        <v>526</v>
      </c>
      <c r="C71" s="136">
        <f t="shared" si="30"/>
        <v>1100</v>
      </c>
      <c r="D71" s="136">
        <f t="shared" si="31"/>
        <v>113.39599999999999</v>
      </c>
      <c r="E71" s="136">
        <f t="shared" ca="1" si="32"/>
        <v>126.58638004049854</v>
      </c>
      <c r="F71" s="136">
        <f t="shared" ca="1" si="33"/>
        <v>13.190380040498553</v>
      </c>
      <c r="G71" s="499">
        <f t="shared" ca="1" si="34"/>
        <v>11.632138735492042</v>
      </c>
      <c r="H71" s="136">
        <f t="shared" ca="1" si="35"/>
        <v>126.58638004049854</v>
      </c>
      <c r="I71" s="136">
        <f t="shared" ca="1" si="36"/>
        <v>136.67054918621153</v>
      </c>
      <c r="J71" s="136">
        <f t="shared" ca="1" si="37"/>
        <v>10.084169145712991</v>
      </c>
      <c r="K71" s="499">
        <f t="shared" ca="1" si="38"/>
        <v>7.9662355006018677</v>
      </c>
      <c r="L71" s="209" t="s">
        <v>506</v>
      </c>
      <c r="M71" s="439" t="s">
        <v>403</v>
      </c>
      <c r="N71" s="209" t="s">
        <v>425</v>
      </c>
      <c r="O71" s="209" t="s">
        <v>195</v>
      </c>
      <c r="P71" s="408" t="s">
        <v>480</v>
      </c>
      <c r="Q71" s="316">
        <f t="shared" ca="1" si="42"/>
        <v>8.7129999999999999E-2</v>
      </c>
      <c r="R71" s="429">
        <f>100+Summary!$R$8</f>
        <v>100.69499999999999</v>
      </c>
      <c r="S71" s="135">
        <v>5</v>
      </c>
      <c r="T71" s="303">
        <f t="shared" ca="1" si="39"/>
        <v>8.6335065228828903E-2</v>
      </c>
      <c r="U71" s="2">
        <f t="shared" ca="1" si="40"/>
        <v>184991189.77442181</v>
      </c>
      <c r="V71" s="2">
        <f t="shared" si="41"/>
        <v>1617618047.084254</v>
      </c>
      <c r="W71" s="304">
        <f>-AH38*(Q14+Q16)/(Q14+Q15+Q16+Q17)</f>
        <v>-5.5751758106842384E-3</v>
      </c>
      <c r="X71" s="441">
        <f>ROUND(-V28*W28/100,5)</f>
        <v>-2.2450000000000001E-2</v>
      </c>
    </row>
    <row r="72" spans="1:25">
      <c r="A72" s="328" t="s">
        <v>515</v>
      </c>
      <c r="B72" s="328" t="s">
        <v>526</v>
      </c>
      <c r="C72" s="332">
        <f t="shared" si="30"/>
        <v>1200</v>
      </c>
      <c r="D72" s="332">
        <f t="shared" si="31"/>
        <v>124.59399999999999</v>
      </c>
      <c r="E72" s="332">
        <f t="shared" ca="1" si="32"/>
        <v>137.98205095327114</v>
      </c>
      <c r="F72" s="332">
        <f t="shared" ca="1" si="33"/>
        <v>13.388050953271147</v>
      </c>
      <c r="G72" s="501">
        <f t="shared" ca="1" si="34"/>
        <v>10.745341632238429</v>
      </c>
      <c r="H72" s="332">
        <f t="shared" ca="1" si="35"/>
        <v>137.98205095327114</v>
      </c>
      <c r="I72" s="332">
        <f t="shared" ca="1" si="36"/>
        <v>148.18605365768531</v>
      </c>
      <c r="J72" s="332">
        <f t="shared" ca="1" si="37"/>
        <v>10.204002704414165</v>
      </c>
      <c r="K72" s="501">
        <f t="shared" ca="1" si="38"/>
        <v>7.3951667147416451</v>
      </c>
      <c r="L72" s="212" t="s">
        <v>506</v>
      </c>
      <c r="M72" s="611" t="s">
        <v>29</v>
      </c>
      <c r="N72" s="140" t="s">
        <v>422</v>
      </c>
      <c r="O72" s="139" t="s">
        <v>199</v>
      </c>
      <c r="P72" s="139" t="s">
        <v>419</v>
      </c>
      <c r="Q72" s="213">
        <f t="shared" ref="Q72:Q81" si="43">IF(P72="Unbilled",SUMIFS(Q$48:Q$57,P$48:P$57,P72),SUMIFS(Q$59:Q$71,O$59:O$71,O72,P$59:P$71,P72)*S72)</f>
        <v>10742609.827545121</v>
      </c>
      <c r="R72" s="153">
        <f t="shared" ref="R72:R81" si="44">IF(P72="Unbilled",SUMIFS(Q$48:Q$57,P$48:P$57,P72),SUMIFS(T$59:T$71,O$59:O$71,O72,P$59:P$71,P72)*S72)</f>
        <v>10742609.827545121</v>
      </c>
      <c r="S72" s="157">
        <f t="shared" ref="S72:S81" si="45">SUMIFS(Q$8:Q$18,O$8:O$18,O72,P$8:P$18,P72)</f>
        <v>1074260.9827545122</v>
      </c>
      <c r="V72" s="2"/>
    </row>
    <row r="73" spans="1:25">
      <c r="A73" s="220" t="s">
        <v>515</v>
      </c>
      <c r="B73" s="220" t="s">
        <v>526</v>
      </c>
      <c r="C73" s="136">
        <f t="shared" si="30"/>
        <v>1300</v>
      </c>
      <c r="D73" s="136">
        <f t="shared" si="31"/>
        <v>135.792</v>
      </c>
      <c r="E73" s="136">
        <f t="shared" ca="1" si="32"/>
        <v>149.37772186604374</v>
      </c>
      <c r="F73" s="136">
        <f t="shared" ca="1" si="33"/>
        <v>13.585721866043741</v>
      </c>
      <c r="G73" s="499">
        <f t="shared" ca="1" si="34"/>
        <v>10.004802835250782</v>
      </c>
      <c r="H73" s="136">
        <f t="shared" ca="1" si="35"/>
        <v>149.37772186604374</v>
      </c>
      <c r="I73" s="136">
        <f t="shared" ca="1" si="36"/>
        <v>159.70155812915908</v>
      </c>
      <c r="J73" s="136">
        <f t="shared" ca="1" si="37"/>
        <v>10.323836263115339</v>
      </c>
      <c r="K73" s="499">
        <f t="shared" ca="1" si="38"/>
        <v>6.9112288861744471</v>
      </c>
      <c r="L73" s="208" t="s">
        <v>506</v>
      </c>
      <c r="M73" s="381" t="s">
        <v>29</v>
      </c>
      <c r="N73" s="97" t="s">
        <v>422</v>
      </c>
      <c r="O73" s="95" t="s">
        <v>199</v>
      </c>
      <c r="P73" s="95" t="s">
        <v>420</v>
      </c>
      <c r="Q73" s="210">
        <f t="shared" si="43"/>
        <v>1965326.9436525307</v>
      </c>
      <c r="R73" s="153">
        <f t="shared" si="44"/>
        <v>1965326.9436525307</v>
      </c>
      <c r="S73" s="157">
        <f t="shared" si="45"/>
        <v>253590.57337452009</v>
      </c>
      <c r="V73" s="2"/>
    </row>
    <row r="74" spans="1:25">
      <c r="A74" s="220" t="s">
        <v>515</v>
      </c>
      <c r="B74" s="220" t="s">
        <v>526</v>
      </c>
      <c r="C74" s="136">
        <f t="shared" si="30"/>
        <v>1400</v>
      </c>
      <c r="D74" s="136">
        <f t="shared" si="31"/>
        <v>146.99</v>
      </c>
      <c r="E74" s="136">
        <f t="shared" ca="1" si="32"/>
        <v>160.77339277881632</v>
      </c>
      <c r="F74" s="136">
        <f t="shared" ca="1" si="33"/>
        <v>13.783392778816307</v>
      </c>
      <c r="G74" s="499">
        <f t="shared" ca="1" si="34"/>
        <v>9.3770955703219983</v>
      </c>
      <c r="H74" s="136">
        <f t="shared" ca="1" si="35"/>
        <v>160.77339277881632</v>
      </c>
      <c r="I74" s="136">
        <f t="shared" ca="1" si="36"/>
        <v>171.21706260063286</v>
      </c>
      <c r="J74" s="136">
        <f t="shared" ca="1" si="37"/>
        <v>10.443669821816542</v>
      </c>
      <c r="K74" s="499">
        <f t="shared" ca="1" si="38"/>
        <v>6.4958944022437848</v>
      </c>
      <c r="L74" s="208" t="s">
        <v>506</v>
      </c>
      <c r="M74" s="381" t="s">
        <v>29</v>
      </c>
      <c r="N74" s="97" t="s">
        <v>422</v>
      </c>
      <c r="O74" s="95" t="s">
        <v>200</v>
      </c>
      <c r="P74" s="95" t="s">
        <v>419</v>
      </c>
      <c r="Q74" s="210">
        <f t="shared" si="43"/>
        <v>18480.634838709673</v>
      </c>
      <c r="R74" s="153">
        <f t="shared" si="44"/>
        <v>18480.634838709673</v>
      </c>
      <c r="S74" s="157">
        <f t="shared" si="45"/>
        <v>1026.7019354838708</v>
      </c>
      <c r="V74" s="2"/>
      <c r="W74" s="304"/>
    </row>
    <row r="75" spans="1:25">
      <c r="A75" s="220" t="s">
        <v>515</v>
      </c>
      <c r="B75" s="220" t="s">
        <v>526</v>
      </c>
      <c r="C75" s="136">
        <f t="shared" si="30"/>
        <v>1500</v>
      </c>
      <c r="D75" s="136">
        <f t="shared" si="31"/>
        <v>158.18799999999999</v>
      </c>
      <c r="E75" s="136">
        <f t="shared" ca="1" si="32"/>
        <v>172.16906369158892</v>
      </c>
      <c r="F75" s="136">
        <f t="shared" ca="1" si="33"/>
        <v>13.981063691588929</v>
      </c>
      <c r="G75" s="499">
        <f t="shared" ca="1" si="34"/>
        <v>8.8382580799990702</v>
      </c>
      <c r="H75" s="136">
        <f t="shared" ca="1" si="35"/>
        <v>172.16906369158892</v>
      </c>
      <c r="I75" s="136">
        <f t="shared" ca="1" si="36"/>
        <v>182.73256707210663</v>
      </c>
      <c r="J75" s="136">
        <f t="shared" ca="1" si="37"/>
        <v>10.563503380517716</v>
      </c>
      <c r="K75" s="499">
        <f t="shared" ca="1" si="38"/>
        <v>6.1355409351824113</v>
      </c>
      <c r="L75" s="208" t="s">
        <v>506</v>
      </c>
      <c r="M75" s="381" t="s">
        <v>29</v>
      </c>
      <c r="N75" s="97" t="s">
        <v>422</v>
      </c>
      <c r="O75" s="95" t="s">
        <v>200</v>
      </c>
      <c r="P75" s="95" t="s">
        <v>420</v>
      </c>
      <c r="Q75" s="210">
        <f t="shared" si="43"/>
        <v>348.08516129032262</v>
      </c>
      <c r="R75" s="153">
        <f t="shared" si="44"/>
        <v>348.08516129032262</v>
      </c>
      <c r="S75" s="157">
        <f t="shared" si="45"/>
        <v>22.100645161290323</v>
      </c>
      <c r="V75" s="2"/>
    </row>
    <row r="76" spans="1:25">
      <c r="A76" s="220" t="s">
        <v>515</v>
      </c>
      <c r="B76" s="220" t="s">
        <v>526</v>
      </c>
      <c r="C76" s="136">
        <f t="shared" si="30"/>
        <v>1600</v>
      </c>
      <c r="D76" s="136">
        <f t="shared" si="31"/>
        <v>169.386</v>
      </c>
      <c r="E76" s="136">
        <f t="shared" ca="1" si="32"/>
        <v>183.56473460436152</v>
      </c>
      <c r="F76" s="136">
        <f t="shared" ca="1" si="33"/>
        <v>14.178734604361523</v>
      </c>
      <c r="G76" s="499">
        <f t="shared" ca="1" si="34"/>
        <v>8.3706649925976908</v>
      </c>
      <c r="H76" s="136">
        <f t="shared" ca="1" si="35"/>
        <v>183.56473460436152</v>
      </c>
      <c r="I76" s="136">
        <f t="shared" ca="1" si="36"/>
        <v>194.24807154358041</v>
      </c>
      <c r="J76" s="136">
        <f t="shared" ca="1" si="37"/>
        <v>10.68333693921889</v>
      </c>
      <c r="K76" s="499">
        <f t="shared" ca="1" si="38"/>
        <v>5.8199288453987457</v>
      </c>
      <c r="L76" s="208" t="s">
        <v>506</v>
      </c>
      <c r="M76" s="381" t="s">
        <v>29</v>
      </c>
      <c r="N76" s="97" t="s">
        <v>422</v>
      </c>
      <c r="O76" s="95" t="s">
        <v>195</v>
      </c>
      <c r="P76" s="407" t="s">
        <v>366</v>
      </c>
      <c r="Q76" s="210">
        <f t="shared" si="43"/>
        <v>-85106.12000000001</v>
      </c>
      <c r="R76" s="153">
        <f t="shared" si="44"/>
        <v>-85106.12000000001</v>
      </c>
      <c r="S76" s="157">
        <f t="shared" si="45"/>
        <v>340424.48000000004</v>
      </c>
      <c r="V76" s="2"/>
    </row>
    <row r="77" spans="1:25">
      <c r="A77" s="220" t="s">
        <v>515</v>
      </c>
      <c r="B77" s="220" t="s">
        <v>526</v>
      </c>
      <c r="C77" s="136">
        <f t="shared" si="30"/>
        <v>2000</v>
      </c>
      <c r="D77" s="136">
        <f t="shared" si="31"/>
        <v>214.178</v>
      </c>
      <c r="E77" s="136">
        <f t="shared" ca="1" si="32"/>
        <v>229.1474182554519</v>
      </c>
      <c r="F77" s="136">
        <f t="shared" ca="1" si="33"/>
        <v>14.969418255451899</v>
      </c>
      <c r="G77" s="499">
        <f t="shared" ca="1" si="34"/>
        <v>6.9892417780779992</v>
      </c>
      <c r="H77" s="136">
        <f t="shared" ca="1" si="35"/>
        <v>229.1474182554519</v>
      </c>
      <c r="I77" s="136">
        <f t="shared" ca="1" si="36"/>
        <v>240.31008942947551</v>
      </c>
      <c r="J77" s="136">
        <f t="shared" ca="1" si="37"/>
        <v>11.162671174023615</v>
      </c>
      <c r="K77" s="499">
        <f t="shared" ca="1" si="38"/>
        <v>4.8713929482633525</v>
      </c>
      <c r="L77" s="208" t="s">
        <v>506</v>
      </c>
      <c r="M77" s="381" t="s">
        <v>29</v>
      </c>
      <c r="N77" s="97" t="s">
        <v>422</v>
      </c>
      <c r="O77" s="208" t="s">
        <v>195</v>
      </c>
      <c r="P77" s="407" t="s">
        <v>396</v>
      </c>
      <c r="Q77" s="210">
        <f t="shared" ca="1" si="43"/>
        <v>29933049.550171904</v>
      </c>
      <c r="R77" s="153">
        <f t="shared" ca="1" si="44"/>
        <v>29748780.433388077</v>
      </c>
      <c r="S77" s="157">
        <f t="shared" si="45"/>
        <v>232417497.86607584</v>
      </c>
      <c r="V77" s="2"/>
    </row>
    <row r="78" spans="1:25">
      <c r="A78" s="329" t="s">
        <v>515</v>
      </c>
      <c r="B78" s="329" t="s">
        <v>526</v>
      </c>
      <c r="C78" s="137">
        <f t="shared" si="30"/>
        <v>2600</v>
      </c>
      <c r="D78" s="137">
        <f t="shared" si="31"/>
        <v>281.36599999999999</v>
      </c>
      <c r="E78" s="137">
        <f t="shared" ca="1" si="32"/>
        <v>297.52144373208745</v>
      </c>
      <c r="F78" s="137">
        <f t="shared" ca="1" si="33"/>
        <v>16.155443732087463</v>
      </c>
      <c r="G78" s="500">
        <f t="shared" ca="1" si="34"/>
        <v>5.7417896021862855</v>
      </c>
      <c r="H78" s="137">
        <f t="shared" ca="1" si="35"/>
        <v>297.52144373208745</v>
      </c>
      <c r="I78" s="137">
        <f t="shared" ca="1" si="36"/>
        <v>309.40311625831816</v>
      </c>
      <c r="J78" s="137">
        <f t="shared" ca="1" si="37"/>
        <v>11.881672526230716</v>
      </c>
      <c r="K78" s="500">
        <f t="shared" ca="1" si="38"/>
        <v>3.9935516503240494</v>
      </c>
      <c r="L78" s="208" t="s">
        <v>506</v>
      </c>
      <c r="M78" s="381" t="s">
        <v>29</v>
      </c>
      <c r="N78" s="97" t="s">
        <v>422</v>
      </c>
      <c r="O78" s="208" t="s">
        <v>195</v>
      </c>
      <c r="P78" s="407" t="s">
        <v>394</v>
      </c>
      <c r="Q78" s="210">
        <f t="shared" ca="1" si="43"/>
        <v>53125442.565567613</v>
      </c>
      <c r="R78" s="153">
        <f t="shared" ca="1" si="44"/>
        <v>52740050.509268805</v>
      </c>
      <c r="S78" s="157">
        <f t="shared" si="45"/>
        <v>484809660.2077716</v>
      </c>
      <c r="V78" s="2"/>
    </row>
    <row r="79" spans="1:25">
      <c r="A79" s="393" t="s">
        <v>517</v>
      </c>
      <c r="B79" s="345"/>
      <c r="C79" s="345"/>
      <c r="D79" s="345"/>
      <c r="E79" s="8"/>
      <c r="F79" s="345"/>
      <c r="G79" s="510"/>
      <c r="H79" s="8"/>
      <c r="I79" s="8"/>
      <c r="J79" s="345"/>
      <c r="K79" s="513"/>
      <c r="L79" s="208" t="s">
        <v>506</v>
      </c>
      <c r="M79" s="381" t="s">
        <v>29</v>
      </c>
      <c r="N79" s="97" t="s">
        <v>422</v>
      </c>
      <c r="O79" s="208" t="s">
        <v>195</v>
      </c>
      <c r="P79" s="407" t="s">
        <v>397</v>
      </c>
      <c r="Q79" s="210">
        <f t="shared" ca="1" si="43"/>
        <v>30523296.976270311</v>
      </c>
      <c r="R79" s="153">
        <f t="shared" ca="1" si="44"/>
        <v>30335394.271411575</v>
      </c>
      <c r="S79" s="157">
        <f t="shared" si="45"/>
        <v>237000520.04247469</v>
      </c>
      <c r="V79" s="2"/>
    </row>
    <row r="80" spans="1:25">
      <c r="A80" s="394" t="str">
        <f>"The average residential customer uses "&amp;TEXT(C$22,"#,###")&amp;" kilowatt hours per month"</f>
        <v>The average residential customer uses 1,200 kilowatt hours per month</v>
      </c>
      <c r="B80" s="138"/>
      <c r="C80" s="138"/>
      <c r="D80" s="138"/>
      <c r="E80"/>
      <c r="F80" s="138"/>
      <c r="G80" s="511"/>
      <c r="H80"/>
      <c r="I80"/>
      <c r="J80" s="138"/>
      <c r="K80" s="514"/>
      <c r="L80" s="208" t="s">
        <v>506</v>
      </c>
      <c r="M80" s="381" t="s">
        <v>29</v>
      </c>
      <c r="N80" s="97" t="s">
        <v>422</v>
      </c>
      <c r="O80" s="208" t="s">
        <v>195</v>
      </c>
      <c r="P80" s="407" t="s">
        <v>395</v>
      </c>
      <c r="Q80" s="210">
        <f t="shared" ca="1" si="43"/>
        <v>72694316.631505981</v>
      </c>
      <c r="R80" s="153">
        <f t="shared" ca="1" si="44"/>
        <v>72166964.560353354</v>
      </c>
      <c r="S80" s="157">
        <f t="shared" si="45"/>
        <v>663390368.96793199</v>
      </c>
      <c r="V80" s="2"/>
    </row>
    <row r="81" spans="1:22">
      <c r="A81" s="384" t="s">
        <v>518</v>
      </c>
      <c r="B81"/>
      <c r="C81"/>
      <c r="D81"/>
      <c r="E81"/>
      <c r="F81" s="138"/>
      <c r="G81" s="511"/>
      <c r="H81"/>
      <c r="I81"/>
      <c r="J81" s="138"/>
      <c r="K81" s="514"/>
      <c r="L81" s="209" t="s">
        <v>506</v>
      </c>
      <c r="M81" s="439" t="s">
        <v>29</v>
      </c>
      <c r="N81" s="145" t="s">
        <v>422</v>
      </c>
      <c r="O81" s="209" t="s">
        <v>195</v>
      </c>
      <c r="P81" s="408" t="s">
        <v>168</v>
      </c>
      <c r="Q81" s="211">
        <f t="shared" si="43"/>
        <v>5660946.3060093932</v>
      </c>
      <c r="R81" s="153">
        <f t="shared" si="44"/>
        <v>5660946.3060093932</v>
      </c>
      <c r="S81" s="157">
        <f t="shared" si="45"/>
        <v>0</v>
      </c>
      <c r="V81" s="2"/>
    </row>
    <row r="82" spans="1:22">
      <c r="A82" s="330" t="s">
        <v>523</v>
      </c>
      <c r="B82" s="346"/>
      <c r="C82" s="346"/>
      <c r="D82" s="346"/>
      <c r="E82" s="395"/>
      <c r="F82" s="346"/>
      <c r="G82" s="512"/>
      <c r="H82" s="395"/>
      <c r="I82" s="395"/>
      <c r="J82" s="346"/>
      <c r="K82" s="515"/>
    </row>
    <row r="83" spans="1:22">
      <c r="A83" s="342" t="s">
        <v>516</v>
      </c>
      <c r="B83" s="342" t="s">
        <v>524</v>
      </c>
      <c r="C83" s="260">
        <f t="shared" ref="C83:C103" si="46">C8</f>
        <v>0</v>
      </c>
      <c r="D83" s="260">
        <f t="shared" ref="D83:D103" si="47">Q$19+IF(C83&lt;=600,C83*Q$23,600*Q$23+(C83-600)*Q$24)</f>
        <v>7.75</v>
      </c>
      <c r="E83" s="260">
        <f t="shared" ref="E83:E103" ca="1" si="48">Q$36+IF(C83&lt;=600,C83*Q$40,600*Q$40+(C83-600)*Q$42)</f>
        <v>7.75</v>
      </c>
      <c r="F83" s="260">
        <f t="shared" ref="F83:F103" ca="1" si="49">E83-D83</f>
        <v>0</v>
      </c>
      <c r="G83" s="504">
        <f t="shared" ref="G83:G103" ca="1" si="50">F83/D83*100</f>
        <v>0</v>
      </c>
      <c r="H83" s="260">
        <f ca="1">E83</f>
        <v>7.75</v>
      </c>
      <c r="I83" s="260">
        <f t="shared" ref="I83:I103" ca="1" si="51">Q$60+IF(C83&lt;=600,C83*Q$64,600*Q$64+(C83-600)*Q$66)</f>
        <v>7.75</v>
      </c>
      <c r="J83" s="260">
        <f t="shared" ref="J83:J103" ca="1" si="52">I83-H83</f>
        <v>0</v>
      </c>
      <c r="K83" s="504">
        <f t="shared" ref="K83:K103" ca="1" si="53">J83/H83*100</f>
        <v>0</v>
      </c>
      <c r="Q83" s="547" t="s">
        <v>215</v>
      </c>
      <c r="R83" s="201"/>
    </row>
    <row r="84" spans="1:22">
      <c r="A84" s="220" t="s">
        <v>516</v>
      </c>
      <c r="B84" s="220" t="s">
        <v>524</v>
      </c>
      <c r="C84" s="136">
        <f t="shared" si="46"/>
        <v>50</v>
      </c>
      <c r="D84" s="136">
        <f t="shared" si="47"/>
        <v>11.888</v>
      </c>
      <c r="E84" s="136">
        <f t="shared" ca="1" si="48"/>
        <v>13.0585</v>
      </c>
      <c r="F84" s="136">
        <f t="shared" ca="1" si="49"/>
        <v>1.1705000000000005</v>
      </c>
      <c r="G84" s="499">
        <f t="shared" ca="1" si="50"/>
        <v>9.8460632570659534</v>
      </c>
      <c r="H84" s="136">
        <f t="shared" ref="H84:H103" ca="1" si="54">E84</f>
        <v>13.0585</v>
      </c>
      <c r="I84" s="136">
        <f t="shared" ca="1" si="51"/>
        <v>14.189499999999999</v>
      </c>
      <c r="J84" s="136">
        <f t="shared" ca="1" si="52"/>
        <v>1.1309999999999985</v>
      </c>
      <c r="K84" s="499">
        <f t="shared" ca="1" si="53"/>
        <v>8.6610253857640505</v>
      </c>
      <c r="Q84" s="548" t="s">
        <v>501</v>
      </c>
      <c r="R84" s="546">
        <f ca="1">SUM(R48:R57)-Q34</f>
        <v>0</v>
      </c>
    </row>
    <row r="85" spans="1:22">
      <c r="A85" s="220" t="s">
        <v>516</v>
      </c>
      <c r="B85" s="220" t="s">
        <v>524</v>
      </c>
      <c r="C85" s="136">
        <f t="shared" si="46"/>
        <v>100</v>
      </c>
      <c r="D85" s="136">
        <f t="shared" si="47"/>
        <v>16.026</v>
      </c>
      <c r="E85" s="136">
        <f t="shared" ca="1" si="48"/>
        <v>18.367000000000001</v>
      </c>
      <c r="F85" s="136">
        <f t="shared" ca="1" si="49"/>
        <v>2.3410000000000011</v>
      </c>
      <c r="G85" s="499">
        <f t="shared" ca="1" si="50"/>
        <v>14.607512791713473</v>
      </c>
      <c r="H85" s="136">
        <f t="shared" ca="1" si="54"/>
        <v>18.367000000000001</v>
      </c>
      <c r="I85" s="136">
        <f t="shared" ca="1" si="51"/>
        <v>20.628999999999998</v>
      </c>
      <c r="J85" s="136">
        <f t="shared" ca="1" si="52"/>
        <v>2.2619999999999969</v>
      </c>
      <c r="K85" s="499">
        <f t="shared" ca="1" si="53"/>
        <v>12.315565960690352</v>
      </c>
      <c r="Q85" s="549" t="s">
        <v>503</v>
      </c>
      <c r="R85" s="534">
        <f ca="1">SUM(R72:R81)-Q58</f>
        <v>0</v>
      </c>
    </row>
    <row r="86" spans="1:22">
      <c r="A86" s="220" t="s">
        <v>516</v>
      </c>
      <c r="B86" s="220" t="s">
        <v>524</v>
      </c>
      <c r="C86" s="136">
        <f t="shared" si="46"/>
        <v>150</v>
      </c>
      <c r="D86" s="136">
        <f t="shared" si="47"/>
        <v>20.164000000000001</v>
      </c>
      <c r="E86" s="136">
        <f t="shared" ca="1" si="48"/>
        <v>23.6755</v>
      </c>
      <c r="F86" s="136">
        <f t="shared" ca="1" si="49"/>
        <v>3.5114999999999981</v>
      </c>
      <c r="G86" s="499">
        <f t="shared" ca="1" si="50"/>
        <v>17.414699464391976</v>
      </c>
      <c r="H86" s="136">
        <f t="shared" ca="1" si="54"/>
        <v>23.6755</v>
      </c>
      <c r="I86" s="136">
        <f t="shared" ca="1" si="51"/>
        <v>27.068499999999997</v>
      </c>
      <c r="J86" s="136">
        <f t="shared" ca="1" si="52"/>
        <v>3.3929999999999971</v>
      </c>
      <c r="K86" s="499">
        <f t="shared" ca="1" si="53"/>
        <v>14.331270722899186</v>
      </c>
    </row>
    <row r="87" spans="1:22">
      <c r="A87" s="220" t="s">
        <v>516</v>
      </c>
      <c r="B87" s="220" t="s">
        <v>524</v>
      </c>
      <c r="C87" s="136">
        <f t="shared" si="46"/>
        <v>200</v>
      </c>
      <c r="D87" s="136">
        <f t="shared" si="47"/>
        <v>24.302</v>
      </c>
      <c r="E87" s="136">
        <f t="shared" ca="1" si="48"/>
        <v>28.984000000000002</v>
      </c>
      <c r="F87" s="136">
        <f t="shared" ca="1" si="49"/>
        <v>4.6820000000000022</v>
      </c>
      <c r="G87" s="499">
        <f t="shared" ca="1" si="50"/>
        <v>19.265904040819695</v>
      </c>
      <c r="H87" s="136">
        <f t="shared" ca="1" si="54"/>
        <v>28.984000000000002</v>
      </c>
      <c r="I87" s="136">
        <f t="shared" ca="1" si="51"/>
        <v>33.507999999999996</v>
      </c>
      <c r="J87" s="136">
        <f t="shared" ca="1" si="52"/>
        <v>4.5239999999999938</v>
      </c>
      <c r="K87" s="499">
        <f t="shared" ca="1" si="53"/>
        <v>15.608611647805665</v>
      </c>
    </row>
    <row r="88" spans="1:22">
      <c r="A88" s="220" t="s">
        <v>516</v>
      </c>
      <c r="B88" s="220" t="s">
        <v>524</v>
      </c>
      <c r="C88" s="136">
        <f t="shared" si="46"/>
        <v>300</v>
      </c>
      <c r="D88" s="136">
        <f t="shared" si="47"/>
        <v>32.578000000000003</v>
      </c>
      <c r="E88" s="136">
        <f t="shared" ca="1" si="48"/>
        <v>39.600999999999999</v>
      </c>
      <c r="F88" s="136">
        <f t="shared" ca="1" si="49"/>
        <v>7.0229999999999961</v>
      </c>
      <c r="G88" s="499">
        <f t="shared" ca="1" si="50"/>
        <v>21.557492786543055</v>
      </c>
      <c r="H88" s="136">
        <f t="shared" ca="1" si="54"/>
        <v>39.600999999999999</v>
      </c>
      <c r="I88" s="136">
        <f t="shared" ca="1" si="51"/>
        <v>46.386999999999993</v>
      </c>
      <c r="J88" s="136">
        <f t="shared" ca="1" si="52"/>
        <v>6.7859999999999943</v>
      </c>
      <c r="K88" s="499">
        <f t="shared" ca="1" si="53"/>
        <v>17.135930910835569</v>
      </c>
    </row>
    <row r="89" spans="1:22">
      <c r="A89" s="220" t="s">
        <v>516</v>
      </c>
      <c r="B89" s="220" t="s">
        <v>524</v>
      </c>
      <c r="C89" s="136">
        <f t="shared" si="46"/>
        <v>400</v>
      </c>
      <c r="D89" s="136">
        <f t="shared" si="47"/>
        <v>40.853999999999999</v>
      </c>
      <c r="E89" s="136">
        <f t="shared" ca="1" si="48"/>
        <v>50.218000000000004</v>
      </c>
      <c r="F89" s="136">
        <f t="shared" ca="1" si="49"/>
        <v>9.3640000000000043</v>
      </c>
      <c r="G89" s="499">
        <f t="shared" ca="1" si="50"/>
        <v>22.920644245361544</v>
      </c>
      <c r="H89" s="136">
        <f t="shared" ca="1" si="54"/>
        <v>50.218000000000004</v>
      </c>
      <c r="I89" s="136">
        <f t="shared" ca="1" si="51"/>
        <v>59.265999999999998</v>
      </c>
      <c r="J89" s="136">
        <f t="shared" ca="1" si="52"/>
        <v>9.0479999999999947</v>
      </c>
      <c r="K89" s="499">
        <f t="shared" ca="1" si="53"/>
        <v>18.017443944402395</v>
      </c>
    </row>
    <row r="90" spans="1:22">
      <c r="A90" s="329" t="s">
        <v>516</v>
      </c>
      <c r="B90" s="329" t="s">
        <v>524</v>
      </c>
      <c r="C90" s="137">
        <f t="shared" si="46"/>
        <v>500</v>
      </c>
      <c r="D90" s="137">
        <f t="shared" si="47"/>
        <v>49.13</v>
      </c>
      <c r="E90" s="137">
        <f t="shared" ca="1" si="48"/>
        <v>60.835000000000001</v>
      </c>
      <c r="F90" s="137">
        <f t="shared" ca="1" si="49"/>
        <v>11.704999999999998</v>
      </c>
      <c r="G90" s="500">
        <f t="shared" ca="1" si="50"/>
        <v>23.824547119886009</v>
      </c>
      <c r="H90" s="137">
        <f t="shared" ca="1" si="54"/>
        <v>60.835000000000001</v>
      </c>
      <c r="I90" s="137">
        <f t="shared" ca="1" si="51"/>
        <v>72.144999999999996</v>
      </c>
      <c r="J90" s="137">
        <f t="shared" ca="1" si="52"/>
        <v>11.309999999999995</v>
      </c>
      <c r="K90" s="500">
        <f t="shared" ca="1" si="53"/>
        <v>18.591271472014455</v>
      </c>
    </row>
    <row r="91" spans="1:22">
      <c r="A91" s="220" t="s">
        <v>516</v>
      </c>
      <c r="B91" s="220" t="s">
        <v>524</v>
      </c>
      <c r="C91" s="136">
        <f t="shared" si="46"/>
        <v>600</v>
      </c>
      <c r="D91" s="136">
        <f t="shared" si="47"/>
        <v>57.405999999999999</v>
      </c>
      <c r="E91" s="136">
        <f t="shared" ca="1" si="48"/>
        <v>71.451999999999998</v>
      </c>
      <c r="F91" s="136">
        <f t="shared" ca="1" si="49"/>
        <v>14.045999999999999</v>
      </c>
      <c r="G91" s="499">
        <f t="shared" ca="1" si="50"/>
        <v>24.467825662822701</v>
      </c>
      <c r="H91" s="136">
        <f t="shared" ca="1" si="54"/>
        <v>71.451999999999998</v>
      </c>
      <c r="I91" s="136">
        <f t="shared" ca="1" si="51"/>
        <v>85.023999999999987</v>
      </c>
      <c r="J91" s="136">
        <f t="shared" ca="1" si="52"/>
        <v>13.571999999999989</v>
      </c>
      <c r="K91" s="499">
        <f t="shared" ca="1" si="53"/>
        <v>18.994569781111782</v>
      </c>
    </row>
    <row r="92" spans="1:22">
      <c r="A92" s="220" t="s">
        <v>516</v>
      </c>
      <c r="B92" s="220" t="s">
        <v>524</v>
      </c>
      <c r="C92" s="136">
        <f t="shared" si="46"/>
        <v>700</v>
      </c>
      <c r="D92" s="136">
        <f t="shared" si="47"/>
        <v>68.603999999999999</v>
      </c>
      <c r="E92" s="136">
        <f t="shared" ca="1" si="48"/>
        <v>83.53</v>
      </c>
      <c r="F92" s="136">
        <f t="shared" ca="1" si="49"/>
        <v>14.926000000000002</v>
      </c>
      <c r="G92" s="499">
        <f t="shared" ca="1" si="50"/>
        <v>21.75674887761647</v>
      </c>
      <c r="H92" s="136">
        <f t="shared" ca="1" si="54"/>
        <v>83.53</v>
      </c>
      <c r="I92" s="136">
        <f t="shared" ca="1" si="51"/>
        <v>97.902999999999992</v>
      </c>
      <c r="J92" s="136">
        <f t="shared" ca="1" si="52"/>
        <v>14.37299999999999</v>
      </c>
      <c r="K92" s="499">
        <f t="shared" ca="1" si="53"/>
        <v>17.20699150005985</v>
      </c>
    </row>
    <row r="93" spans="1:22">
      <c r="A93" s="220" t="s">
        <v>516</v>
      </c>
      <c r="B93" s="220" t="s">
        <v>524</v>
      </c>
      <c r="C93" s="136">
        <f t="shared" si="46"/>
        <v>800</v>
      </c>
      <c r="D93" s="136">
        <f t="shared" si="47"/>
        <v>79.801999999999992</v>
      </c>
      <c r="E93" s="136">
        <f t="shared" ca="1" si="48"/>
        <v>95.608000000000004</v>
      </c>
      <c r="F93" s="136">
        <f t="shared" ca="1" si="49"/>
        <v>15.806000000000012</v>
      </c>
      <c r="G93" s="499">
        <f t="shared" ca="1" si="50"/>
        <v>19.806521139821072</v>
      </c>
      <c r="H93" s="136">
        <f t="shared" ca="1" si="54"/>
        <v>95.608000000000004</v>
      </c>
      <c r="I93" s="136">
        <f t="shared" ca="1" si="51"/>
        <v>110.78199999999998</v>
      </c>
      <c r="J93" s="136">
        <f t="shared" ca="1" si="52"/>
        <v>15.173999999999978</v>
      </c>
      <c r="K93" s="499">
        <f t="shared" ca="1" si="53"/>
        <v>15.871056815329238</v>
      </c>
    </row>
    <row r="94" spans="1:22">
      <c r="A94" s="220" t="s">
        <v>516</v>
      </c>
      <c r="B94" s="220" t="s">
        <v>524</v>
      </c>
      <c r="C94" s="136">
        <f t="shared" si="46"/>
        <v>900</v>
      </c>
      <c r="D94" s="136">
        <f t="shared" si="47"/>
        <v>91</v>
      </c>
      <c r="E94" s="136">
        <f t="shared" ca="1" si="48"/>
        <v>107.68600000000001</v>
      </c>
      <c r="F94" s="136">
        <f t="shared" ca="1" si="49"/>
        <v>16.686000000000007</v>
      </c>
      <c r="G94" s="499">
        <f t="shared" ca="1" si="50"/>
        <v>18.336263736263746</v>
      </c>
      <c r="H94" s="136">
        <f t="shared" ca="1" si="54"/>
        <v>107.68600000000001</v>
      </c>
      <c r="I94" s="136">
        <f t="shared" ca="1" si="51"/>
        <v>123.66099999999997</v>
      </c>
      <c r="J94" s="136">
        <f t="shared" ca="1" si="52"/>
        <v>15.974999999999966</v>
      </c>
      <c r="K94" s="499">
        <f t="shared" ca="1" si="53"/>
        <v>14.834797466708732</v>
      </c>
    </row>
    <row r="95" spans="1:22">
      <c r="A95" s="220" t="s">
        <v>516</v>
      </c>
      <c r="B95" s="220" t="s">
        <v>524</v>
      </c>
      <c r="C95" s="136">
        <f t="shared" si="46"/>
        <v>1000</v>
      </c>
      <c r="D95" s="136">
        <f t="shared" si="47"/>
        <v>102.19800000000001</v>
      </c>
      <c r="E95" s="136">
        <f t="shared" ca="1" si="48"/>
        <v>119.764</v>
      </c>
      <c r="F95" s="136">
        <f t="shared" ca="1" si="49"/>
        <v>17.565999999999988</v>
      </c>
      <c r="G95" s="499">
        <f t="shared" ca="1" si="50"/>
        <v>17.188203291649533</v>
      </c>
      <c r="H95" s="136">
        <f t="shared" ca="1" si="54"/>
        <v>119.764</v>
      </c>
      <c r="I95" s="136">
        <f t="shared" ca="1" si="51"/>
        <v>136.54</v>
      </c>
      <c r="J95" s="136">
        <f t="shared" ca="1" si="52"/>
        <v>16.775999999999996</v>
      </c>
      <c r="K95" s="499">
        <f t="shared" ca="1" si="53"/>
        <v>14.007548178083562</v>
      </c>
    </row>
    <row r="96" spans="1:22">
      <c r="A96" s="220" t="s">
        <v>516</v>
      </c>
      <c r="B96" s="220" t="s">
        <v>524</v>
      </c>
      <c r="C96" s="136">
        <f t="shared" si="46"/>
        <v>1100</v>
      </c>
      <c r="D96" s="136">
        <f t="shared" si="47"/>
        <v>113.39599999999999</v>
      </c>
      <c r="E96" s="136">
        <f t="shared" ca="1" si="48"/>
        <v>131.84199999999998</v>
      </c>
      <c r="F96" s="136">
        <f t="shared" ca="1" si="49"/>
        <v>18.445999999999998</v>
      </c>
      <c r="G96" s="499">
        <f t="shared" ca="1" si="50"/>
        <v>16.266887720907263</v>
      </c>
      <c r="H96" s="136">
        <f t="shared" ca="1" si="54"/>
        <v>131.84199999999998</v>
      </c>
      <c r="I96" s="136">
        <f t="shared" ca="1" si="51"/>
        <v>149.41899999999998</v>
      </c>
      <c r="J96" s="136">
        <f t="shared" ca="1" si="52"/>
        <v>17.576999999999998</v>
      </c>
      <c r="K96" s="499">
        <f t="shared" ca="1" si="53"/>
        <v>13.331866931630284</v>
      </c>
    </row>
    <row r="97" spans="1:11">
      <c r="A97" s="328" t="s">
        <v>516</v>
      </c>
      <c r="B97" s="328" t="s">
        <v>524</v>
      </c>
      <c r="C97" s="332">
        <f t="shared" si="46"/>
        <v>1200</v>
      </c>
      <c r="D97" s="332">
        <f t="shared" si="47"/>
        <v>124.59399999999999</v>
      </c>
      <c r="E97" s="332">
        <f t="shared" ca="1" si="48"/>
        <v>143.92000000000002</v>
      </c>
      <c r="F97" s="332">
        <f t="shared" ca="1" si="49"/>
        <v>19.326000000000022</v>
      </c>
      <c r="G97" s="501">
        <f t="shared" ca="1" si="50"/>
        <v>15.511180313658782</v>
      </c>
      <c r="H97" s="332">
        <f t="shared" ca="1" si="54"/>
        <v>143.92000000000002</v>
      </c>
      <c r="I97" s="332">
        <f t="shared" ca="1" si="51"/>
        <v>162.29799999999997</v>
      </c>
      <c r="J97" s="332">
        <f t="shared" ca="1" si="52"/>
        <v>18.377999999999957</v>
      </c>
      <c r="K97" s="501">
        <f t="shared" ca="1" si="53"/>
        <v>12.76959421901053</v>
      </c>
    </row>
    <row r="98" spans="1:11">
      <c r="A98" s="220" t="s">
        <v>516</v>
      </c>
      <c r="B98" s="220" t="s">
        <v>524</v>
      </c>
      <c r="C98" s="136">
        <f t="shared" si="46"/>
        <v>1300</v>
      </c>
      <c r="D98" s="136">
        <f t="shared" si="47"/>
        <v>135.792</v>
      </c>
      <c r="E98" s="136">
        <f t="shared" ca="1" si="48"/>
        <v>155.99799999999999</v>
      </c>
      <c r="F98" s="136">
        <f t="shared" ca="1" si="49"/>
        <v>20.205999999999989</v>
      </c>
      <c r="G98" s="499">
        <f t="shared" ca="1" si="50"/>
        <v>14.880110757629305</v>
      </c>
      <c r="H98" s="136">
        <f t="shared" ca="1" si="54"/>
        <v>155.99799999999999</v>
      </c>
      <c r="I98" s="136">
        <f t="shared" ca="1" si="51"/>
        <v>175.17699999999996</v>
      </c>
      <c r="J98" s="136">
        <f t="shared" ca="1" si="52"/>
        <v>19.178999999999974</v>
      </c>
      <c r="K98" s="499">
        <f t="shared" ca="1" si="53"/>
        <v>12.294388389594722</v>
      </c>
    </row>
    <row r="99" spans="1:11">
      <c r="A99" s="220" t="s">
        <v>516</v>
      </c>
      <c r="B99" s="220" t="s">
        <v>524</v>
      </c>
      <c r="C99" s="136">
        <f t="shared" si="46"/>
        <v>1400</v>
      </c>
      <c r="D99" s="136">
        <f t="shared" si="47"/>
        <v>146.99</v>
      </c>
      <c r="E99" s="136">
        <f t="shared" ca="1" si="48"/>
        <v>168.07599999999999</v>
      </c>
      <c r="F99" s="136">
        <f t="shared" ca="1" si="49"/>
        <v>21.085999999999984</v>
      </c>
      <c r="G99" s="499">
        <f t="shared" ca="1" si="50"/>
        <v>14.345193550581662</v>
      </c>
      <c r="H99" s="136">
        <f t="shared" ca="1" si="54"/>
        <v>168.07599999999999</v>
      </c>
      <c r="I99" s="136">
        <f t="shared" ca="1" si="51"/>
        <v>188.05599999999998</v>
      </c>
      <c r="J99" s="136">
        <f t="shared" ca="1" si="52"/>
        <v>19.97999999999999</v>
      </c>
      <c r="K99" s="499">
        <f t="shared" ca="1" si="53"/>
        <v>11.887479473571474</v>
      </c>
    </row>
    <row r="100" spans="1:11">
      <c r="A100" s="220" t="s">
        <v>516</v>
      </c>
      <c r="B100" s="220" t="s">
        <v>524</v>
      </c>
      <c r="C100" s="136">
        <f t="shared" si="46"/>
        <v>1500</v>
      </c>
      <c r="D100" s="136">
        <f t="shared" si="47"/>
        <v>158.18799999999999</v>
      </c>
      <c r="E100" s="136">
        <f t="shared" ca="1" si="48"/>
        <v>180.154</v>
      </c>
      <c r="F100" s="136">
        <f t="shared" ca="1" si="49"/>
        <v>21.966000000000008</v>
      </c>
      <c r="G100" s="499">
        <f t="shared" ca="1" si="50"/>
        <v>13.886009052519793</v>
      </c>
      <c r="H100" s="136">
        <f t="shared" ca="1" si="54"/>
        <v>180.154</v>
      </c>
      <c r="I100" s="136">
        <f t="shared" ca="1" si="51"/>
        <v>200.93499999999997</v>
      </c>
      <c r="J100" s="136">
        <f t="shared" ca="1" si="52"/>
        <v>20.780999999999977</v>
      </c>
      <c r="K100" s="499">
        <f t="shared" ca="1" si="53"/>
        <v>11.535131054542212</v>
      </c>
    </row>
    <row r="101" spans="1:11">
      <c r="A101" s="220" t="s">
        <v>516</v>
      </c>
      <c r="B101" s="220" t="s">
        <v>524</v>
      </c>
      <c r="C101" s="136">
        <f t="shared" si="46"/>
        <v>1600</v>
      </c>
      <c r="D101" s="136">
        <f t="shared" si="47"/>
        <v>169.386</v>
      </c>
      <c r="E101" s="136">
        <f t="shared" ca="1" si="48"/>
        <v>192.232</v>
      </c>
      <c r="F101" s="136">
        <f t="shared" ca="1" si="49"/>
        <v>22.846000000000004</v>
      </c>
      <c r="G101" s="499">
        <f t="shared" ca="1" si="50"/>
        <v>13.487537340748352</v>
      </c>
      <c r="H101" s="136">
        <f t="shared" ca="1" si="54"/>
        <v>192.232</v>
      </c>
      <c r="I101" s="136">
        <f t="shared" ca="1" si="51"/>
        <v>213.81399999999996</v>
      </c>
      <c r="J101" s="136">
        <f t="shared" ca="1" si="52"/>
        <v>21.581999999999965</v>
      </c>
      <c r="K101" s="499">
        <f t="shared" ca="1" si="53"/>
        <v>11.227058970410736</v>
      </c>
    </row>
    <row r="102" spans="1:11">
      <c r="A102" s="220" t="s">
        <v>516</v>
      </c>
      <c r="B102" s="220" t="s">
        <v>524</v>
      </c>
      <c r="C102" s="136">
        <f t="shared" si="46"/>
        <v>2000</v>
      </c>
      <c r="D102" s="136">
        <f t="shared" si="47"/>
        <v>214.178</v>
      </c>
      <c r="E102" s="136">
        <f t="shared" ca="1" si="48"/>
        <v>240.54399999999998</v>
      </c>
      <c r="F102" s="136">
        <f t="shared" ca="1" si="49"/>
        <v>26.365999999999985</v>
      </c>
      <c r="G102" s="499">
        <f t="shared" ca="1" si="50"/>
        <v>12.310321321517611</v>
      </c>
      <c r="H102" s="136">
        <f t="shared" ca="1" si="54"/>
        <v>240.54399999999998</v>
      </c>
      <c r="I102" s="136">
        <f t="shared" ca="1" si="51"/>
        <v>265.33</v>
      </c>
      <c r="J102" s="136">
        <f t="shared" ca="1" si="52"/>
        <v>24.786000000000001</v>
      </c>
      <c r="K102" s="499">
        <f t="shared" ca="1" si="53"/>
        <v>10.304143940401756</v>
      </c>
    </row>
    <row r="103" spans="1:11">
      <c r="A103" s="329" t="s">
        <v>516</v>
      </c>
      <c r="B103" s="329" t="s">
        <v>524</v>
      </c>
      <c r="C103" s="137">
        <f t="shared" si="46"/>
        <v>2600</v>
      </c>
      <c r="D103" s="137">
        <f t="shared" si="47"/>
        <v>281.36599999999999</v>
      </c>
      <c r="E103" s="137">
        <f t="shared" ca="1" si="48"/>
        <v>313.012</v>
      </c>
      <c r="F103" s="137">
        <f t="shared" ca="1" si="49"/>
        <v>31.646000000000015</v>
      </c>
      <c r="G103" s="500">
        <f t="shared" ca="1" si="50"/>
        <v>11.247272236162157</v>
      </c>
      <c r="H103" s="137">
        <f t="shared" ca="1" si="54"/>
        <v>313.012</v>
      </c>
      <c r="I103" s="137">
        <f t="shared" ca="1" si="51"/>
        <v>342.60399999999998</v>
      </c>
      <c r="J103" s="137">
        <f t="shared" ca="1" si="52"/>
        <v>29.591999999999985</v>
      </c>
      <c r="K103" s="500">
        <f t="shared" ca="1" si="53"/>
        <v>9.4539506472595249</v>
      </c>
    </row>
    <row r="104" spans="1:11">
      <c r="A104" s="393" t="s">
        <v>517</v>
      </c>
      <c r="B104" s="345"/>
      <c r="C104" s="345"/>
      <c r="D104" s="345"/>
      <c r="E104" s="8"/>
      <c r="F104" s="345"/>
      <c r="G104" s="510"/>
      <c r="H104" s="8"/>
      <c r="I104" s="8"/>
      <c r="J104" s="345"/>
      <c r="K104" s="513"/>
    </row>
    <row r="105" spans="1:11">
      <c r="A105" s="394" t="str">
        <f>"The average residential customer uses "&amp;TEXT(C$22,"#,###")&amp;" kilowatt hours per month"</f>
        <v>The average residential customer uses 1,200 kilowatt hours per month</v>
      </c>
      <c r="B105" s="138"/>
      <c r="C105" s="138"/>
      <c r="D105" s="138"/>
      <c r="E105"/>
      <c r="F105" s="138"/>
      <c r="G105" s="511"/>
      <c r="H105"/>
      <c r="I105"/>
      <c r="J105" s="138"/>
      <c r="K105" s="514"/>
    </row>
    <row r="106" spans="1:11">
      <c r="A106" s="384" t="s">
        <v>518</v>
      </c>
      <c r="B106"/>
      <c r="C106"/>
      <c r="D106"/>
      <c r="E106"/>
      <c r="F106" s="138"/>
      <c r="G106" s="511"/>
      <c r="H106"/>
      <c r="I106"/>
      <c r="J106" s="138"/>
      <c r="K106" s="514"/>
    </row>
    <row r="107" spans="1:11">
      <c r="A107" s="330" t="s">
        <v>523</v>
      </c>
      <c r="B107" s="346"/>
      <c r="C107" s="346"/>
      <c r="D107" s="346"/>
      <c r="E107" s="395"/>
      <c r="F107" s="346"/>
      <c r="G107" s="512"/>
      <c r="H107" s="395"/>
      <c r="I107" s="395"/>
      <c r="J107" s="346"/>
      <c r="K107" s="515"/>
    </row>
    <row r="108" spans="1:11">
      <c r="A108" s="342" t="s">
        <v>516</v>
      </c>
      <c r="B108" s="342" t="s">
        <v>525</v>
      </c>
      <c r="C108" s="260">
        <f t="shared" ref="C108:C128" si="55">C8</f>
        <v>0</v>
      </c>
      <c r="D108" s="260">
        <f t="shared" ref="D108:D128" si="56">Q$19+IF(C108&lt;=600,C108*Q$23,600*Q$23+(C108-600)*Q$24)</f>
        <v>7.75</v>
      </c>
      <c r="E108" s="260">
        <f t="shared" ref="E108:E128" ca="1" si="57">Q$36+IF(C108&lt;=600,C108*Q$41,600*Q$41+(C108-600)*Q$43)</f>
        <v>7.75</v>
      </c>
      <c r="F108" s="260">
        <f t="shared" ref="F108:F128" ca="1" si="58">E108-D108</f>
        <v>0</v>
      </c>
      <c r="G108" s="504">
        <f t="shared" ref="G108:G128" ca="1" si="59">F108/D108*100</f>
        <v>0</v>
      </c>
      <c r="H108" s="260">
        <f t="shared" ref="H108:H128" ca="1" si="60">E108</f>
        <v>7.75</v>
      </c>
      <c r="I108" s="260">
        <f t="shared" ref="I108:I128" ca="1" si="61">Q$60+IF(C108&lt;=600,C108*Q$65,600*Q$65+(C108-600)*Q$67)</f>
        <v>7.75</v>
      </c>
      <c r="J108" s="260">
        <f t="shared" ref="J108:J128" ca="1" si="62">I108-H108</f>
        <v>0</v>
      </c>
      <c r="K108" s="504">
        <f t="shared" ref="K108:K128" ca="1" si="63">J108/H108*100</f>
        <v>0</v>
      </c>
    </row>
    <row r="109" spans="1:11">
      <c r="A109" s="220" t="s">
        <v>516</v>
      </c>
      <c r="B109" s="220" t="s">
        <v>525</v>
      </c>
      <c r="C109" s="136">
        <f t="shared" si="55"/>
        <v>50</v>
      </c>
      <c r="D109" s="136">
        <f t="shared" si="56"/>
        <v>11.888</v>
      </c>
      <c r="E109" s="136">
        <f t="shared" ca="1" si="57"/>
        <v>12.577999999999999</v>
      </c>
      <c r="F109" s="136">
        <f t="shared" ca="1" si="58"/>
        <v>0.6899999999999995</v>
      </c>
      <c r="G109" s="499">
        <f t="shared" ca="1" si="59"/>
        <v>5.8041722745625801</v>
      </c>
      <c r="H109" s="136">
        <f t="shared" ca="1" si="60"/>
        <v>12.577999999999999</v>
      </c>
      <c r="I109" s="136">
        <f t="shared" ca="1" si="61"/>
        <v>13.228999999999999</v>
      </c>
      <c r="J109" s="136">
        <f t="shared" ca="1" si="62"/>
        <v>0.6509999999999998</v>
      </c>
      <c r="K109" s="499">
        <f t="shared" ca="1" si="63"/>
        <v>5.1757036094768631</v>
      </c>
    </row>
    <row r="110" spans="1:11">
      <c r="A110" s="220" t="s">
        <v>516</v>
      </c>
      <c r="B110" s="220" t="s">
        <v>525</v>
      </c>
      <c r="C110" s="136">
        <f t="shared" si="55"/>
        <v>100</v>
      </c>
      <c r="D110" s="136">
        <f t="shared" si="56"/>
        <v>16.026</v>
      </c>
      <c r="E110" s="136">
        <f t="shared" ca="1" si="57"/>
        <v>17.405999999999999</v>
      </c>
      <c r="F110" s="136">
        <f t="shared" ca="1" si="58"/>
        <v>1.379999999999999</v>
      </c>
      <c r="G110" s="499">
        <f t="shared" ca="1" si="59"/>
        <v>8.6110071134406532</v>
      </c>
      <c r="H110" s="136">
        <f t="shared" ca="1" si="60"/>
        <v>17.405999999999999</v>
      </c>
      <c r="I110" s="136">
        <f t="shared" ca="1" si="61"/>
        <v>18.707999999999998</v>
      </c>
      <c r="J110" s="136">
        <f t="shared" ca="1" si="62"/>
        <v>1.3019999999999996</v>
      </c>
      <c r="K110" s="499">
        <f t="shared" ca="1" si="63"/>
        <v>7.4801792485349861</v>
      </c>
    </row>
    <row r="111" spans="1:11">
      <c r="A111" s="220" t="s">
        <v>516</v>
      </c>
      <c r="B111" s="220" t="s">
        <v>525</v>
      </c>
      <c r="C111" s="136">
        <f t="shared" si="55"/>
        <v>150</v>
      </c>
      <c r="D111" s="136">
        <f t="shared" si="56"/>
        <v>20.164000000000001</v>
      </c>
      <c r="E111" s="136">
        <f t="shared" ca="1" si="57"/>
        <v>22.234000000000002</v>
      </c>
      <c r="F111" s="136">
        <f t="shared" ca="1" si="58"/>
        <v>2.0700000000000003</v>
      </c>
      <c r="G111" s="499">
        <f t="shared" ca="1" si="59"/>
        <v>10.265820273755208</v>
      </c>
      <c r="H111" s="136">
        <f t="shared" ca="1" si="60"/>
        <v>22.234000000000002</v>
      </c>
      <c r="I111" s="136">
        <f t="shared" ca="1" si="61"/>
        <v>24.187000000000001</v>
      </c>
      <c r="J111" s="136">
        <f t="shared" ca="1" si="62"/>
        <v>1.9529999999999994</v>
      </c>
      <c r="K111" s="499">
        <f t="shared" ca="1" si="63"/>
        <v>8.783844562381935</v>
      </c>
    </row>
    <row r="112" spans="1:11">
      <c r="A112" s="220" t="s">
        <v>516</v>
      </c>
      <c r="B112" s="220" t="s">
        <v>525</v>
      </c>
      <c r="C112" s="136">
        <f t="shared" si="55"/>
        <v>200</v>
      </c>
      <c r="D112" s="136">
        <f t="shared" si="56"/>
        <v>24.302</v>
      </c>
      <c r="E112" s="136">
        <f t="shared" ca="1" si="57"/>
        <v>27.062000000000001</v>
      </c>
      <c r="F112" s="136">
        <f t="shared" ca="1" si="58"/>
        <v>2.7600000000000016</v>
      </c>
      <c r="G112" s="499">
        <f t="shared" ca="1" si="59"/>
        <v>11.357089951444333</v>
      </c>
      <c r="H112" s="136">
        <f t="shared" ca="1" si="60"/>
        <v>27.062000000000001</v>
      </c>
      <c r="I112" s="136">
        <f t="shared" ca="1" si="61"/>
        <v>29.666</v>
      </c>
      <c r="J112" s="136">
        <f t="shared" ca="1" si="62"/>
        <v>2.6039999999999992</v>
      </c>
      <c r="K112" s="499">
        <f t="shared" ca="1" si="63"/>
        <v>9.6223486808070327</v>
      </c>
    </row>
    <row r="113" spans="1:11">
      <c r="A113" s="220" t="s">
        <v>516</v>
      </c>
      <c r="B113" s="220" t="s">
        <v>525</v>
      </c>
      <c r="C113" s="136">
        <f t="shared" si="55"/>
        <v>300</v>
      </c>
      <c r="D113" s="136">
        <f t="shared" si="56"/>
        <v>32.578000000000003</v>
      </c>
      <c r="E113" s="136">
        <f t="shared" ca="1" si="57"/>
        <v>36.718000000000004</v>
      </c>
      <c r="F113" s="136">
        <f t="shared" ca="1" si="58"/>
        <v>4.1400000000000006</v>
      </c>
      <c r="G113" s="499">
        <f t="shared" ca="1" si="59"/>
        <v>12.707962428632822</v>
      </c>
      <c r="H113" s="136">
        <f t="shared" ca="1" si="60"/>
        <v>36.718000000000004</v>
      </c>
      <c r="I113" s="136">
        <f t="shared" ca="1" si="61"/>
        <v>40.624000000000002</v>
      </c>
      <c r="J113" s="136">
        <f t="shared" ca="1" si="62"/>
        <v>3.9059999999999988</v>
      </c>
      <c r="K113" s="499">
        <f t="shared" ca="1" si="63"/>
        <v>10.637834304700688</v>
      </c>
    </row>
    <row r="114" spans="1:11">
      <c r="A114" s="220" t="s">
        <v>516</v>
      </c>
      <c r="B114" s="220" t="s">
        <v>525</v>
      </c>
      <c r="C114" s="136">
        <f t="shared" si="55"/>
        <v>400</v>
      </c>
      <c r="D114" s="136">
        <f t="shared" si="56"/>
        <v>40.853999999999999</v>
      </c>
      <c r="E114" s="136">
        <f t="shared" ca="1" si="57"/>
        <v>46.374000000000002</v>
      </c>
      <c r="F114" s="136">
        <f t="shared" ca="1" si="58"/>
        <v>5.5200000000000031</v>
      </c>
      <c r="G114" s="499">
        <f t="shared" ca="1" si="59"/>
        <v>13.511528858863278</v>
      </c>
      <c r="H114" s="136">
        <f t="shared" ca="1" si="60"/>
        <v>46.374000000000002</v>
      </c>
      <c r="I114" s="136">
        <f t="shared" ca="1" si="61"/>
        <v>51.582000000000001</v>
      </c>
      <c r="J114" s="136">
        <f t="shared" ca="1" si="62"/>
        <v>5.2079999999999984</v>
      </c>
      <c r="K114" s="499">
        <f t="shared" ca="1" si="63"/>
        <v>11.230430844869966</v>
      </c>
    </row>
    <row r="115" spans="1:11">
      <c r="A115" s="329" t="s">
        <v>516</v>
      </c>
      <c r="B115" s="329" t="s">
        <v>525</v>
      </c>
      <c r="C115" s="137">
        <f t="shared" si="55"/>
        <v>500</v>
      </c>
      <c r="D115" s="137">
        <f t="shared" si="56"/>
        <v>49.13</v>
      </c>
      <c r="E115" s="137">
        <f t="shared" ca="1" si="57"/>
        <v>56.03</v>
      </c>
      <c r="F115" s="137">
        <f t="shared" ca="1" si="58"/>
        <v>6.8999999999999986</v>
      </c>
      <c r="G115" s="500">
        <f t="shared" ca="1" si="59"/>
        <v>14.044372074089148</v>
      </c>
      <c r="H115" s="137">
        <f t="shared" ca="1" si="60"/>
        <v>56.03</v>
      </c>
      <c r="I115" s="137">
        <f t="shared" ca="1" si="61"/>
        <v>62.54</v>
      </c>
      <c r="J115" s="137">
        <f t="shared" ca="1" si="62"/>
        <v>6.509999999999998</v>
      </c>
      <c r="K115" s="500">
        <f t="shared" ca="1" si="63"/>
        <v>11.618775655898622</v>
      </c>
    </row>
    <row r="116" spans="1:11">
      <c r="A116" s="220" t="s">
        <v>516</v>
      </c>
      <c r="B116" s="220" t="s">
        <v>525</v>
      </c>
      <c r="C116" s="136">
        <f t="shared" si="55"/>
        <v>600</v>
      </c>
      <c r="D116" s="136">
        <f t="shared" si="56"/>
        <v>57.405999999999999</v>
      </c>
      <c r="E116" s="136">
        <f t="shared" ca="1" si="57"/>
        <v>65.686000000000007</v>
      </c>
      <c r="F116" s="136">
        <f t="shared" ca="1" si="58"/>
        <v>8.2800000000000082</v>
      </c>
      <c r="G116" s="499">
        <f t="shared" ca="1" si="59"/>
        <v>14.423579416785717</v>
      </c>
      <c r="H116" s="136">
        <f t="shared" ca="1" si="60"/>
        <v>65.686000000000007</v>
      </c>
      <c r="I116" s="136">
        <f t="shared" ca="1" si="61"/>
        <v>73.498000000000005</v>
      </c>
      <c r="J116" s="136">
        <f t="shared" ca="1" si="62"/>
        <v>7.8119999999999976</v>
      </c>
      <c r="K116" s="499">
        <f t="shared" ca="1" si="63"/>
        <v>11.892945224248693</v>
      </c>
    </row>
    <row r="117" spans="1:11">
      <c r="A117" s="220" t="s">
        <v>516</v>
      </c>
      <c r="B117" s="220" t="s">
        <v>525</v>
      </c>
      <c r="C117" s="136">
        <f t="shared" si="55"/>
        <v>700</v>
      </c>
      <c r="D117" s="136">
        <f t="shared" si="56"/>
        <v>68.603999999999999</v>
      </c>
      <c r="E117" s="136">
        <f t="shared" ca="1" si="57"/>
        <v>76.803000000000011</v>
      </c>
      <c r="F117" s="136">
        <f t="shared" ca="1" si="58"/>
        <v>8.1990000000000123</v>
      </c>
      <c r="G117" s="499">
        <f t="shared" ca="1" si="59"/>
        <v>11.951198180864107</v>
      </c>
      <c r="H117" s="136">
        <f t="shared" ca="1" si="60"/>
        <v>76.803000000000011</v>
      </c>
      <c r="I117" s="136">
        <f t="shared" ca="1" si="61"/>
        <v>84.456000000000003</v>
      </c>
      <c r="J117" s="136">
        <f t="shared" ca="1" si="62"/>
        <v>7.6529999999999916</v>
      </c>
      <c r="K117" s="499">
        <f t="shared" ca="1" si="63"/>
        <v>9.9644545134955553</v>
      </c>
    </row>
    <row r="118" spans="1:11">
      <c r="A118" s="220" t="s">
        <v>516</v>
      </c>
      <c r="B118" s="220" t="s">
        <v>525</v>
      </c>
      <c r="C118" s="136">
        <f t="shared" si="55"/>
        <v>800</v>
      </c>
      <c r="D118" s="136">
        <f t="shared" si="56"/>
        <v>79.801999999999992</v>
      </c>
      <c r="E118" s="136">
        <f t="shared" ca="1" si="57"/>
        <v>87.920000000000016</v>
      </c>
      <c r="F118" s="136">
        <f t="shared" ca="1" si="58"/>
        <v>8.1180000000000234</v>
      </c>
      <c r="G118" s="499">
        <f t="shared" ca="1" si="59"/>
        <v>10.172677376506885</v>
      </c>
      <c r="H118" s="136">
        <f t="shared" ca="1" si="60"/>
        <v>87.920000000000016</v>
      </c>
      <c r="I118" s="136">
        <f t="shared" ca="1" si="61"/>
        <v>95.414000000000001</v>
      </c>
      <c r="J118" s="136">
        <f t="shared" ca="1" si="62"/>
        <v>7.4939999999999856</v>
      </c>
      <c r="K118" s="499">
        <f t="shared" ca="1" si="63"/>
        <v>8.5236578707916113</v>
      </c>
    </row>
    <row r="119" spans="1:11">
      <c r="A119" s="220" t="s">
        <v>516</v>
      </c>
      <c r="B119" s="220" t="s">
        <v>525</v>
      </c>
      <c r="C119" s="136">
        <f t="shared" si="55"/>
        <v>900</v>
      </c>
      <c r="D119" s="136">
        <f t="shared" si="56"/>
        <v>91</v>
      </c>
      <c r="E119" s="136">
        <f t="shared" ca="1" si="57"/>
        <v>99.037000000000006</v>
      </c>
      <c r="F119" s="136">
        <f t="shared" ca="1" si="58"/>
        <v>8.0370000000000061</v>
      </c>
      <c r="G119" s="499">
        <f t="shared" ca="1" si="59"/>
        <v>8.8318681318681378</v>
      </c>
      <c r="H119" s="136">
        <f t="shared" ca="1" si="60"/>
        <v>99.037000000000006</v>
      </c>
      <c r="I119" s="136">
        <f t="shared" ca="1" si="61"/>
        <v>106.37200000000001</v>
      </c>
      <c r="J119" s="136">
        <f t="shared" ca="1" si="62"/>
        <v>7.335000000000008</v>
      </c>
      <c r="K119" s="499">
        <f t="shared" ca="1" si="63"/>
        <v>7.406322889425172</v>
      </c>
    </row>
    <row r="120" spans="1:11">
      <c r="A120" s="220" t="s">
        <v>516</v>
      </c>
      <c r="B120" s="220" t="s">
        <v>525</v>
      </c>
      <c r="C120" s="136">
        <f t="shared" si="55"/>
        <v>1000</v>
      </c>
      <c r="D120" s="136">
        <f t="shared" si="56"/>
        <v>102.19800000000001</v>
      </c>
      <c r="E120" s="136">
        <f t="shared" ca="1" si="57"/>
        <v>110.15400000000001</v>
      </c>
      <c r="F120" s="136">
        <f t="shared" ca="1" si="58"/>
        <v>7.9560000000000031</v>
      </c>
      <c r="G120" s="499">
        <f t="shared" ca="1" si="59"/>
        <v>7.7848881582809861</v>
      </c>
      <c r="H120" s="136">
        <f t="shared" ca="1" si="60"/>
        <v>110.15400000000001</v>
      </c>
      <c r="I120" s="136">
        <f t="shared" ca="1" si="61"/>
        <v>117.33000000000001</v>
      </c>
      <c r="J120" s="136">
        <f t="shared" ca="1" si="62"/>
        <v>7.1760000000000019</v>
      </c>
      <c r="K120" s="499">
        <f t="shared" ca="1" si="63"/>
        <v>6.5145160411787142</v>
      </c>
    </row>
    <row r="121" spans="1:11">
      <c r="A121" s="220" t="s">
        <v>516</v>
      </c>
      <c r="B121" s="220" t="s">
        <v>525</v>
      </c>
      <c r="C121" s="136">
        <f t="shared" si="55"/>
        <v>1100</v>
      </c>
      <c r="D121" s="136">
        <f t="shared" si="56"/>
        <v>113.39599999999999</v>
      </c>
      <c r="E121" s="136">
        <f t="shared" ca="1" si="57"/>
        <v>121.27100000000002</v>
      </c>
      <c r="F121" s="136">
        <f t="shared" ca="1" si="58"/>
        <v>7.8750000000000284</v>
      </c>
      <c r="G121" s="499">
        <f t="shared" ca="1" si="59"/>
        <v>6.9446894070337839</v>
      </c>
      <c r="H121" s="136">
        <f t="shared" ca="1" si="60"/>
        <v>121.27100000000002</v>
      </c>
      <c r="I121" s="136">
        <f t="shared" ca="1" si="61"/>
        <v>128.28800000000001</v>
      </c>
      <c r="J121" s="136">
        <f t="shared" ca="1" si="62"/>
        <v>7.0169999999999959</v>
      </c>
      <c r="K121" s="499">
        <f t="shared" ca="1" si="63"/>
        <v>5.7862143463812412</v>
      </c>
    </row>
    <row r="122" spans="1:11">
      <c r="A122" s="328" t="s">
        <v>516</v>
      </c>
      <c r="B122" s="328" t="s">
        <v>525</v>
      </c>
      <c r="C122" s="332">
        <f t="shared" si="55"/>
        <v>1200</v>
      </c>
      <c r="D122" s="332">
        <f t="shared" si="56"/>
        <v>124.59399999999999</v>
      </c>
      <c r="E122" s="332">
        <f t="shared" ca="1" si="57"/>
        <v>132.38800000000001</v>
      </c>
      <c r="F122" s="332">
        <f t="shared" ca="1" si="58"/>
        <v>7.7940000000000111</v>
      </c>
      <c r="G122" s="501">
        <f t="shared" ca="1" si="59"/>
        <v>6.2555179222113511</v>
      </c>
      <c r="H122" s="332">
        <f t="shared" ca="1" si="60"/>
        <v>132.38800000000001</v>
      </c>
      <c r="I122" s="332">
        <f t="shared" ca="1" si="61"/>
        <v>139.24600000000001</v>
      </c>
      <c r="J122" s="332">
        <f t="shared" ca="1" si="62"/>
        <v>6.8580000000000041</v>
      </c>
      <c r="K122" s="501">
        <f t="shared" ca="1" si="63"/>
        <v>5.1802278152098404</v>
      </c>
    </row>
    <row r="123" spans="1:11">
      <c r="A123" s="220" t="s">
        <v>516</v>
      </c>
      <c r="B123" s="220" t="s">
        <v>525</v>
      </c>
      <c r="C123" s="136">
        <f t="shared" si="55"/>
        <v>1300</v>
      </c>
      <c r="D123" s="136">
        <f t="shared" si="56"/>
        <v>135.792</v>
      </c>
      <c r="E123" s="136">
        <f t="shared" ca="1" si="57"/>
        <v>143.505</v>
      </c>
      <c r="F123" s="136">
        <f t="shared" ca="1" si="58"/>
        <v>7.7129999999999939</v>
      </c>
      <c r="G123" s="499">
        <f t="shared" ca="1" si="59"/>
        <v>5.6800106044538659</v>
      </c>
      <c r="H123" s="136">
        <f t="shared" ca="1" si="60"/>
        <v>143.505</v>
      </c>
      <c r="I123" s="136">
        <f t="shared" ca="1" si="61"/>
        <v>150.20400000000001</v>
      </c>
      <c r="J123" s="136">
        <f t="shared" ca="1" si="62"/>
        <v>6.6990000000000123</v>
      </c>
      <c r="K123" s="499">
        <f t="shared" ca="1" si="63"/>
        <v>4.6681300303125415</v>
      </c>
    </row>
    <row r="124" spans="1:11">
      <c r="A124" s="220" t="s">
        <v>516</v>
      </c>
      <c r="B124" s="220" t="s">
        <v>525</v>
      </c>
      <c r="C124" s="136">
        <f t="shared" si="55"/>
        <v>1400</v>
      </c>
      <c r="D124" s="136">
        <f t="shared" si="56"/>
        <v>146.99</v>
      </c>
      <c r="E124" s="136">
        <f t="shared" ca="1" si="57"/>
        <v>154.62200000000001</v>
      </c>
      <c r="F124" s="136">
        <f t="shared" ca="1" si="58"/>
        <v>7.632000000000005</v>
      </c>
      <c r="G124" s="499">
        <f t="shared" ca="1" si="59"/>
        <v>5.1921899448942135</v>
      </c>
      <c r="H124" s="136">
        <f t="shared" ca="1" si="60"/>
        <v>154.62200000000001</v>
      </c>
      <c r="I124" s="136">
        <f t="shared" ca="1" si="61"/>
        <v>161.16200000000001</v>
      </c>
      <c r="J124" s="136">
        <f t="shared" ca="1" si="62"/>
        <v>6.539999999999992</v>
      </c>
      <c r="K124" s="499">
        <f t="shared" ca="1" si="63"/>
        <v>4.2296697753230399</v>
      </c>
    </row>
    <row r="125" spans="1:11">
      <c r="A125" s="220" t="s">
        <v>516</v>
      </c>
      <c r="B125" s="220" t="s">
        <v>525</v>
      </c>
      <c r="C125" s="136">
        <f t="shared" si="55"/>
        <v>1500</v>
      </c>
      <c r="D125" s="136">
        <f t="shared" si="56"/>
        <v>158.18799999999999</v>
      </c>
      <c r="E125" s="136">
        <f t="shared" ca="1" si="57"/>
        <v>165.73900000000003</v>
      </c>
      <c r="F125" s="136">
        <f t="shared" ca="1" si="58"/>
        <v>7.5510000000000446</v>
      </c>
      <c r="G125" s="499">
        <f t="shared" ca="1" si="59"/>
        <v>4.7734341416542625</v>
      </c>
      <c r="H125" s="136">
        <f t="shared" ca="1" si="60"/>
        <v>165.73900000000003</v>
      </c>
      <c r="I125" s="136">
        <f t="shared" ca="1" si="61"/>
        <v>172.12</v>
      </c>
      <c r="J125" s="136">
        <f t="shared" ca="1" si="62"/>
        <v>6.3809999999999718</v>
      </c>
      <c r="K125" s="499">
        <f t="shared" ca="1" si="63"/>
        <v>3.8500292628771566</v>
      </c>
    </row>
    <row r="126" spans="1:11">
      <c r="A126" s="220" t="s">
        <v>516</v>
      </c>
      <c r="B126" s="220" t="s">
        <v>525</v>
      </c>
      <c r="C126" s="136">
        <f t="shared" si="55"/>
        <v>1600</v>
      </c>
      <c r="D126" s="136">
        <f t="shared" si="56"/>
        <v>169.386</v>
      </c>
      <c r="E126" s="136">
        <f t="shared" ca="1" si="57"/>
        <v>176.85599999999999</v>
      </c>
      <c r="F126" s="136">
        <f t="shared" ca="1" si="58"/>
        <v>7.4699999999999989</v>
      </c>
      <c r="G126" s="499">
        <f t="shared" ca="1" si="59"/>
        <v>4.410045694449364</v>
      </c>
      <c r="H126" s="136">
        <f t="shared" ca="1" si="60"/>
        <v>176.85599999999999</v>
      </c>
      <c r="I126" s="136">
        <f t="shared" ca="1" si="61"/>
        <v>183.078</v>
      </c>
      <c r="J126" s="136">
        <f t="shared" ca="1" si="62"/>
        <v>6.2220000000000084</v>
      </c>
      <c r="K126" s="499">
        <f t="shared" ca="1" si="63"/>
        <v>3.5181164337087854</v>
      </c>
    </row>
    <row r="127" spans="1:11">
      <c r="A127" s="220" t="s">
        <v>516</v>
      </c>
      <c r="B127" s="220" t="s">
        <v>525</v>
      </c>
      <c r="C127" s="136">
        <f t="shared" si="55"/>
        <v>2000</v>
      </c>
      <c r="D127" s="136">
        <f t="shared" si="56"/>
        <v>214.178</v>
      </c>
      <c r="E127" s="136">
        <f t="shared" ca="1" si="57"/>
        <v>221.32400000000001</v>
      </c>
      <c r="F127" s="136">
        <f t="shared" ca="1" si="58"/>
        <v>7.146000000000015</v>
      </c>
      <c r="G127" s="499">
        <f t="shared" ca="1" si="59"/>
        <v>3.3364771358402892</v>
      </c>
      <c r="H127" s="136">
        <f t="shared" ca="1" si="60"/>
        <v>221.32400000000001</v>
      </c>
      <c r="I127" s="136">
        <f t="shared" ca="1" si="61"/>
        <v>226.91000000000003</v>
      </c>
      <c r="J127" s="136">
        <f t="shared" ca="1" si="62"/>
        <v>5.5860000000000127</v>
      </c>
      <c r="K127" s="499">
        <f t="shared" ca="1" si="63"/>
        <v>2.5239016103088741</v>
      </c>
    </row>
    <row r="128" spans="1:11">
      <c r="A128" s="329" t="s">
        <v>516</v>
      </c>
      <c r="B128" s="329" t="s">
        <v>525</v>
      </c>
      <c r="C128" s="137">
        <f t="shared" si="55"/>
        <v>2600</v>
      </c>
      <c r="D128" s="137">
        <f t="shared" si="56"/>
        <v>281.36599999999999</v>
      </c>
      <c r="E128" s="137">
        <f t="shared" ca="1" si="57"/>
        <v>288.02600000000001</v>
      </c>
      <c r="F128" s="137">
        <f t="shared" ca="1" si="58"/>
        <v>6.660000000000025</v>
      </c>
      <c r="G128" s="500">
        <f t="shared" ca="1" si="59"/>
        <v>2.3670237342109655</v>
      </c>
      <c r="H128" s="137">
        <f t="shared" ca="1" si="60"/>
        <v>288.02600000000001</v>
      </c>
      <c r="I128" s="137">
        <f t="shared" ca="1" si="61"/>
        <v>292.65800000000002</v>
      </c>
      <c r="J128" s="137">
        <f t="shared" ca="1" si="62"/>
        <v>4.632000000000005</v>
      </c>
      <c r="K128" s="500">
        <f t="shared" ca="1" si="63"/>
        <v>1.6081881496809332</v>
      </c>
    </row>
    <row r="129" spans="1:11">
      <c r="A129" s="393" t="s">
        <v>517</v>
      </c>
      <c r="B129" s="345"/>
      <c r="C129" s="345"/>
      <c r="D129" s="345"/>
      <c r="E129" s="8"/>
      <c r="F129" s="345"/>
      <c r="G129" s="510"/>
      <c r="H129" s="8"/>
      <c r="I129" s="8"/>
      <c r="J129" s="345"/>
      <c r="K129" s="513"/>
    </row>
    <row r="130" spans="1:11">
      <c r="A130" s="394" t="str">
        <f>"The average residential customer uses "&amp;TEXT(C$22,"#,###")&amp;" kilowatt hours per month"</f>
        <v>The average residential customer uses 1,200 kilowatt hours per month</v>
      </c>
      <c r="B130" s="138"/>
      <c r="C130" s="138"/>
      <c r="D130" s="138"/>
      <c r="E130"/>
      <c r="F130" s="138"/>
      <c r="G130" s="511"/>
      <c r="H130"/>
      <c r="I130"/>
      <c r="J130" s="138"/>
      <c r="K130" s="514"/>
    </row>
    <row r="131" spans="1:11">
      <c r="A131" s="384" t="s">
        <v>518</v>
      </c>
      <c r="B131"/>
      <c r="C131"/>
      <c r="D131"/>
      <c r="E131"/>
      <c r="F131" s="138"/>
      <c r="G131" s="511"/>
      <c r="H131"/>
      <c r="I131"/>
      <c r="J131" s="138"/>
      <c r="K131" s="514"/>
    </row>
    <row r="132" spans="1:11">
      <c r="A132" s="330" t="s">
        <v>523</v>
      </c>
      <c r="B132" s="346"/>
      <c r="C132" s="346"/>
      <c r="D132" s="346"/>
      <c r="E132" s="395"/>
      <c r="F132" s="346"/>
      <c r="G132" s="512"/>
      <c r="H132" s="395"/>
      <c r="I132" s="395"/>
      <c r="J132" s="346"/>
      <c r="K132" s="515"/>
    </row>
    <row r="133" spans="1:11">
      <c r="A133" s="342" t="s">
        <v>516</v>
      </c>
      <c r="B133" s="342" t="s">
        <v>526</v>
      </c>
      <c r="C133" s="260">
        <f t="shared" ref="C133:C153" si="64">C33</f>
        <v>0</v>
      </c>
      <c r="D133" s="260">
        <f t="shared" ref="D133:D153" si="65">Q$19+IF(C133&lt;=600,C133*Q$23,600*Q$23+(C133-600)*Q$24)</f>
        <v>7.75</v>
      </c>
      <c r="E133" s="260">
        <f t="shared" ref="E133:E153" ca="1" si="66">Q$36+IF(C133&lt;=600,C133*Y$41,600*Y$41+(C133-600)*Y$43)</f>
        <v>7.75</v>
      </c>
      <c r="F133" s="260">
        <f t="shared" ref="F133:F152" ca="1" si="67">E133-D133</f>
        <v>0</v>
      </c>
      <c r="G133" s="504">
        <f t="shared" ref="G133:G152" ca="1" si="68">F133/D133*100</f>
        <v>0</v>
      </c>
      <c r="H133" s="260">
        <f t="shared" ref="H133:H153" ca="1" si="69">E133</f>
        <v>7.75</v>
      </c>
      <c r="I133" s="260">
        <f t="shared" ref="I133:I153" ca="1" si="70">Q$60+IF(C133&lt;=600,C133*Y$65,600*Y$65+(C133-600)*Y$67)</f>
        <v>7.75</v>
      </c>
      <c r="J133" s="260">
        <f t="shared" ref="J133:J152" ca="1" si="71">I133-H133</f>
        <v>0</v>
      </c>
      <c r="K133" s="504">
        <f t="shared" ref="K133:K152" ca="1" si="72">J133/H133*100</f>
        <v>0</v>
      </c>
    </row>
    <row r="134" spans="1:11">
      <c r="A134" s="220" t="s">
        <v>516</v>
      </c>
      <c r="B134" s="220" t="s">
        <v>526</v>
      </c>
      <c r="C134" s="136">
        <f t="shared" si="64"/>
        <v>50</v>
      </c>
      <c r="D134" s="136">
        <f t="shared" si="65"/>
        <v>11.888</v>
      </c>
      <c r="E134" s="136">
        <f t="shared" ca="1" si="66"/>
        <v>12.717335456386298</v>
      </c>
      <c r="F134" s="136">
        <f t="shared" ca="1" si="67"/>
        <v>0.82933545638629802</v>
      </c>
      <c r="G134" s="499">
        <f t="shared" ca="1" si="68"/>
        <v>6.9762403801000854</v>
      </c>
      <c r="H134" s="136">
        <f t="shared" ca="1" si="69"/>
        <v>12.717335456386298</v>
      </c>
      <c r="I134" s="136">
        <f t="shared" ca="1" si="70"/>
        <v>13.507752235736888</v>
      </c>
      <c r="J134" s="136">
        <f t="shared" ca="1" si="71"/>
        <v>0.79041677935058985</v>
      </c>
      <c r="K134" s="499">
        <f t="shared" ca="1" si="72"/>
        <v>6.2152703454375278</v>
      </c>
    </row>
    <row r="135" spans="1:11">
      <c r="A135" s="220" t="s">
        <v>516</v>
      </c>
      <c r="B135" s="220" t="s">
        <v>526</v>
      </c>
      <c r="C135" s="136">
        <f t="shared" si="64"/>
        <v>100</v>
      </c>
      <c r="D135" s="136">
        <f t="shared" si="65"/>
        <v>16.026</v>
      </c>
      <c r="E135" s="136">
        <f t="shared" ca="1" si="66"/>
        <v>17.684670912772596</v>
      </c>
      <c r="F135" s="136">
        <f t="shared" ca="1" si="67"/>
        <v>1.658670912772596</v>
      </c>
      <c r="G135" s="499">
        <f t="shared" ca="1" si="68"/>
        <v>10.349874658508648</v>
      </c>
      <c r="H135" s="136">
        <f t="shared" ca="1" si="69"/>
        <v>17.684670912772596</v>
      </c>
      <c r="I135" s="136">
        <f t="shared" ca="1" si="70"/>
        <v>19.265504471473776</v>
      </c>
      <c r="J135" s="136">
        <f t="shared" ca="1" si="71"/>
        <v>1.5808335587011797</v>
      </c>
      <c r="K135" s="499">
        <f t="shared" ca="1" si="72"/>
        <v>8.9390046696285239</v>
      </c>
    </row>
    <row r="136" spans="1:11">
      <c r="A136" s="220" t="s">
        <v>516</v>
      </c>
      <c r="B136" s="220" t="s">
        <v>526</v>
      </c>
      <c r="C136" s="136">
        <f t="shared" si="64"/>
        <v>150</v>
      </c>
      <c r="D136" s="136">
        <f t="shared" si="65"/>
        <v>20.164000000000001</v>
      </c>
      <c r="E136" s="136">
        <f t="shared" ca="1" si="66"/>
        <v>22.65200636915889</v>
      </c>
      <c r="F136" s="136">
        <f t="shared" ca="1" si="67"/>
        <v>2.4880063691588887</v>
      </c>
      <c r="G136" s="499">
        <f t="shared" ca="1" si="68"/>
        <v>12.338853249151402</v>
      </c>
      <c r="H136" s="136">
        <f t="shared" ca="1" si="69"/>
        <v>22.65200636915889</v>
      </c>
      <c r="I136" s="136">
        <f t="shared" ca="1" si="70"/>
        <v>25.023256707210663</v>
      </c>
      <c r="J136" s="136">
        <f t="shared" ca="1" si="71"/>
        <v>2.3712503380517731</v>
      </c>
      <c r="K136" s="499">
        <f t="shared" ca="1" si="72"/>
        <v>10.468169129955184</v>
      </c>
    </row>
    <row r="137" spans="1:11">
      <c r="A137" s="220" t="s">
        <v>516</v>
      </c>
      <c r="B137" s="220" t="s">
        <v>526</v>
      </c>
      <c r="C137" s="136">
        <f t="shared" si="64"/>
        <v>200</v>
      </c>
      <c r="D137" s="136">
        <f t="shared" si="65"/>
        <v>24.302</v>
      </c>
      <c r="E137" s="136">
        <f t="shared" ca="1" si="66"/>
        <v>27.619341825545188</v>
      </c>
      <c r="F137" s="136">
        <f t="shared" ca="1" si="67"/>
        <v>3.3173418255451885</v>
      </c>
      <c r="G137" s="499">
        <f t="shared" ca="1" si="68"/>
        <v>13.650488953770012</v>
      </c>
      <c r="H137" s="136">
        <f t="shared" ca="1" si="69"/>
        <v>27.619341825545188</v>
      </c>
      <c r="I137" s="136">
        <f t="shared" ca="1" si="70"/>
        <v>30.781008942947551</v>
      </c>
      <c r="J137" s="136">
        <f t="shared" ca="1" si="71"/>
        <v>3.1616671174023629</v>
      </c>
      <c r="K137" s="499">
        <f t="shared" ca="1" si="72"/>
        <v>11.447293485024797</v>
      </c>
    </row>
    <row r="138" spans="1:11">
      <c r="A138" s="220" t="s">
        <v>516</v>
      </c>
      <c r="B138" s="220" t="s">
        <v>526</v>
      </c>
      <c r="C138" s="136">
        <f t="shared" si="64"/>
        <v>300</v>
      </c>
      <c r="D138" s="136">
        <f t="shared" si="65"/>
        <v>32.578000000000003</v>
      </c>
      <c r="E138" s="136">
        <f t="shared" ca="1" si="66"/>
        <v>37.55401273831778</v>
      </c>
      <c r="F138" s="136">
        <f t="shared" ca="1" si="67"/>
        <v>4.9760127383177775</v>
      </c>
      <c r="G138" s="499">
        <f t="shared" ca="1" si="68"/>
        <v>15.274150464478412</v>
      </c>
      <c r="H138" s="136">
        <f t="shared" ca="1" si="69"/>
        <v>37.55401273831778</v>
      </c>
      <c r="I138" s="136">
        <f t="shared" ca="1" si="70"/>
        <v>42.296513414421327</v>
      </c>
      <c r="J138" s="136">
        <f t="shared" ca="1" si="71"/>
        <v>4.7425006761035462</v>
      </c>
      <c r="K138" s="499">
        <f t="shared" ca="1" si="72"/>
        <v>12.628479169856044</v>
      </c>
    </row>
    <row r="139" spans="1:11">
      <c r="A139" s="220" t="s">
        <v>516</v>
      </c>
      <c r="B139" s="220" t="s">
        <v>526</v>
      </c>
      <c r="C139" s="136">
        <f t="shared" si="64"/>
        <v>400</v>
      </c>
      <c r="D139" s="136">
        <f t="shared" si="65"/>
        <v>40.853999999999999</v>
      </c>
      <c r="E139" s="136">
        <f t="shared" ca="1" si="66"/>
        <v>47.488683651090376</v>
      </c>
      <c r="F139" s="136">
        <f t="shared" ca="1" si="67"/>
        <v>6.6346836510903771</v>
      </c>
      <c r="G139" s="499">
        <f t="shared" ca="1" si="68"/>
        <v>16.239985438611583</v>
      </c>
      <c r="H139" s="136">
        <f t="shared" ca="1" si="69"/>
        <v>47.488683651090376</v>
      </c>
      <c r="I139" s="136">
        <f t="shared" ca="1" si="70"/>
        <v>53.812017885895102</v>
      </c>
      <c r="J139" s="136">
        <f t="shared" ca="1" si="71"/>
        <v>6.3233342348047259</v>
      </c>
      <c r="K139" s="499">
        <f t="shared" ca="1" si="72"/>
        <v>13.315454859232631</v>
      </c>
    </row>
    <row r="140" spans="1:11">
      <c r="A140" s="329" t="s">
        <v>516</v>
      </c>
      <c r="B140" s="329" t="s">
        <v>526</v>
      </c>
      <c r="C140" s="137">
        <f t="shared" si="64"/>
        <v>500</v>
      </c>
      <c r="D140" s="137">
        <f t="shared" si="65"/>
        <v>49.13</v>
      </c>
      <c r="E140" s="137">
        <f t="shared" ca="1" si="66"/>
        <v>57.423354563862972</v>
      </c>
      <c r="F140" s="137">
        <f t="shared" ca="1" si="67"/>
        <v>8.2933545638629695</v>
      </c>
      <c r="G140" s="500">
        <f t="shared" ca="1" si="68"/>
        <v>16.880428585106795</v>
      </c>
      <c r="H140" s="137">
        <f t="shared" ca="1" si="69"/>
        <v>57.423354563862972</v>
      </c>
      <c r="I140" s="137">
        <f t="shared" ca="1" si="70"/>
        <v>65.327522357368878</v>
      </c>
      <c r="J140" s="137">
        <f t="shared" ca="1" si="71"/>
        <v>7.9041677935059056</v>
      </c>
      <c r="K140" s="500">
        <f t="shared" ca="1" si="72"/>
        <v>13.764726657888545</v>
      </c>
    </row>
    <row r="141" spans="1:11">
      <c r="A141" s="220" t="s">
        <v>516</v>
      </c>
      <c r="B141" s="220" t="s">
        <v>526</v>
      </c>
      <c r="C141" s="136">
        <f t="shared" si="64"/>
        <v>600</v>
      </c>
      <c r="D141" s="136">
        <f t="shared" si="65"/>
        <v>57.405999999999999</v>
      </c>
      <c r="E141" s="136">
        <f t="shared" ca="1" si="66"/>
        <v>67.358025476635561</v>
      </c>
      <c r="F141" s="136">
        <f t="shared" ca="1" si="67"/>
        <v>9.952025476635562</v>
      </c>
      <c r="G141" s="499">
        <f t="shared" ca="1" si="68"/>
        <v>17.336211330933285</v>
      </c>
      <c r="H141" s="136">
        <f t="shared" ca="1" si="69"/>
        <v>67.358025476635561</v>
      </c>
      <c r="I141" s="136">
        <f t="shared" ca="1" si="70"/>
        <v>76.843026828842653</v>
      </c>
      <c r="J141" s="136">
        <f t="shared" ca="1" si="71"/>
        <v>9.4850013522070924</v>
      </c>
      <c r="K141" s="499">
        <f t="shared" ca="1" si="72"/>
        <v>14.081471784675678</v>
      </c>
    </row>
    <row r="142" spans="1:11">
      <c r="A142" s="220" t="s">
        <v>516</v>
      </c>
      <c r="B142" s="220" t="s">
        <v>526</v>
      </c>
      <c r="C142" s="136">
        <f t="shared" si="64"/>
        <v>700</v>
      </c>
      <c r="D142" s="136">
        <f t="shared" si="65"/>
        <v>68.603999999999999</v>
      </c>
      <c r="E142" s="136">
        <f t="shared" ca="1" si="66"/>
        <v>78.753696389408162</v>
      </c>
      <c r="F142" s="136">
        <f t="shared" ca="1" si="67"/>
        <v>10.149696389408163</v>
      </c>
      <c r="G142" s="499">
        <f t="shared" ca="1" si="68"/>
        <v>14.794613126651745</v>
      </c>
      <c r="H142" s="136">
        <f t="shared" ca="1" si="69"/>
        <v>78.753696389408162</v>
      </c>
      <c r="I142" s="136">
        <f t="shared" ca="1" si="70"/>
        <v>88.358531300316429</v>
      </c>
      <c r="J142" s="136">
        <f t="shared" ca="1" si="71"/>
        <v>9.6048349109082665</v>
      </c>
      <c r="K142" s="499">
        <f t="shared" ca="1" si="72"/>
        <v>12.196043298610238</v>
      </c>
    </row>
    <row r="143" spans="1:11">
      <c r="A143" s="220" t="s">
        <v>516</v>
      </c>
      <c r="B143" s="220" t="s">
        <v>526</v>
      </c>
      <c r="C143" s="136">
        <f t="shared" si="64"/>
        <v>800</v>
      </c>
      <c r="D143" s="136">
        <f t="shared" si="65"/>
        <v>79.801999999999992</v>
      </c>
      <c r="E143" s="136">
        <f t="shared" ca="1" si="66"/>
        <v>90.149367302180764</v>
      </c>
      <c r="F143" s="136">
        <f t="shared" ca="1" si="67"/>
        <v>10.347367302180771</v>
      </c>
      <c r="G143" s="499">
        <f t="shared" ca="1" si="68"/>
        <v>12.966300722012946</v>
      </c>
      <c r="H143" s="136">
        <f t="shared" ca="1" si="69"/>
        <v>90.149367302180764</v>
      </c>
      <c r="I143" s="136">
        <f t="shared" ca="1" si="70"/>
        <v>99.874035771790204</v>
      </c>
      <c r="J143" s="136">
        <f t="shared" ca="1" si="71"/>
        <v>9.7246684696094405</v>
      </c>
      <c r="K143" s="499">
        <f t="shared" ca="1" si="72"/>
        <v>10.787284215775294</v>
      </c>
    </row>
    <row r="144" spans="1:11">
      <c r="A144" s="220" t="s">
        <v>516</v>
      </c>
      <c r="B144" s="220" t="s">
        <v>526</v>
      </c>
      <c r="C144" s="136">
        <f t="shared" si="64"/>
        <v>900</v>
      </c>
      <c r="D144" s="136">
        <f t="shared" si="65"/>
        <v>91</v>
      </c>
      <c r="E144" s="136">
        <f t="shared" ca="1" si="66"/>
        <v>101.54503821495335</v>
      </c>
      <c r="F144" s="136">
        <f t="shared" ca="1" si="67"/>
        <v>10.545038214953351</v>
      </c>
      <c r="G144" s="499">
        <f t="shared" ca="1" si="68"/>
        <v>11.58795408236632</v>
      </c>
      <c r="H144" s="136">
        <f t="shared" ca="1" si="69"/>
        <v>101.54503821495335</v>
      </c>
      <c r="I144" s="136">
        <f t="shared" ca="1" si="70"/>
        <v>111.38954024326398</v>
      </c>
      <c r="J144" s="136">
        <f t="shared" ca="1" si="71"/>
        <v>9.8445020283106288</v>
      </c>
      <c r="K144" s="499">
        <f t="shared" ca="1" si="72"/>
        <v>9.6947149770838763</v>
      </c>
    </row>
    <row r="145" spans="1:11">
      <c r="A145" s="220" t="s">
        <v>516</v>
      </c>
      <c r="B145" s="220" t="s">
        <v>526</v>
      </c>
      <c r="C145" s="136">
        <f t="shared" si="64"/>
        <v>1000</v>
      </c>
      <c r="D145" s="136">
        <f t="shared" si="65"/>
        <v>102.19800000000001</v>
      </c>
      <c r="E145" s="136">
        <f t="shared" ca="1" si="66"/>
        <v>112.94070912772594</v>
      </c>
      <c r="F145" s="136">
        <f t="shared" ca="1" si="67"/>
        <v>10.742709127725931</v>
      </c>
      <c r="G145" s="499">
        <f t="shared" ca="1" si="68"/>
        <v>10.511662779825368</v>
      </c>
      <c r="H145" s="136">
        <f t="shared" ca="1" si="69"/>
        <v>112.94070912772594</v>
      </c>
      <c r="I145" s="136">
        <f t="shared" ca="1" si="70"/>
        <v>122.90504471473776</v>
      </c>
      <c r="J145" s="136">
        <f t="shared" ca="1" si="71"/>
        <v>9.9643355870118171</v>
      </c>
      <c r="K145" s="499">
        <f t="shared" ca="1" si="72"/>
        <v>8.8226253084200454</v>
      </c>
    </row>
    <row r="146" spans="1:11">
      <c r="A146" s="220" t="s">
        <v>516</v>
      </c>
      <c r="B146" s="220" t="s">
        <v>526</v>
      </c>
      <c r="C146" s="136">
        <f t="shared" si="64"/>
        <v>1100</v>
      </c>
      <c r="D146" s="136">
        <f t="shared" si="65"/>
        <v>113.39599999999999</v>
      </c>
      <c r="E146" s="136">
        <f t="shared" ca="1" si="66"/>
        <v>124.33638004049854</v>
      </c>
      <c r="F146" s="136">
        <f t="shared" ca="1" si="67"/>
        <v>10.940380040498553</v>
      </c>
      <c r="G146" s="499">
        <f t="shared" ca="1" si="68"/>
        <v>9.6479417620538239</v>
      </c>
      <c r="H146" s="136">
        <f t="shared" ca="1" si="69"/>
        <v>124.33638004049854</v>
      </c>
      <c r="I146" s="136">
        <f t="shared" ca="1" si="70"/>
        <v>134.42054918621153</v>
      </c>
      <c r="J146" s="136">
        <f t="shared" ca="1" si="71"/>
        <v>10.084169145712991</v>
      </c>
      <c r="K146" s="499">
        <f t="shared" ca="1" si="72"/>
        <v>8.1103930663160693</v>
      </c>
    </row>
    <row r="147" spans="1:11">
      <c r="A147" s="328" t="s">
        <v>516</v>
      </c>
      <c r="B147" s="328" t="s">
        <v>526</v>
      </c>
      <c r="C147" s="332">
        <f t="shared" si="64"/>
        <v>1200</v>
      </c>
      <c r="D147" s="332">
        <f t="shared" si="65"/>
        <v>124.59399999999999</v>
      </c>
      <c r="E147" s="332">
        <f t="shared" ca="1" si="66"/>
        <v>135.73205095327114</v>
      </c>
      <c r="F147" s="332">
        <f t="shared" ca="1" si="67"/>
        <v>11.138050953271147</v>
      </c>
      <c r="G147" s="501">
        <f t="shared" ca="1" si="68"/>
        <v>8.9394761812536299</v>
      </c>
      <c r="H147" s="332">
        <f t="shared" ca="1" si="69"/>
        <v>135.73205095327114</v>
      </c>
      <c r="I147" s="332">
        <f t="shared" ca="1" si="70"/>
        <v>145.93605365768531</v>
      </c>
      <c r="J147" s="332">
        <f t="shared" ca="1" si="71"/>
        <v>10.204002704414165</v>
      </c>
      <c r="K147" s="501">
        <f t="shared" ca="1" si="72"/>
        <v>7.5177547474966886</v>
      </c>
    </row>
    <row r="148" spans="1:11">
      <c r="A148" s="220" t="s">
        <v>516</v>
      </c>
      <c r="B148" s="220" t="s">
        <v>526</v>
      </c>
      <c r="C148" s="136">
        <f t="shared" si="64"/>
        <v>1300</v>
      </c>
      <c r="D148" s="136">
        <f t="shared" si="65"/>
        <v>135.792</v>
      </c>
      <c r="E148" s="136">
        <f t="shared" ca="1" si="66"/>
        <v>147.12772186604374</v>
      </c>
      <c r="F148" s="136">
        <f t="shared" ca="1" si="67"/>
        <v>11.335721866043741</v>
      </c>
      <c r="G148" s="499">
        <f t="shared" ca="1" si="68"/>
        <v>8.3478569179655207</v>
      </c>
      <c r="H148" s="136">
        <f t="shared" ca="1" si="69"/>
        <v>147.12772186604374</v>
      </c>
      <c r="I148" s="136">
        <f t="shared" ca="1" si="70"/>
        <v>157.45155812915908</v>
      </c>
      <c r="J148" s="136">
        <f t="shared" ca="1" si="71"/>
        <v>10.323836263115339</v>
      </c>
      <c r="K148" s="499">
        <f t="shared" ca="1" si="72"/>
        <v>7.0169211703793959</v>
      </c>
    </row>
    <row r="149" spans="1:11">
      <c r="A149" s="220" t="s">
        <v>516</v>
      </c>
      <c r="B149" s="220" t="s">
        <v>526</v>
      </c>
      <c r="C149" s="136">
        <f t="shared" si="64"/>
        <v>1400</v>
      </c>
      <c r="D149" s="136">
        <f t="shared" si="65"/>
        <v>146.99</v>
      </c>
      <c r="E149" s="136">
        <f t="shared" ca="1" si="66"/>
        <v>158.52339277881632</v>
      </c>
      <c r="F149" s="136">
        <f t="shared" ca="1" si="67"/>
        <v>11.533392778816307</v>
      </c>
      <c r="G149" s="499">
        <f t="shared" ca="1" si="68"/>
        <v>7.8463791950583754</v>
      </c>
      <c r="H149" s="136">
        <f t="shared" ca="1" si="69"/>
        <v>158.52339277881632</v>
      </c>
      <c r="I149" s="136">
        <f t="shared" ca="1" si="70"/>
        <v>168.96706260063286</v>
      </c>
      <c r="J149" s="136">
        <f t="shared" ca="1" si="71"/>
        <v>10.443669821816542</v>
      </c>
      <c r="K149" s="499">
        <f t="shared" ca="1" si="72"/>
        <v>6.5880938066903036</v>
      </c>
    </row>
    <row r="150" spans="1:11">
      <c r="A150" s="220" t="s">
        <v>516</v>
      </c>
      <c r="B150" s="220" t="s">
        <v>526</v>
      </c>
      <c r="C150" s="136">
        <f t="shared" si="64"/>
        <v>1500</v>
      </c>
      <c r="D150" s="136">
        <f t="shared" si="65"/>
        <v>158.18799999999999</v>
      </c>
      <c r="E150" s="136">
        <f t="shared" ca="1" si="66"/>
        <v>169.91906369158892</v>
      </c>
      <c r="F150" s="136">
        <f t="shared" ca="1" si="67"/>
        <v>11.731063691588929</v>
      </c>
      <c r="G150" s="499">
        <f t="shared" ca="1" si="68"/>
        <v>7.4158998733082973</v>
      </c>
      <c r="H150" s="136">
        <f t="shared" ca="1" si="69"/>
        <v>169.91906369158892</v>
      </c>
      <c r="I150" s="136">
        <f t="shared" ca="1" si="70"/>
        <v>180.48256707210663</v>
      </c>
      <c r="J150" s="136">
        <f t="shared" ca="1" si="71"/>
        <v>10.563503380517716</v>
      </c>
      <c r="K150" s="499">
        <f t="shared" ca="1" si="72"/>
        <v>6.2167853041439605</v>
      </c>
    </row>
    <row r="151" spans="1:11">
      <c r="A151" s="220" t="s">
        <v>516</v>
      </c>
      <c r="B151" s="220" t="s">
        <v>526</v>
      </c>
      <c r="C151" s="136">
        <f t="shared" si="64"/>
        <v>1600</v>
      </c>
      <c r="D151" s="136">
        <f t="shared" si="65"/>
        <v>169.386</v>
      </c>
      <c r="E151" s="136">
        <f t="shared" ca="1" si="66"/>
        <v>181.31473460436152</v>
      </c>
      <c r="F151" s="136">
        <f t="shared" ca="1" si="67"/>
        <v>11.928734604361523</v>
      </c>
      <c r="G151" s="499">
        <f t="shared" ca="1" si="68"/>
        <v>7.0423379761972802</v>
      </c>
      <c r="H151" s="136">
        <f t="shared" ca="1" si="69"/>
        <v>181.31473460436152</v>
      </c>
      <c r="I151" s="136">
        <f t="shared" ca="1" si="70"/>
        <v>191.99807154358041</v>
      </c>
      <c r="J151" s="136">
        <f t="shared" ca="1" si="71"/>
        <v>10.68333693921889</v>
      </c>
      <c r="K151" s="499">
        <f t="shared" ca="1" si="72"/>
        <v>5.8921504435535832</v>
      </c>
    </row>
    <row r="152" spans="1:11">
      <c r="A152" s="220" t="s">
        <v>516</v>
      </c>
      <c r="B152" s="220" t="s">
        <v>526</v>
      </c>
      <c r="C152" s="136">
        <f t="shared" si="64"/>
        <v>2000</v>
      </c>
      <c r="D152" s="136">
        <f t="shared" si="65"/>
        <v>214.178</v>
      </c>
      <c r="E152" s="136">
        <f t="shared" ca="1" si="66"/>
        <v>226.8974182554519</v>
      </c>
      <c r="F152" s="136">
        <f t="shared" ca="1" si="67"/>
        <v>12.719418255451899</v>
      </c>
      <c r="G152" s="499">
        <f t="shared" ca="1" si="68"/>
        <v>5.9387137126371048</v>
      </c>
      <c r="H152" s="136">
        <f t="shared" ca="1" si="69"/>
        <v>226.8974182554519</v>
      </c>
      <c r="I152" s="136">
        <f t="shared" ca="1" si="70"/>
        <v>238.06008942947551</v>
      </c>
      <c r="J152" s="136">
        <f t="shared" ca="1" si="71"/>
        <v>11.162671174023615</v>
      </c>
      <c r="K152" s="499">
        <f t="shared" ca="1" si="72"/>
        <v>4.9196995099592318</v>
      </c>
    </row>
    <row r="153" spans="1:11">
      <c r="A153" s="329" t="s">
        <v>516</v>
      </c>
      <c r="B153" s="329" t="s">
        <v>526</v>
      </c>
      <c r="C153" s="137">
        <f t="shared" si="64"/>
        <v>2600</v>
      </c>
      <c r="D153" s="137">
        <f t="shared" si="65"/>
        <v>281.36599999999999</v>
      </c>
      <c r="E153" s="137">
        <f t="shared" ca="1" si="66"/>
        <v>295.27144373208745</v>
      </c>
      <c r="F153" s="137">
        <f t="shared" ref="F153" ca="1" si="73">E153-D153</f>
        <v>13.905443732087463</v>
      </c>
      <c r="G153" s="500">
        <f t="shared" ref="G153" ca="1" si="74">F153/D153*100</f>
        <v>4.9421194217096103</v>
      </c>
      <c r="H153" s="137">
        <f t="shared" ca="1" si="69"/>
        <v>295.27144373208745</v>
      </c>
      <c r="I153" s="137">
        <f t="shared" ca="1" si="70"/>
        <v>307.15311625831816</v>
      </c>
      <c r="J153" s="137">
        <f t="shared" ref="J153" ca="1" si="75">I153-H153</f>
        <v>11.881672526230716</v>
      </c>
      <c r="K153" s="500">
        <f t="shared" ref="K153" ca="1" si="76">J153/H153*100</f>
        <v>4.023982941273343</v>
      </c>
    </row>
    <row r="154" spans="1:11">
      <c r="A154" s="393" t="s">
        <v>517</v>
      </c>
      <c r="B154" s="345"/>
      <c r="C154" s="345"/>
      <c r="D154" s="345"/>
      <c r="E154" s="8"/>
      <c r="F154" s="345"/>
      <c r="G154" s="345"/>
      <c r="H154" s="8"/>
      <c r="I154" s="8"/>
      <c r="J154" s="345"/>
      <c r="K154" s="312"/>
    </row>
    <row r="155" spans="1:11">
      <c r="A155" s="394" t="str">
        <f>"The average residential customer uses "&amp;TEXT(C$22,"#,###")&amp;" kilowatt hours per month"</f>
        <v>The average residential customer uses 1,200 kilowatt hours per month</v>
      </c>
      <c r="B155" s="138"/>
      <c r="C155" s="138"/>
      <c r="D155" s="138"/>
      <c r="E155"/>
      <c r="F155" s="138"/>
      <c r="G155" s="138"/>
      <c r="H155"/>
      <c r="I155"/>
      <c r="J155" s="138"/>
      <c r="K155" s="267"/>
    </row>
    <row r="156" spans="1:11">
      <c r="A156" s="384" t="s">
        <v>518</v>
      </c>
      <c r="B156"/>
      <c r="C156"/>
      <c r="D156"/>
      <c r="E156"/>
      <c r="F156" s="138"/>
      <c r="G156" s="138"/>
      <c r="H156"/>
      <c r="I156"/>
      <c r="J156" s="138"/>
      <c r="K156" s="267"/>
    </row>
    <row r="157" spans="1:11">
      <c r="A157" s="330" t="s">
        <v>523</v>
      </c>
      <c r="B157" s="346"/>
      <c r="C157" s="346"/>
      <c r="D157" s="346"/>
      <c r="E157" s="395"/>
      <c r="F157" s="346"/>
      <c r="G157" s="346"/>
      <c r="H157" s="395"/>
      <c r="I157" s="395"/>
      <c r="J157" s="346"/>
      <c r="K157" s="313"/>
    </row>
  </sheetData>
  <phoneticPr fontId="46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1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7.6640625" bestFit="1" customWidth="1"/>
    <col min="2" max="2" width="11.6640625" bestFit="1" customWidth="1"/>
    <col min="3" max="4" width="6.6640625" style="135" bestFit="1" customWidth="1"/>
    <col min="5" max="5" width="8.5" style="135" bestFit="1" customWidth="1"/>
    <col min="6" max="13" width="10.1640625" style="135" customWidth="1"/>
    <col min="14" max="14" width="46.1640625" style="152" bestFit="1" customWidth="1"/>
    <col min="15" max="15" width="7.1640625" style="152" bestFit="1" customWidth="1"/>
    <col min="16" max="16" width="12.6640625" style="152" bestFit="1" customWidth="1"/>
    <col min="17" max="17" width="7.6640625" style="152" bestFit="1" customWidth="1"/>
    <col min="18" max="18" width="41" style="152" bestFit="1" customWidth="1"/>
    <col min="19" max="19" width="13.33203125" style="153" customWidth="1"/>
    <col min="20" max="20" width="16.5" style="76" customWidth="1"/>
    <col min="21" max="21" width="16.5" style="153" customWidth="1"/>
    <col min="22" max="32" width="16.5" customWidth="1"/>
  </cols>
  <sheetData>
    <row r="1" spans="1:22">
      <c r="A1" s="375" t="s">
        <v>229</v>
      </c>
      <c r="B1" s="400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34"/>
    </row>
    <row r="2" spans="1:22">
      <c r="A2" s="378" t="s">
        <v>411</v>
      </c>
      <c r="B2" s="32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92"/>
    </row>
    <row r="3" spans="1:22">
      <c r="A3" s="378" t="s">
        <v>508</v>
      </c>
      <c r="B3" s="324"/>
      <c r="C3" s="335"/>
      <c r="D3" s="335"/>
      <c r="E3" s="335"/>
      <c r="F3" s="380"/>
      <c r="G3" s="380"/>
      <c r="H3" s="380"/>
      <c r="I3" s="380"/>
      <c r="J3" s="380"/>
      <c r="K3" s="380"/>
      <c r="L3" s="380"/>
      <c r="M3" s="390"/>
    </row>
    <row r="4" spans="1:22" s="259" customFormat="1">
      <c r="A4" s="595"/>
      <c r="B4" s="595"/>
      <c r="C4" s="595"/>
      <c r="D4" s="595"/>
      <c r="E4" s="595"/>
      <c r="F4" s="503" t="s">
        <v>622</v>
      </c>
      <c r="G4" s="503"/>
      <c r="H4" s="503"/>
      <c r="I4" s="503"/>
      <c r="J4" s="503"/>
      <c r="K4" s="503"/>
      <c r="L4" s="503"/>
      <c r="M4" s="629"/>
      <c r="N4" s="253" t="s">
        <v>229</v>
      </c>
      <c r="O4" s="308"/>
      <c r="P4" s="308"/>
      <c r="Q4" s="308"/>
      <c r="R4" s="308"/>
      <c r="S4" s="309"/>
      <c r="T4" s="325"/>
      <c r="U4" s="307"/>
    </row>
    <row r="5" spans="1:22" s="259" customFormat="1">
      <c r="A5" s="283"/>
      <c r="B5" s="283"/>
      <c r="C5" s="418" t="s">
        <v>490</v>
      </c>
      <c r="D5" s="418" t="s">
        <v>6</v>
      </c>
      <c r="E5" s="419"/>
      <c r="F5" s="377" t="s">
        <v>501</v>
      </c>
      <c r="G5" s="377"/>
      <c r="H5" s="333"/>
      <c r="I5" s="300"/>
      <c r="J5" s="338" t="s">
        <v>503</v>
      </c>
      <c r="K5" s="377"/>
      <c r="L5" s="333"/>
      <c r="M5" s="300"/>
      <c r="N5" s="265" t="s">
        <v>411</v>
      </c>
      <c r="O5" s="307"/>
      <c r="P5" s="307"/>
      <c r="Q5" s="307"/>
      <c r="R5" s="307"/>
      <c r="S5" s="310"/>
      <c r="T5" s="325"/>
      <c r="U5" s="307"/>
    </row>
    <row r="6" spans="1:22">
      <c r="A6" s="136"/>
      <c r="B6" s="136"/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311" t="s">
        <v>407</v>
      </c>
      <c r="O6" s="250"/>
      <c r="P6" s="250"/>
      <c r="Q6" s="250"/>
      <c r="R6" s="250"/>
      <c r="S6" s="252"/>
      <c r="U6" s="324"/>
    </row>
    <row r="7" spans="1:22">
      <c r="A7" s="329" t="s">
        <v>193</v>
      </c>
      <c r="B7" s="329" t="s">
        <v>513</v>
      </c>
      <c r="C7" s="420" t="s">
        <v>202</v>
      </c>
      <c r="D7" s="420" t="s">
        <v>202</v>
      </c>
      <c r="E7" s="420" t="s">
        <v>6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193</v>
      </c>
      <c r="R7" s="227" t="s">
        <v>401</v>
      </c>
      <c r="S7" s="228" t="s">
        <v>206</v>
      </c>
    </row>
    <row r="8" spans="1:22">
      <c r="A8" s="220" t="s">
        <v>199</v>
      </c>
      <c r="B8" s="220" t="s">
        <v>524</v>
      </c>
      <c r="C8" s="319">
        <v>15</v>
      </c>
      <c r="D8" s="136">
        <v>300</v>
      </c>
      <c r="E8" s="136">
        <f>C8*D8</f>
        <v>4500</v>
      </c>
      <c r="F8" s="136">
        <f t="shared" ref="F8:F22" si="0">SUMIFS(S$52:S$55,Q$52:Q$55,A8,R$52:R$55,"Bill")+(S$56+S$58)*C8+S$59*1000+IF(E8&lt;=9000,S$60*(E8-1000),S$60*8000+S$61*(E8-9000))</f>
        <v>495.005</v>
      </c>
      <c r="G8" s="136">
        <f t="shared" ref="G8:G22" ca="1" si="1">SUMIFS(S$115:S$118,Q$115:Q$118,A8,R$115:R$118,"Bill")+(S$119+S$121)*C8+IF(B8="Summer",S$122,IF(B8="Winter",S$123,AF$123))*1000+IF(B8="Summer",S$124,IF(B8="Winter",S$125,AF$125))*(E8-1000)</f>
        <v>517.77500000000009</v>
      </c>
      <c r="H8" s="136">
        <f t="shared" ref="H8:H22" ca="1" si="2">G8-F8</f>
        <v>22.770000000000095</v>
      </c>
      <c r="I8" s="499">
        <f t="shared" ref="I8:I22" ca="1" si="3">H8/F8*100</f>
        <v>4.5999535358228902</v>
      </c>
      <c r="J8" s="136">
        <f ca="1">G8</f>
        <v>517.77500000000009</v>
      </c>
      <c r="K8" s="136">
        <f t="shared" ref="K8:K22" ca="1" si="4">SUMIFS(S$192:S$195,Q$192:Q$195,A8,R$192:R$195,"Bill")+(S$196+S$198)*C8+IF(B8="Summer",S$199,IF(B8="Winter",S$200,AF$200))*1000+IF(B8="Summer",S$201,IF(B8="Winter",S$202,AF$202))*(E8-1000)</f>
        <v>577.96</v>
      </c>
      <c r="L8" s="136">
        <f t="shared" ref="L8:L22" ca="1" si="5">K8-J8</f>
        <v>60.184999999999945</v>
      </c>
      <c r="M8" s="499">
        <f t="shared" ref="M8:M22" ca="1" si="6">L8/J8*100</f>
        <v>11.623774805658817</v>
      </c>
      <c r="N8" s="254" t="s">
        <v>217</v>
      </c>
      <c r="O8" s="140" t="s">
        <v>402</v>
      </c>
      <c r="P8" s="139" t="s">
        <v>4</v>
      </c>
      <c r="Q8" s="139" t="s">
        <v>199</v>
      </c>
      <c r="R8" s="139" t="s">
        <v>335</v>
      </c>
      <c r="S8" s="139">
        <f>SUMIFS('Normalized Units'!I:I,'Normalized Units'!B:B,"Normalized Billing Units",'Normalized Units'!C:C,N$4,'Normalized Units'!D:D,P8,'Normalized Units'!F:F,Q8,'Normalized Units'!H:H,R8)</f>
        <v>39261.300000000003</v>
      </c>
      <c r="T8"/>
      <c r="U8" s="326"/>
    </row>
    <row r="9" spans="1:22">
      <c r="A9" s="220" t="s">
        <v>199</v>
      </c>
      <c r="B9" s="220" t="s">
        <v>524</v>
      </c>
      <c r="C9" s="319">
        <v>15</v>
      </c>
      <c r="D9" s="136">
        <v>500</v>
      </c>
      <c r="E9" s="136">
        <f t="shared" ref="E9:E22" si="7">C9*D9</f>
        <v>7500</v>
      </c>
      <c r="F9" s="136">
        <f t="shared" si="0"/>
        <v>746.43499999999995</v>
      </c>
      <c r="G9" s="136">
        <f t="shared" ca="1" si="1"/>
        <v>783.36500000000001</v>
      </c>
      <c r="H9" s="136">
        <f t="shared" ca="1" si="2"/>
        <v>36.930000000000064</v>
      </c>
      <c r="I9" s="499">
        <f t="shared" ca="1" si="3"/>
        <v>4.9475171984164819</v>
      </c>
      <c r="J9" s="136">
        <f t="shared" ref="J9:J22" ca="1" si="8">G9</f>
        <v>783.36500000000001</v>
      </c>
      <c r="K9" s="136">
        <f t="shared" ca="1" si="4"/>
        <v>878.62000000000012</v>
      </c>
      <c r="L9" s="136">
        <f t="shared" ca="1" si="5"/>
        <v>95.255000000000109</v>
      </c>
      <c r="M9" s="499">
        <f t="shared" ca="1" si="6"/>
        <v>12.159721202759902</v>
      </c>
      <c r="N9" s="230" t="s">
        <v>217</v>
      </c>
      <c r="O9" s="97" t="s">
        <v>402</v>
      </c>
      <c r="P9" s="95" t="s">
        <v>4</v>
      </c>
      <c r="Q9" s="95" t="s">
        <v>200</v>
      </c>
      <c r="R9" s="95" t="s">
        <v>335</v>
      </c>
      <c r="S9" s="95">
        <f>SUMIFS('Normalized Units'!I:I,'Normalized Units'!B:B,"Normalized Billing Units",'Normalized Units'!C:C,N$4,'Normalized Units'!D:D,P9,'Normalized Units'!F:F,Q9,'Normalized Units'!H:H,R9)</f>
        <v>2717.666666666667</v>
      </c>
      <c r="T9" s="326"/>
      <c r="U9" s="86"/>
      <c r="V9" s="153"/>
    </row>
    <row r="10" spans="1:22">
      <c r="A10" s="220" t="s">
        <v>199</v>
      </c>
      <c r="B10" s="220" t="s">
        <v>524</v>
      </c>
      <c r="C10" s="319">
        <v>15</v>
      </c>
      <c r="D10" s="136">
        <v>700</v>
      </c>
      <c r="E10" s="136">
        <f t="shared" si="7"/>
        <v>10500</v>
      </c>
      <c r="F10" s="136">
        <f t="shared" si="0"/>
        <v>990.05</v>
      </c>
      <c r="G10" s="136">
        <f t="shared" ca="1" si="1"/>
        <v>1048.9549999999999</v>
      </c>
      <c r="H10" s="136">
        <f t="shared" ca="1" si="2"/>
        <v>58.904999999999973</v>
      </c>
      <c r="I10" s="499">
        <f t="shared" ca="1" si="3"/>
        <v>5.9496995101257486</v>
      </c>
      <c r="J10" s="136">
        <f t="shared" ca="1" si="8"/>
        <v>1048.9549999999999</v>
      </c>
      <c r="K10" s="136">
        <f t="shared" ca="1" si="4"/>
        <v>1179.28</v>
      </c>
      <c r="L10" s="136">
        <f t="shared" ca="1" si="5"/>
        <v>130.32500000000005</v>
      </c>
      <c r="M10" s="499">
        <f t="shared" ca="1" si="6"/>
        <v>12.424269868583499</v>
      </c>
      <c r="N10" s="230" t="s">
        <v>217</v>
      </c>
      <c r="O10" s="97" t="s">
        <v>402</v>
      </c>
      <c r="P10" s="95" t="s">
        <v>4</v>
      </c>
      <c r="Q10" s="95" t="s">
        <v>195</v>
      </c>
      <c r="R10" s="95" t="s">
        <v>281</v>
      </c>
      <c r="S10" s="95">
        <f>SUMIFS('Normalized Units'!I:I,'Normalized Units'!B:B,"Normalized Billing Units",'Normalized Units'!C:C,N$4,'Normalized Units'!D:D,P10,'Normalized Units'!F:F,Q10,'Normalized Units'!H:H,R10)</f>
        <v>24552.924358974364</v>
      </c>
      <c r="T10" s="326"/>
      <c r="U10" s="429"/>
      <c r="V10" s="153"/>
    </row>
    <row r="11" spans="1:22">
      <c r="A11" s="220" t="s">
        <v>199</v>
      </c>
      <c r="B11" s="220" t="s">
        <v>524</v>
      </c>
      <c r="C11" s="319">
        <v>25</v>
      </c>
      <c r="D11" s="136">
        <v>300</v>
      </c>
      <c r="E11" s="136">
        <f t="shared" si="7"/>
        <v>7500</v>
      </c>
      <c r="F11" s="136">
        <f t="shared" si="0"/>
        <v>794.93499999999995</v>
      </c>
      <c r="G11" s="136">
        <f t="shared" ca="1" si="1"/>
        <v>831.86500000000001</v>
      </c>
      <c r="H11" s="136">
        <f t="shared" ca="1" si="2"/>
        <v>36.930000000000064</v>
      </c>
      <c r="I11" s="499">
        <f t="shared" ca="1" si="3"/>
        <v>4.6456628529376705</v>
      </c>
      <c r="J11" s="136">
        <f t="shared" ca="1" si="8"/>
        <v>831.86500000000001</v>
      </c>
      <c r="K11" s="136">
        <f t="shared" ca="1" si="4"/>
        <v>930.32</v>
      </c>
      <c r="L11" s="136">
        <f t="shared" ca="1" si="5"/>
        <v>98.455000000000041</v>
      </c>
      <c r="M11" s="499">
        <f t="shared" ca="1" si="6"/>
        <v>11.835454070071471</v>
      </c>
      <c r="N11" s="230" t="s">
        <v>217</v>
      </c>
      <c r="O11" s="97" t="s">
        <v>402</v>
      </c>
      <c r="P11" s="95" t="s">
        <v>4</v>
      </c>
      <c r="Q11" s="95" t="s">
        <v>195</v>
      </c>
      <c r="R11" s="95" t="s">
        <v>202</v>
      </c>
      <c r="S11" s="95">
        <f>SUMIFS('Normalized Units'!I:I,'Normalized Units'!B:B,"Normalized Billing Units",'Normalized Units'!C:C,N$4,'Normalized Units'!D:D,P11,'Normalized Units'!F:F,Q11,'Normalized Units'!H:H,R11)</f>
        <v>14515.131233595803</v>
      </c>
      <c r="T11" s="326"/>
      <c r="U11" s="429"/>
      <c r="V11" s="429"/>
    </row>
    <row r="12" spans="1:22">
      <c r="A12" s="220" t="s">
        <v>199</v>
      </c>
      <c r="B12" s="220" t="s">
        <v>524</v>
      </c>
      <c r="C12" s="319">
        <v>25</v>
      </c>
      <c r="D12" s="136">
        <v>500</v>
      </c>
      <c r="E12" s="136">
        <f t="shared" si="7"/>
        <v>12500</v>
      </c>
      <c r="F12" s="136">
        <f t="shared" si="0"/>
        <v>1195.75</v>
      </c>
      <c r="G12" s="136">
        <f t="shared" ca="1" si="1"/>
        <v>1274.5150000000001</v>
      </c>
      <c r="H12" s="136">
        <f t="shared" ca="1" si="2"/>
        <v>78.7650000000001</v>
      </c>
      <c r="I12" s="499">
        <f t="shared" ca="1" si="3"/>
        <v>6.5870792389713646</v>
      </c>
      <c r="J12" s="136">
        <f t="shared" ca="1" si="8"/>
        <v>1274.5150000000001</v>
      </c>
      <c r="K12" s="136">
        <f t="shared" ca="1" si="4"/>
        <v>1431.42</v>
      </c>
      <c r="L12" s="136">
        <f t="shared" ca="1" si="5"/>
        <v>156.90499999999997</v>
      </c>
      <c r="M12" s="499">
        <f t="shared" ca="1" si="6"/>
        <v>12.310957501480953</v>
      </c>
      <c r="N12" s="230" t="s">
        <v>217</v>
      </c>
      <c r="O12" s="97" t="s">
        <v>402</v>
      </c>
      <c r="P12" s="95" t="s">
        <v>4</v>
      </c>
      <c r="Q12" s="95" t="s">
        <v>195</v>
      </c>
      <c r="R12" s="95" t="s">
        <v>396</v>
      </c>
      <c r="S12" s="95">
        <f>'Normalized Units'!U197+'Normalized Units'!J197+'Normalized Units'!K197+'Normalized Units'!L197</f>
        <v>4543828.2322019441</v>
      </c>
      <c r="T12" s="326"/>
      <c r="U12" s="429"/>
      <c r="V12" s="429"/>
    </row>
    <row r="13" spans="1:22">
      <c r="A13" s="220" t="s">
        <v>199</v>
      </c>
      <c r="B13" s="220" t="s">
        <v>524</v>
      </c>
      <c r="C13" s="319">
        <v>25</v>
      </c>
      <c r="D13" s="136">
        <v>700</v>
      </c>
      <c r="E13" s="136">
        <f t="shared" si="7"/>
        <v>17500</v>
      </c>
      <c r="F13" s="136">
        <f t="shared" si="0"/>
        <v>1588.75</v>
      </c>
      <c r="G13" s="136">
        <f t="shared" ca="1" si="1"/>
        <v>1717.165</v>
      </c>
      <c r="H13" s="136">
        <f t="shared" ca="1" si="2"/>
        <v>128.41499999999996</v>
      </c>
      <c r="I13" s="499">
        <f t="shared" ca="1" si="3"/>
        <v>8.0827694728560164</v>
      </c>
      <c r="J13" s="136">
        <f t="shared" ca="1" si="8"/>
        <v>1717.165</v>
      </c>
      <c r="K13" s="136">
        <f t="shared" ca="1" si="4"/>
        <v>1932.52</v>
      </c>
      <c r="L13" s="136">
        <f t="shared" ca="1" si="5"/>
        <v>215.35500000000002</v>
      </c>
      <c r="M13" s="499">
        <f t="shared" ca="1" si="6"/>
        <v>12.541310823362927</v>
      </c>
      <c r="N13" s="230" t="s">
        <v>217</v>
      </c>
      <c r="O13" s="97" t="s">
        <v>402</v>
      </c>
      <c r="P13" s="95" t="s">
        <v>4</v>
      </c>
      <c r="Q13" s="95" t="s">
        <v>195</v>
      </c>
      <c r="R13" s="95" t="s">
        <v>394</v>
      </c>
      <c r="S13" s="95">
        <f>'Normalized Units'!M197+'Normalized Units'!N197+'Normalized Units'!O197+'Normalized Units'!P197+'Normalized Units'!Q197+'Normalized Units'!R197+'Normalized Units'!S197+'Normalized Units'!T197</f>
        <v>9022904.0179224666</v>
      </c>
      <c r="T13" s="326"/>
      <c r="U13"/>
    </row>
    <row r="14" spans="1:22">
      <c r="A14" s="220" t="s">
        <v>199</v>
      </c>
      <c r="B14" s="220" t="s">
        <v>524</v>
      </c>
      <c r="C14" s="319">
        <v>50</v>
      </c>
      <c r="D14" s="136">
        <v>300</v>
      </c>
      <c r="E14" s="136">
        <f t="shared" si="7"/>
        <v>15000</v>
      </c>
      <c r="F14" s="136">
        <f t="shared" si="0"/>
        <v>1513.5</v>
      </c>
      <c r="G14" s="136">
        <f t="shared" ca="1" si="1"/>
        <v>1617.0900000000001</v>
      </c>
      <c r="H14" s="136">
        <f t="shared" ca="1" si="2"/>
        <v>103.59000000000015</v>
      </c>
      <c r="I14" s="499">
        <f t="shared" ca="1" si="3"/>
        <v>6.8444003964321212</v>
      </c>
      <c r="J14" s="136">
        <f t="shared" ca="1" si="8"/>
        <v>1617.0900000000001</v>
      </c>
      <c r="K14" s="136">
        <f t="shared" ca="1" si="4"/>
        <v>1811.2200000000003</v>
      </c>
      <c r="L14" s="136">
        <f t="shared" ca="1" si="5"/>
        <v>194.13000000000011</v>
      </c>
      <c r="M14" s="499">
        <f t="shared" ca="1" si="6"/>
        <v>12.004897686585169</v>
      </c>
      <c r="N14" s="230" t="s">
        <v>217</v>
      </c>
      <c r="O14" s="97" t="s">
        <v>402</v>
      </c>
      <c r="P14" s="95" t="s">
        <v>4</v>
      </c>
      <c r="Q14" s="95" t="s">
        <v>195</v>
      </c>
      <c r="R14" s="95" t="s">
        <v>397</v>
      </c>
      <c r="S14" s="95">
        <f>'Normalized Units'!U198+'Normalized Units'!J198+'Normalized Units'!K198+'Normalized Units'!L198</f>
        <v>2388645.8613681756</v>
      </c>
      <c r="T14" s="326"/>
      <c r="U14" s="86"/>
    </row>
    <row r="15" spans="1:22">
      <c r="A15" s="220" t="s">
        <v>199</v>
      </c>
      <c r="B15" s="220" t="s">
        <v>524</v>
      </c>
      <c r="C15" s="319">
        <v>50</v>
      </c>
      <c r="D15" s="136">
        <v>500</v>
      </c>
      <c r="E15" s="136">
        <f t="shared" si="7"/>
        <v>25000</v>
      </c>
      <c r="F15" s="136">
        <f t="shared" si="0"/>
        <v>2299.5</v>
      </c>
      <c r="G15" s="136">
        <f t="shared" ca="1" si="1"/>
        <v>2502.39</v>
      </c>
      <c r="H15" s="136">
        <f t="shared" ca="1" si="2"/>
        <v>202.88999999999987</v>
      </c>
      <c r="I15" s="499">
        <f t="shared" ca="1" si="3"/>
        <v>8.823222439660789</v>
      </c>
      <c r="J15" s="136">
        <f t="shared" ca="1" si="8"/>
        <v>2502.39</v>
      </c>
      <c r="K15" s="136">
        <f t="shared" ca="1" si="4"/>
        <v>2813.42</v>
      </c>
      <c r="L15" s="136">
        <f t="shared" ca="1" si="5"/>
        <v>311.0300000000002</v>
      </c>
      <c r="M15" s="499">
        <f t="shared" ca="1" si="6"/>
        <v>12.429317572400793</v>
      </c>
      <c r="N15" s="230" t="s">
        <v>217</v>
      </c>
      <c r="O15" s="97" t="s">
        <v>402</v>
      </c>
      <c r="P15" s="95" t="s">
        <v>4</v>
      </c>
      <c r="Q15" s="95" t="s">
        <v>195</v>
      </c>
      <c r="R15" s="95" t="s">
        <v>395</v>
      </c>
      <c r="S15" s="95">
        <f>'Normalized Units'!M198+'Normalized Units'!N198+'Normalized Units'!O198+'Normalized Units'!P198+'Normalized Units'!Q198+'Normalized Units'!R198+'Normalized Units'!S198+'Normalized Units'!T198</f>
        <v>4718794.3162805056</v>
      </c>
      <c r="T15" s="326"/>
      <c r="U15"/>
    </row>
    <row r="16" spans="1:22">
      <c r="A16" s="220" t="s">
        <v>199</v>
      </c>
      <c r="B16" s="220" t="s">
        <v>524</v>
      </c>
      <c r="C16" s="319">
        <v>50</v>
      </c>
      <c r="D16" s="136">
        <v>700</v>
      </c>
      <c r="E16" s="136">
        <f t="shared" si="7"/>
        <v>35000</v>
      </c>
      <c r="F16" s="136">
        <f t="shared" si="0"/>
        <v>3085.5</v>
      </c>
      <c r="G16" s="136">
        <f t="shared" ca="1" si="1"/>
        <v>3387.69</v>
      </c>
      <c r="H16" s="136">
        <f t="shared" ca="1" si="2"/>
        <v>302.19000000000005</v>
      </c>
      <c r="I16" s="499">
        <f t="shared" ca="1" si="3"/>
        <v>9.7938745746232385</v>
      </c>
      <c r="J16" s="136">
        <f t="shared" ca="1" si="8"/>
        <v>3387.69</v>
      </c>
      <c r="K16" s="136">
        <f t="shared" ca="1" si="4"/>
        <v>3815.62</v>
      </c>
      <c r="L16" s="136">
        <f t="shared" ca="1" si="5"/>
        <v>427.92999999999984</v>
      </c>
      <c r="M16" s="499">
        <f t="shared" ca="1" si="6"/>
        <v>12.63191142046645</v>
      </c>
      <c r="N16" s="230" t="s">
        <v>217</v>
      </c>
      <c r="O16" s="97" t="s">
        <v>402</v>
      </c>
      <c r="P16" s="95" t="s">
        <v>4</v>
      </c>
      <c r="Q16" s="95" t="s">
        <v>195</v>
      </c>
      <c r="R16" s="95" t="s">
        <v>398</v>
      </c>
      <c r="S16" s="95">
        <f>'Normalized Units'!U199+'Normalized Units'!J199+'Normalized Units'!K199+'Normalized Units'!L199</f>
        <v>320577.79258987459</v>
      </c>
      <c r="T16" s="326"/>
      <c r="U16"/>
    </row>
    <row r="17" spans="1:21">
      <c r="A17" s="220" t="s">
        <v>199</v>
      </c>
      <c r="B17" s="220" t="s">
        <v>524</v>
      </c>
      <c r="C17" s="319">
        <v>75</v>
      </c>
      <c r="D17" s="136">
        <v>300</v>
      </c>
      <c r="E17" s="136">
        <f t="shared" si="7"/>
        <v>22500</v>
      </c>
      <c r="F17" s="136">
        <f t="shared" si="0"/>
        <v>2224.25</v>
      </c>
      <c r="G17" s="136">
        <f t="shared" ca="1" si="1"/>
        <v>2402.3150000000001</v>
      </c>
      <c r="H17" s="136">
        <f t="shared" ca="1" si="2"/>
        <v>178.06500000000005</v>
      </c>
      <c r="I17" s="499">
        <f t="shared" ca="1" si="3"/>
        <v>8.0056198718669247</v>
      </c>
      <c r="J17" s="136">
        <f t="shared" ca="1" si="8"/>
        <v>2402.3150000000001</v>
      </c>
      <c r="K17" s="136">
        <f t="shared" ca="1" si="4"/>
        <v>2692.12</v>
      </c>
      <c r="L17" s="136">
        <f t="shared" ca="1" si="5"/>
        <v>289.80499999999984</v>
      </c>
      <c r="M17" s="499">
        <f t="shared" ca="1" si="6"/>
        <v>12.063572012829285</v>
      </c>
      <c r="N17" s="230" t="s">
        <v>217</v>
      </c>
      <c r="O17" s="97" t="s">
        <v>402</v>
      </c>
      <c r="P17" s="95" t="s">
        <v>4</v>
      </c>
      <c r="Q17" s="95" t="s">
        <v>195</v>
      </c>
      <c r="R17" s="95" t="s">
        <v>399</v>
      </c>
      <c r="S17" s="95">
        <f>'Normalized Units'!M199+'Normalized Units'!N199+'Normalized Units'!O199+'Normalized Units'!P199+'Normalized Units'!Q199+'Normalized Units'!R199+'Normalized Units'!S199+'Normalized Units'!T199</f>
        <v>609628.61704140075</v>
      </c>
      <c r="T17" s="326"/>
      <c r="U17"/>
    </row>
    <row r="18" spans="1:21">
      <c r="A18" s="220" t="s">
        <v>199</v>
      </c>
      <c r="B18" s="220" t="s">
        <v>524</v>
      </c>
      <c r="C18" s="319">
        <v>75</v>
      </c>
      <c r="D18" s="136">
        <v>500</v>
      </c>
      <c r="E18" s="136">
        <f t="shared" si="7"/>
        <v>37500</v>
      </c>
      <c r="F18" s="136">
        <f t="shared" si="0"/>
        <v>3403.25</v>
      </c>
      <c r="G18" s="136">
        <f t="shared" ca="1" si="1"/>
        <v>3730.2649999999999</v>
      </c>
      <c r="H18" s="136">
        <f t="shared" ca="1" si="2"/>
        <v>327.01499999999987</v>
      </c>
      <c r="I18" s="499">
        <f t="shared" ca="1" si="3"/>
        <v>9.6089032542422661</v>
      </c>
      <c r="J18" s="136">
        <f t="shared" ca="1" si="8"/>
        <v>3730.2649999999999</v>
      </c>
      <c r="K18" s="136">
        <f t="shared" ca="1" si="4"/>
        <v>4195.42</v>
      </c>
      <c r="L18" s="136">
        <f t="shared" ca="1" si="5"/>
        <v>465.1550000000002</v>
      </c>
      <c r="M18" s="499">
        <f t="shared" ca="1" si="6"/>
        <v>12.469757510525397</v>
      </c>
      <c r="N18" s="255" t="s">
        <v>217</v>
      </c>
      <c r="O18" s="145" t="s">
        <v>402</v>
      </c>
      <c r="P18" s="147" t="s">
        <v>4</v>
      </c>
      <c r="Q18" s="147" t="s">
        <v>195</v>
      </c>
      <c r="R18" s="147" t="s">
        <v>201</v>
      </c>
      <c r="S18" s="147">
        <f>SUMIFS('Normalized Units'!I:I,'Normalized Units'!B:B,"Normalized Billing Units",'Normalized Units'!C:C,N$4,'Normalized Units'!D:D,P18,'Normalized Units'!F:F,Q18,'Normalized Units'!H:H,R18)</f>
        <v>113</v>
      </c>
      <c r="T18" s="326"/>
      <c r="U18"/>
    </row>
    <row r="19" spans="1:21">
      <c r="A19" s="220" t="s">
        <v>199</v>
      </c>
      <c r="B19" s="220" t="s">
        <v>524</v>
      </c>
      <c r="C19" s="319">
        <v>75</v>
      </c>
      <c r="D19" s="136">
        <v>700</v>
      </c>
      <c r="E19" s="136">
        <f t="shared" si="7"/>
        <v>52500</v>
      </c>
      <c r="F19" s="136">
        <f t="shared" si="0"/>
        <v>4582.25</v>
      </c>
      <c r="G19" s="136">
        <f t="shared" ca="1" si="1"/>
        <v>5058.2150000000001</v>
      </c>
      <c r="H19" s="136">
        <f t="shared" ca="1" si="2"/>
        <v>475.96500000000015</v>
      </c>
      <c r="I19" s="499">
        <f t="shared" ca="1" si="3"/>
        <v>10.38714605270337</v>
      </c>
      <c r="J19" s="136">
        <f t="shared" ca="1" si="8"/>
        <v>5058.2150000000001</v>
      </c>
      <c r="K19" s="136">
        <f t="shared" ca="1" si="4"/>
        <v>5698.72</v>
      </c>
      <c r="L19" s="136">
        <f t="shared" ca="1" si="5"/>
        <v>640.50500000000011</v>
      </c>
      <c r="M19" s="499">
        <f t="shared" ca="1" si="6"/>
        <v>12.662668550071517</v>
      </c>
      <c r="N19" s="254" t="s">
        <v>217</v>
      </c>
      <c r="O19" s="140" t="s">
        <v>402</v>
      </c>
      <c r="P19" s="139" t="s">
        <v>5</v>
      </c>
      <c r="Q19" s="139" t="s">
        <v>199</v>
      </c>
      <c r="R19" s="139" t="s">
        <v>335</v>
      </c>
      <c r="S19" s="139">
        <f>SUMIFS('Normalized Units'!I:I,'Normalized Units'!B:B,"Normalized Billing Units",'Normalized Units'!C:C,N$4,'Normalized Units'!D:D,P19,'Normalized Units'!F:F,Q19,'Normalized Units'!H:H,R19)</f>
        <v>137486.80000000002</v>
      </c>
      <c r="T19" s="326"/>
      <c r="U19" s="86"/>
    </row>
    <row r="20" spans="1:21">
      <c r="A20" s="220" t="s">
        <v>199</v>
      </c>
      <c r="B20" s="220" t="s">
        <v>524</v>
      </c>
      <c r="C20" s="319">
        <v>100</v>
      </c>
      <c r="D20" s="136">
        <v>300</v>
      </c>
      <c r="E20" s="136">
        <f t="shared" si="7"/>
        <v>30000</v>
      </c>
      <c r="F20" s="136">
        <f t="shared" si="0"/>
        <v>2935</v>
      </c>
      <c r="G20" s="136">
        <f t="shared" ca="1" si="1"/>
        <v>3187.54</v>
      </c>
      <c r="H20" s="136">
        <f t="shared" ca="1" si="2"/>
        <v>252.53999999999996</v>
      </c>
      <c r="I20" s="499">
        <f t="shared" ca="1" si="3"/>
        <v>8.6044293015332194</v>
      </c>
      <c r="J20" s="136">
        <f t="shared" ca="1" si="8"/>
        <v>3187.54</v>
      </c>
      <c r="K20" s="136">
        <f t="shared" ca="1" si="4"/>
        <v>3573.02</v>
      </c>
      <c r="L20" s="136">
        <f t="shared" ca="1" si="5"/>
        <v>385.48</v>
      </c>
      <c r="M20" s="499">
        <f t="shared" ca="1" si="6"/>
        <v>12.093338436537268</v>
      </c>
      <c r="N20" s="230" t="s">
        <v>217</v>
      </c>
      <c r="O20" s="97" t="s">
        <v>402</v>
      </c>
      <c r="P20" s="95" t="s">
        <v>5</v>
      </c>
      <c r="Q20" s="95" t="s">
        <v>199</v>
      </c>
      <c r="R20" s="95" t="s">
        <v>336</v>
      </c>
      <c r="S20" s="95">
        <f>SUMIFS('Normalized Units'!I:I,'Normalized Units'!B:B,"Normalized Billing Units",'Normalized Units'!C:C,N$4,'Normalized Units'!D:D,P20,'Normalized Units'!F:F,Q20,'Normalized Units'!H:H,R20)</f>
        <v>2.6301369863013697</v>
      </c>
      <c r="T20" s="326"/>
      <c r="U20" s="86"/>
    </row>
    <row r="21" spans="1:21">
      <c r="A21" s="220" t="s">
        <v>199</v>
      </c>
      <c r="B21" s="220" t="s">
        <v>524</v>
      </c>
      <c r="C21" s="319">
        <v>100</v>
      </c>
      <c r="D21" s="136">
        <v>500</v>
      </c>
      <c r="E21" s="136">
        <f t="shared" si="7"/>
        <v>50000</v>
      </c>
      <c r="F21" s="136">
        <f t="shared" si="0"/>
        <v>4507</v>
      </c>
      <c r="G21" s="136">
        <f t="shared" ca="1" si="1"/>
        <v>4958.1400000000003</v>
      </c>
      <c r="H21" s="136">
        <f t="shared" ca="1" si="2"/>
        <v>451.14000000000033</v>
      </c>
      <c r="I21" s="499">
        <f t="shared" ca="1" si="3"/>
        <v>10.009762591524304</v>
      </c>
      <c r="J21" s="136">
        <f t="shared" ca="1" si="8"/>
        <v>4958.1400000000003</v>
      </c>
      <c r="K21" s="136">
        <f t="shared" ca="1" si="4"/>
        <v>5577.42</v>
      </c>
      <c r="L21" s="136">
        <f t="shared" ca="1" si="5"/>
        <v>619.27999999999975</v>
      </c>
      <c r="M21" s="499">
        <f t="shared" ca="1" si="6"/>
        <v>12.49016768384918</v>
      </c>
      <c r="N21" s="230" t="s">
        <v>217</v>
      </c>
      <c r="O21" s="97" t="s">
        <v>402</v>
      </c>
      <c r="P21" s="95" t="s">
        <v>5</v>
      </c>
      <c r="Q21" s="95" t="s">
        <v>200</v>
      </c>
      <c r="R21" s="95" t="s">
        <v>335</v>
      </c>
      <c r="S21" s="95">
        <f>SUMIFS('Normalized Units'!I:I,'Normalized Units'!B:B,"Normalized Billing Units",'Normalized Units'!C:C,N$4,'Normalized Units'!D:D,P21,'Normalized Units'!F:F,Q21,'Normalized Units'!H:H,R21)</f>
        <v>64614.799999999988</v>
      </c>
      <c r="T21" s="326"/>
      <c r="U21" s="86"/>
    </row>
    <row r="22" spans="1:21">
      <c r="A22" s="220" t="s">
        <v>199</v>
      </c>
      <c r="B22" s="220" t="s">
        <v>524</v>
      </c>
      <c r="C22" s="319">
        <v>100</v>
      </c>
      <c r="D22" s="136">
        <v>700</v>
      </c>
      <c r="E22" s="136">
        <f t="shared" si="7"/>
        <v>70000</v>
      </c>
      <c r="F22" s="136">
        <f t="shared" si="0"/>
        <v>6079</v>
      </c>
      <c r="G22" s="136">
        <f t="shared" ca="1" si="1"/>
        <v>6728.74</v>
      </c>
      <c r="H22" s="136">
        <f t="shared" ca="1" si="2"/>
        <v>649.73999999999978</v>
      </c>
      <c r="I22" s="499">
        <f t="shared" ca="1" si="3"/>
        <v>10.688271097219934</v>
      </c>
      <c r="J22" s="136">
        <f t="shared" ca="1" si="8"/>
        <v>6728.74</v>
      </c>
      <c r="K22" s="136">
        <f t="shared" ca="1" si="4"/>
        <v>7581.8200000000006</v>
      </c>
      <c r="L22" s="136">
        <f t="shared" ca="1" si="5"/>
        <v>853.08000000000084</v>
      </c>
      <c r="M22" s="499">
        <f t="shared" ca="1" si="6"/>
        <v>12.678153710798764</v>
      </c>
      <c r="N22" s="230" t="s">
        <v>217</v>
      </c>
      <c r="O22" s="97" t="s">
        <v>402</v>
      </c>
      <c r="P22" s="95" t="s">
        <v>5</v>
      </c>
      <c r="Q22" s="95" t="s">
        <v>200</v>
      </c>
      <c r="R22" s="95" t="s">
        <v>336</v>
      </c>
      <c r="S22" s="95">
        <f>SUMIFS('Normalized Units'!I:I,'Normalized Units'!B:B,"Normalized Billing Units",'Normalized Units'!C:C,N$4,'Normalized Units'!D:D,P22,'Normalized Units'!F:F,Q22,'Normalized Units'!H:H,R22)</f>
        <v>63.471232876712314</v>
      </c>
      <c r="T22" s="326"/>
      <c r="U22" s="86"/>
    </row>
    <row r="23" spans="1:21">
      <c r="A23" s="393" t="s">
        <v>517</v>
      </c>
      <c r="B23" s="345"/>
      <c r="C23" s="345"/>
      <c r="D23" s="345"/>
      <c r="E23" s="345"/>
      <c r="F23" s="345"/>
      <c r="G23" s="345"/>
      <c r="H23" s="345"/>
      <c r="I23" s="510"/>
      <c r="J23" s="345"/>
      <c r="K23" s="345"/>
      <c r="L23" s="345"/>
      <c r="M23" s="513"/>
      <c r="N23" s="230" t="s">
        <v>217</v>
      </c>
      <c r="O23" s="97" t="s">
        <v>402</v>
      </c>
      <c r="P23" s="95" t="s">
        <v>5</v>
      </c>
      <c r="Q23" s="95" t="s">
        <v>195</v>
      </c>
      <c r="R23" s="95" t="s">
        <v>281</v>
      </c>
      <c r="S23" s="95">
        <f>SUMIFS('Normalized Units'!I:I,'Normalized Units'!B:B,"Normalized Billing Units",'Normalized Units'!C:C,N$4,'Normalized Units'!D:D,P23,'Normalized Units'!F:F,Q23,'Normalized Units'!H:H,R23)</f>
        <v>1187878.7378205128</v>
      </c>
      <c r="T23" s="326"/>
      <c r="U23" s="86"/>
    </row>
    <row r="24" spans="1:21">
      <c r="A24" s="384" t="s">
        <v>518</v>
      </c>
      <c r="B24" s="138"/>
      <c r="C24" s="138"/>
      <c r="D24" s="138"/>
      <c r="E24" s="138"/>
      <c r="F24" s="138"/>
      <c r="G24" s="138"/>
      <c r="H24" s="138"/>
      <c r="I24" s="511"/>
      <c r="J24" s="138"/>
      <c r="K24" s="138"/>
      <c r="L24" s="138"/>
      <c r="M24" s="514"/>
      <c r="N24" s="230" t="s">
        <v>217</v>
      </c>
      <c r="O24" s="97" t="s">
        <v>402</v>
      </c>
      <c r="P24" s="95" t="s">
        <v>5</v>
      </c>
      <c r="Q24" s="95" t="s">
        <v>195</v>
      </c>
      <c r="R24" s="95" t="s">
        <v>283</v>
      </c>
      <c r="S24" s="95">
        <f>SUMIFS('Normalized Units'!I:I,'Normalized Units'!B:B,"Normalized Billing Units",'Normalized Units'!C:C,N$4,'Normalized Units'!D:D,P24,'Normalized Units'!F:F,Q24,'Normalized Units'!H:H,R24)</f>
        <v>2130.0812961011588</v>
      </c>
      <c r="T24" s="326"/>
      <c r="U24" s="86"/>
    </row>
    <row r="25" spans="1:21">
      <c r="A25" s="330" t="s">
        <v>523</v>
      </c>
      <c r="B25" s="346"/>
      <c r="C25" s="346"/>
      <c r="D25" s="346"/>
      <c r="E25" s="346"/>
      <c r="F25" s="346"/>
      <c r="G25" s="346"/>
      <c r="H25" s="346"/>
      <c r="I25" s="512"/>
      <c r="J25" s="346"/>
      <c r="K25" s="346"/>
      <c r="L25" s="346"/>
      <c r="M25" s="515"/>
      <c r="N25" s="230" t="s">
        <v>217</v>
      </c>
      <c r="O25" s="97" t="s">
        <v>402</v>
      </c>
      <c r="P25" s="95" t="s">
        <v>5</v>
      </c>
      <c r="Q25" s="95" t="s">
        <v>195</v>
      </c>
      <c r="R25" s="95" t="s">
        <v>202</v>
      </c>
      <c r="S25" s="95">
        <f>SUMIFS('Normalized Units'!I:I,'Normalized Units'!B:B,"Normalized Billing Units",'Normalized Units'!C:C,N$4,'Normalized Units'!D:D,P25,'Normalized Units'!F:F,Q25,'Normalized Units'!H:H,R25)</f>
        <v>715183.48293963249</v>
      </c>
      <c r="T25" s="326"/>
      <c r="U25" s="86"/>
    </row>
    <row r="26" spans="1:21">
      <c r="A26" s="220" t="s">
        <v>199</v>
      </c>
      <c r="B26" s="220" t="s">
        <v>525</v>
      </c>
      <c r="C26" s="319">
        <v>15</v>
      </c>
      <c r="D26" s="136">
        <v>300</v>
      </c>
      <c r="E26" s="136">
        <f>C26*D26</f>
        <v>4500</v>
      </c>
      <c r="F26" s="136">
        <f t="shared" ref="F26:F40" si="9">SUMIFS(S$52:S$55,Q$52:Q$55,A26,R$52:R$55,"Bill")+(S$56+S$58)*C26+S$59*1000+IF(E26&lt;=9000,S$60*(E26-1000),S$60*8000+S$61*(E26-9000))</f>
        <v>495.005</v>
      </c>
      <c r="G26" s="136">
        <f t="shared" ref="G26:G40" ca="1" si="10">SUMIFS(S$115:S$118,Q$115:Q$118,A26,R$115:R$118,"Bill")+(S$119+S$121)*C26+IF(B26="Summer",S$122,IF(B26="Winter",S$123,AF$123))*1000+IF(B26="Summer",S$124,IF(B26="Winter",S$125,AF$125))*(E26-1000)</f>
        <v>474.53000000000003</v>
      </c>
      <c r="H26" s="136">
        <f t="shared" ref="H26:H40" ca="1" si="11">G26-F26</f>
        <v>-20.474999999999966</v>
      </c>
      <c r="I26" s="499">
        <f t="shared" ref="I26:I40" ca="1" si="12">H26/F26*100</f>
        <v>-4.1363218553347876</v>
      </c>
      <c r="J26" s="136">
        <f ca="1">G26</f>
        <v>474.53000000000003</v>
      </c>
      <c r="K26" s="136">
        <f t="shared" ref="K26:K40" ca="1" si="13">SUMIFS(S$192:S$195,Q$192:Q$195,A26,R$192:R$195,"Bill")+(S$196+S$198)*C26+IF(B26="Summer",S$199,IF(B26="Winter",S$200,AF$200))*1000+IF(B26="Summer",S$201,IF(B26="Winter",S$202,AF$202))*(E26-1000)</f>
        <v>491.51499999999999</v>
      </c>
      <c r="L26" s="136">
        <f t="shared" ref="L26:L40" ca="1" si="14">K26-J26</f>
        <v>16.984999999999957</v>
      </c>
      <c r="M26" s="499">
        <f t="shared" ref="M26:M40" ca="1" si="15">L26/J26*100</f>
        <v>3.5793311276420785</v>
      </c>
      <c r="N26" s="230" t="s">
        <v>217</v>
      </c>
      <c r="O26" s="97" t="s">
        <v>402</v>
      </c>
      <c r="P26" s="95" t="s">
        <v>5</v>
      </c>
      <c r="Q26" s="95" t="s">
        <v>195</v>
      </c>
      <c r="R26" s="95" t="s">
        <v>396</v>
      </c>
      <c r="S26" s="95">
        <f>'Normalized Units'!U200+'Normalized Units'!J200+'Normalized Units'!K200+'Normalized Units'!L200</f>
        <v>40665144.85601677</v>
      </c>
      <c r="T26" s="326"/>
      <c r="U26" s="86"/>
    </row>
    <row r="27" spans="1:21">
      <c r="A27" s="220" t="s">
        <v>199</v>
      </c>
      <c r="B27" s="220" t="s">
        <v>525</v>
      </c>
      <c r="C27" s="319">
        <v>15</v>
      </c>
      <c r="D27" s="136">
        <v>500</v>
      </c>
      <c r="E27" s="136">
        <f t="shared" ref="E27:E40" si="16">C27*D27</f>
        <v>7500</v>
      </c>
      <c r="F27" s="136">
        <f t="shared" si="9"/>
        <v>746.43499999999995</v>
      </c>
      <c r="G27" s="136">
        <f t="shared" ca="1" si="10"/>
        <v>711.29</v>
      </c>
      <c r="H27" s="136">
        <f t="shared" ca="1" si="11"/>
        <v>-35.144999999999982</v>
      </c>
      <c r="I27" s="499">
        <f t="shared" ca="1" si="12"/>
        <v>-4.7083805019861051</v>
      </c>
      <c r="J27" s="136">
        <f t="shared" ref="J27:J40" ca="1" si="17">G27</f>
        <v>711.29</v>
      </c>
      <c r="K27" s="136">
        <f t="shared" ca="1" si="13"/>
        <v>734.54499999999996</v>
      </c>
      <c r="L27" s="136">
        <f t="shared" ca="1" si="14"/>
        <v>23.254999999999995</v>
      </c>
      <c r="M27" s="499">
        <f t="shared" ca="1" si="15"/>
        <v>3.2694119135654933</v>
      </c>
      <c r="N27" s="230" t="s">
        <v>217</v>
      </c>
      <c r="O27" s="97" t="s">
        <v>402</v>
      </c>
      <c r="P27" s="95" t="s">
        <v>5</v>
      </c>
      <c r="Q27" s="95" t="s">
        <v>195</v>
      </c>
      <c r="R27" s="95" t="s">
        <v>394</v>
      </c>
      <c r="S27" s="95">
        <f>'Normalized Units'!M200+'Normalized Units'!N200+'Normalized Units'!O200+'Normalized Units'!P200+'Normalized Units'!Q200+'Normalized Units'!R200+'Normalized Units'!S200+'Normalized Units'!T200</f>
        <v>84302260.980933905</v>
      </c>
      <c r="T27" s="326"/>
      <c r="U27" s="86"/>
    </row>
    <row r="28" spans="1:21">
      <c r="A28" s="220" t="s">
        <v>199</v>
      </c>
      <c r="B28" s="220" t="s">
        <v>525</v>
      </c>
      <c r="C28" s="319">
        <v>15</v>
      </c>
      <c r="D28" s="136">
        <v>700</v>
      </c>
      <c r="E28" s="136">
        <f t="shared" si="16"/>
        <v>10500</v>
      </c>
      <c r="F28" s="136">
        <f t="shared" si="9"/>
        <v>990.05</v>
      </c>
      <c r="G28" s="136">
        <f t="shared" ca="1" si="10"/>
        <v>948.05</v>
      </c>
      <c r="H28" s="136">
        <f t="shared" ca="1" si="11"/>
        <v>-42</v>
      </c>
      <c r="I28" s="499">
        <f t="shared" ca="1" si="12"/>
        <v>-4.2422099893944747</v>
      </c>
      <c r="J28" s="136">
        <f t="shared" ca="1" si="17"/>
        <v>948.05</v>
      </c>
      <c r="K28" s="136">
        <f t="shared" ca="1" si="13"/>
        <v>977.57500000000005</v>
      </c>
      <c r="L28" s="136">
        <f t="shared" ca="1" si="14"/>
        <v>29.525000000000091</v>
      </c>
      <c r="M28" s="499">
        <f t="shared" ca="1" si="15"/>
        <v>3.1142872211381354</v>
      </c>
      <c r="N28" s="230" t="s">
        <v>217</v>
      </c>
      <c r="O28" s="97" t="s">
        <v>402</v>
      </c>
      <c r="P28" s="95" t="s">
        <v>5</v>
      </c>
      <c r="Q28" s="95" t="s">
        <v>195</v>
      </c>
      <c r="R28" s="95" t="s">
        <v>397</v>
      </c>
      <c r="S28" s="95">
        <f>'Normalized Units'!U201+'Normalized Units'!J201+'Normalized Units'!K201+'Normalized Units'!L201</f>
        <v>94280285.642981142</v>
      </c>
      <c r="T28" s="326"/>
      <c r="U28" s="86"/>
    </row>
    <row r="29" spans="1:21">
      <c r="A29" s="220" t="s">
        <v>199</v>
      </c>
      <c r="B29" s="220" t="s">
        <v>525</v>
      </c>
      <c r="C29" s="319">
        <v>25</v>
      </c>
      <c r="D29" s="136">
        <v>300</v>
      </c>
      <c r="E29" s="136">
        <f t="shared" si="16"/>
        <v>7500</v>
      </c>
      <c r="F29" s="136">
        <f t="shared" si="9"/>
        <v>794.93499999999995</v>
      </c>
      <c r="G29" s="136">
        <f t="shared" ca="1" si="10"/>
        <v>759.79</v>
      </c>
      <c r="H29" s="136">
        <f t="shared" ca="1" si="11"/>
        <v>-35.144999999999982</v>
      </c>
      <c r="I29" s="499">
        <f t="shared" ca="1" si="12"/>
        <v>-4.4211161918899009</v>
      </c>
      <c r="J29" s="136">
        <f t="shared" ca="1" si="17"/>
        <v>759.79</v>
      </c>
      <c r="K29" s="136">
        <f t="shared" ca="1" si="13"/>
        <v>786.24499999999989</v>
      </c>
      <c r="L29" s="136">
        <f t="shared" ca="1" si="14"/>
        <v>26.454999999999927</v>
      </c>
      <c r="M29" s="499">
        <f t="shared" ca="1" si="15"/>
        <v>3.4818831519235482</v>
      </c>
      <c r="N29" s="230" t="s">
        <v>217</v>
      </c>
      <c r="O29" s="97" t="s">
        <v>402</v>
      </c>
      <c r="P29" s="95" t="s">
        <v>5</v>
      </c>
      <c r="Q29" s="95" t="s">
        <v>195</v>
      </c>
      <c r="R29" s="95" t="s">
        <v>395</v>
      </c>
      <c r="S29" s="95">
        <f>'Normalized Units'!M201+'Normalized Units'!N201+'Normalized Units'!O201+'Normalized Units'!P201+'Normalized Units'!Q201+'Normalized Units'!R201+'Normalized Units'!S201+'Normalized Units'!T201</f>
        <v>178859455.26006928</v>
      </c>
      <c r="T29" s="326"/>
      <c r="U29" s="86"/>
    </row>
    <row r="30" spans="1:21">
      <c r="A30" s="220" t="s">
        <v>199</v>
      </c>
      <c r="B30" s="220" t="s">
        <v>525</v>
      </c>
      <c r="C30" s="319">
        <v>25</v>
      </c>
      <c r="D30" s="136">
        <v>500</v>
      </c>
      <c r="E30" s="136">
        <f t="shared" si="16"/>
        <v>12500</v>
      </c>
      <c r="F30" s="136">
        <f t="shared" si="9"/>
        <v>1195.75</v>
      </c>
      <c r="G30" s="136">
        <f t="shared" ca="1" si="10"/>
        <v>1154.3900000000001</v>
      </c>
      <c r="H30" s="136">
        <f t="shared" ca="1" si="11"/>
        <v>-41.3599999999999</v>
      </c>
      <c r="I30" s="499">
        <f t="shared" ca="1" si="12"/>
        <v>-3.4589169977001797</v>
      </c>
      <c r="J30" s="136">
        <f t="shared" ca="1" si="17"/>
        <v>1154.3900000000001</v>
      </c>
      <c r="K30" s="136">
        <f t="shared" ca="1" si="13"/>
        <v>1191.2950000000001</v>
      </c>
      <c r="L30" s="136">
        <f t="shared" ca="1" si="14"/>
        <v>36.904999999999973</v>
      </c>
      <c r="M30" s="499">
        <f t="shared" ca="1" si="15"/>
        <v>3.1969265153024513</v>
      </c>
      <c r="N30" s="230" t="s">
        <v>217</v>
      </c>
      <c r="O30" s="97" t="s">
        <v>402</v>
      </c>
      <c r="P30" s="95" t="s">
        <v>5</v>
      </c>
      <c r="Q30" s="95" t="s">
        <v>195</v>
      </c>
      <c r="R30" s="95" t="s">
        <v>398</v>
      </c>
      <c r="S30" s="95">
        <f>'Normalized Units'!U202+'Normalized Units'!J202+'Normalized Units'!K202+'Normalized Units'!L202</f>
        <v>44281607.6443692</v>
      </c>
      <c r="T30" s="326"/>
      <c r="U30" s="86"/>
    </row>
    <row r="31" spans="1:21">
      <c r="A31" s="220" t="s">
        <v>199</v>
      </c>
      <c r="B31" s="220" t="s">
        <v>525</v>
      </c>
      <c r="C31" s="319">
        <v>25</v>
      </c>
      <c r="D31" s="136">
        <v>700</v>
      </c>
      <c r="E31" s="136">
        <f t="shared" si="16"/>
        <v>17500</v>
      </c>
      <c r="F31" s="136">
        <f t="shared" si="9"/>
        <v>1588.75</v>
      </c>
      <c r="G31" s="136">
        <f t="shared" ca="1" si="10"/>
        <v>1548.99</v>
      </c>
      <c r="H31" s="136">
        <f t="shared" ca="1" si="11"/>
        <v>-39.759999999999991</v>
      </c>
      <c r="I31" s="499">
        <f t="shared" ca="1" si="12"/>
        <v>-2.5025963808025171</v>
      </c>
      <c r="J31" s="136">
        <f t="shared" ca="1" si="17"/>
        <v>1548.99</v>
      </c>
      <c r="K31" s="136">
        <f t="shared" ca="1" si="13"/>
        <v>1596.345</v>
      </c>
      <c r="L31" s="136">
        <f t="shared" ca="1" si="14"/>
        <v>47.355000000000018</v>
      </c>
      <c r="M31" s="499">
        <f t="shared" ca="1" si="15"/>
        <v>3.0571533709062049</v>
      </c>
      <c r="N31" s="230" t="s">
        <v>217</v>
      </c>
      <c r="O31" s="97" t="s">
        <v>402</v>
      </c>
      <c r="P31" s="95" t="s">
        <v>5</v>
      </c>
      <c r="Q31" s="95" t="s">
        <v>195</v>
      </c>
      <c r="R31" s="95" t="s">
        <v>399</v>
      </c>
      <c r="S31" s="95">
        <f>'Normalized Units'!M202+'Normalized Units'!N202+'Normalized Units'!O202+'Normalized Units'!P202+'Normalized Units'!Q202+'Normalized Units'!R202+'Normalized Units'!S202+'Normalized Units'!T202</f>
        <v>65014231.927946553</v>
      </c>
      <c r="T31" s="326"/>
      <c r="U31" s="86"/>
    </row>
    <row r="32" spans="1:21">
      <c r="A32" s="220" t="s">
        <v>199</v>
      </c>
      <c r="B32" s="220" t="s">
        <v>525</v>
      </c>
      <c r="C32" s="319">
        <v>50</v>
      </c>
      <c r="D32" s="136">
        <v>300</v>
      </c>
      <c r="E32" s="136">
        <f t="shared" si="16"/>
        <v>15000</v>
      </c>
      <c r="F32" s="136">
        <f t="shared" si="9"/>
        <v>1513.5</v>
      </c>
      <c r="G32" s="136">
        <f t="shared" ca="1" si="10"/>
        <v>1472.94</v>
      </c>
      <c r="H32" s="136">
        <f t="shared" ca="1" si="11"/>
        <v>-40.559999999999945</v>
      </c>
      <c r="I32" s="499">
        <f t="shared" ca="1" si="12"/>
        <v>-2.679881070366696</v>
      </c>
      <c r="J32" s="136">
        <f t="shared" ca="1" si="17"/>
        <v>1472.94</v>
      </c>
      <c r="K32" s="136">
        <f t="shared" ca="1" si="13"/>
        <v>1523.07</v>
      </c>
      <c r="L32" s="136">
        <f t="shared" ca="1" si="14"/>
        <v>50.129999999999882</v>
      </c>
      <c r="M32" s="499">
        <f t="shared" ca="1" si="15"/>
        <v>3.4033972870585281</v>
      </c>
      <c r="N32" s="230" t="s">
        <v>217</v>
      </c>
      <c r="O32" s="97" t="s">
        <v>402</v>
      </c>
      <c r="P32" s="95" t="s">
        <v>5</v>
      </c>
      <c r="Q32" s="95" t="s">
        <v>195</v>
      </c>
      <c r="R32" s="95" t="s">
        <v>201</v>
      </c>
      <c r="S32" s="95">
        <f>SUMIFS('Normalized Units'!I:I,'Normalized Units'!B:B,"Normalized Billing Units",'Normalized Units'!C:C,N$4,'Normalized Units'!D:D,P32,'Normalized Units'!F:F,Q32,'Normalized Units'!H:H,R32)</f>
        <v>108913.48275862068</v>
      </c>
      <c r="T32" s="326"/>
      <c r="U32" s="86"/>
    </row>
    <row r="33" spans="1:21">
      <c r="A33" s="220" t="s">
        <v>199</v>
      </c>
      <c r="B33" s="220" t="s">
        <v>525</v>
      </c>
      <c r="C33" s="319">
        <v>50</v>
      </c>
      <c r="D33" s="136">
        <v>500</v>
      </c>
      <c r="E33" s="136">
        <f t="shared" si="16"/>
        <v>25000</v>
      </c>
      <c r="F33" s="136">
        <f t="shared" si="9"/>
        <v>2299.5</v>
      </c>
      <c r="G33" s="136">
        <f t="shared" ca="1" si="10"/>
        <v>2262.1400000000003</v>
      </c>
      <c r="H33" s="136">
        <f t="shared" ca="1" si="11"/>
        <v>-37.359999999999673</v>
      </c>
      <c r="I33" s="499">
        <f t="shared" ca="1" si="12"/>
        <v>-1.6247010219612816</v>
      </c>
      <c r="J33" s="136">
        <f t="shared" ca="1" si="17"/>
        <v>2262.1400000000003</v>
      </c>
      <c r="K33" s="136">
        <f t="shared" ca="1" si="13"/>
        <v>2333.17</v>
      </c>
      <c r="L33" s="136">
        <f t="shared" ca="1" si="14"/>
        <v>71.029999999999745</v>
      </c>
      <c r="M33" s="499">
        <f t="shared" ca="1" si="15"/>
        <v>3.1399471297090247</v>
      </c>
      <c r="N33" s="230" t="s">
        <v>217</v>
      </c>
      <c r="O33" s="97" t="s">
        <v>402</v>
      </c>
      <c r="P33" s="95" t="s">
        <v>5</v>
      </c>
      <c r="Q33" s="95" t="s">
        <v>195</v>
      </c>
      <c r="R33" s="166" t="s">
        <v>367</v>
      </c>
      <c r="S33" s="95">
        <f>SUMIFS('Normalized Units'!I:I,'Normalized Units'!B:B,"Normalized Billing Units",'Normalized Units'!C:C,N$4,'Normalized Units'!D:D,P33,'Normalized Units'!F:F,Q33,'Normalized Units'!H:H,R33)</f>
        <v>104394</v>
      </c>
      <c r="T33" s="326"/>
      <c r="U33" s="86"/>
    </row>
    <row r="34" spans="1:21">
      <c r="A34" s="220" t="s">
        <v>199</v>
      </c>
      <c r="B34" s="220" t="s">
        <v>525</v>
      </c>
      <c r="C34" s="319">
        <v>50</v>
      </c>
      <c r="D34" s="136">
        <v>700</v>
      </c>
      <c r="E34" s="136">
        <f t="shared" si="16"/>
        <v>35000</v>
      </c>
      <c r="F34" s="136">
        <f t="shared" si="9"/>
        <v>3085.5</v>
      </c>
      <c r="G34" s="136">
        <f t="shared" ca="1" si="10"/>
        <v>3051.34</v>
      </c>
      <c r="H34" s="136">
        <f t="shared" ca="1" si="11"/>
        <v>-34.159999999999854</v>
      </c>
      <c r="I34" s="499">
        <f t="shared" ca="1" si="12"/>
        <v>-1.1071139199481399</v>
      </c>
      <c r="J34" s="136">
        <f t="shared" ca="1" si="17"/>
        <v>3051.34</v>
      </c>
      <c r="K34" s="136">
        <f t="shared" ca="1" si="13"/>
        <v>3143.27</v>
      </c>
      <c r="L34" s="136">
        <f t="shared" ca="1" si="14"/>
        <v>91.929999999999836</v>
      </c>
      <c r="M34" s="499">
        <f t="shared" ca="1" si="15"/>
        <v>3.0127747153709463</v>
      </c>
      <c r="N34" s="230" t="s">
        <v>217</v>
      </c>
      <c r="O34" s="97" t="s">
        <v>402</v>
      </c>
      <c r="P34" s="95" t="s">
        <v>5</v>
      </c>
      <c r="Q34" s="95" t="s">
        <v>195</v>
      </c>
      <c r="R34" s="166" t="s">
        <v>358</v>
      </c>
      <c r="S34" s="95">
        <f>SUMIFS('Normalized Units'!I:I,'Normalized Units'!B:B,"Normalized Billing Units",'Normalized Units'!C:C,N$4,'Normalized Units'!D:D,P34,'Normalized Units'!F:F,Q34,'Normalized Units'!H:H,R34)</f>
        <v>3766.6333333333332</v>
      </c>
      <c r="T34" s="326"/>
      <c r="U34" s="86"/>
    </row>
    <row r="35" spans="1:21">
      <c r="A35" s="220" t="s">
        <v>199</v>
      </c>
      <c r="B35" s="220" t="s">
        <v>525</v>
      </c>
      <c r="C35" s="319">
        <v>75</v>
      </c>
      <c r="D35" s="136">
        <v>300</v>
      </c>
      <c r="E35" s="136">
        <f t="shared" si="16"/>
        <v>22500</v>
      </c>
      <c r="F35" s="136">
        <f t="shared" si="9"/>
        <v>2224.25</v>
      </c>
      <c r="G35" s="136">
        <f t="shared" ca="1" si="10"/>
        <v>2186.09</v>
      </c>
      <c r="H35" s="136">
        <f t="shared" ca="1" si="11"/>
        <v>-38.159999999999854</v>
      </c>
      <c r="I35" s="499">
        <f t="shared" ca="1" si="12"/>
        <v>-1.7156344835337689</v>
      </c>
      <c r="J35" s="136">
        <f t="shared" ca="1" si="17"/>
        <v>2186.09</v>
      </c>
      <c r="K35" s="136">
        <f t="shared" ca="1" si="13"/>
        <v>2259.895</v>
      </c>
      <c r="L35" s="136">
        <f t="shared" ca="1" si="14"/>
        <v>73.804999999999836</v>
      </c>
      <c r="M35" s="499">
        <f t="shared" ca="1" si="15"/>
        <v>3.3761190069942146</v>
      </c>
      <c r="N35" s="255" t="s">
        <v>217</v>
      </c>
      <c r="O35" s="145" t="s">
        <v>402</v>
      </c>
      <c r="P35" s="147" t="s">
        <v>5</v>
      </c>
      <c r="Q35" s="147" t="s">
        <v>195</v>
      </c>
      <c r="R35" s="258" t="s">
        <v>368</v>
      </c>
      <c r="S35" s="147">
        <f>SUMIFS('Normalized Units'!I:I,'Normalized Units'!B:B,"Normalized Billing Units",'Normalized Units'!C:C,N$4,'Normalized Units'!D:D,P35,'Normalized Units'!F:F,Q35,'Normalized Units'!H:H,R35)</f>
        <v>132.06666666666666</v>
      </c>
      <c r="T35" s="326"/>
      <c r="U35" s="86"/>
    </row>
    <row r="36" spans="1:21">
      <c r="A36" s="220" t="s">
        <v>199</v>
      </c>
      <c r="B36" s="220" t="s">
        <v>525</v>
      </c>
      <c r="C36" s="319">
        <v>75</v>
      </c>
      <c r="D36" s="136">
        <v>500</v>
      </c>
      <c r="E36" s="136">
        <f t="shared" si="16"/>
        <v>37500</v>
      </c>
      <c r="F36" s="136">
        <f t="shared" si="9"/>
        <v>3403.25</v>
      </c>
      <c r="G36" s="136">
        <f t="shared" ca="1" si="10"/>
        <v>3369.89</v>
      </c>
      <c r="H36" s="136">
        <f t="shared" ca="1" si="11"/>
        <v>-33.360000000000127</v>
      </c>
      <c r="I36" s="499">
        <f t="shared" ca="1" si="12"/>
        <v>-0.9802394769705467</v>
      </c>
      <c r="J36" s="136">
        <f t="shared" ca="1" si="17"/>
        <v>3369.89</v>
      </c>
      <c r="K36" s="136">
        <f t="shared" ca="1" si="13"/>
        <v>3475.0450000000001</v>
      </c>
      <c r="L36" s="136">
        <f t="shared" ca="1" si="14"/>
        <v>105.1550000000002</v>
      </c>
      <c r="M36" s="499">
        <f t="shared" ca="1" si="15"/>
        <v>3.120428263237085</v>
      </c>
      <c r="N36" s="254" t="s">
        <v>217</v>
      </c>
      <c r="O36" s="140" t="s">
        <v>402</v>
      </c>
      <c r="P36" s="139" t="s">
        <v>7</v>
      </c>
      <c r="Q36" s="139" t="s">
        <v>199</v>
      </c>
      <c r="R36" s="139" t="s">
        <v>335</v>
      </c>
      <c r="S36" s="139">
        <f>SUMIFS('Normalized Units'!I:I,'Normalized Units'!B:B,"Normalized Billing Units",'Normalized Units'!C:C,N$4,'Normalized Units'!D:D,P36,'Normalized Units'!F:F,Q36,'Normalized Units'!H:H,R36)</f>
        <v>2064.5333333333333</v>
      </c>
      <c r="T36" s="326"/>
      <c r="U36" s="86"/>
    </row>
    <row r="37" spans="1:21">
      <c r="A37" s="220" t="s">
        <v>199</v>
      </c>
      <c r="B37" s="220" t="s">
        <v>525</v>
      </c>
      <c r="C37" s="319">
        <v>75</v>
      </c>
      <c r="D37" s="136">
        <v>700</v>
      </c>
      <c r="E37" s="136">
        <f t="shared" si="16"/>
        <v>52500</v>
      </c>
      <c r="F37" s="136">
        <f t="shared" si="9"/>
        <v>4582.25</v>
      </c>
      <c r="G37" s="136">
        <f t="shared" ca="1" si="10"/>
        <v>4553.6900000000005</v>
      </c>
      <c r="H37" s="136">
        <f t="shared" ca="1" si="11"/>
        <v>-28.559999999999491</v>
      </c>
      <c r="I37" s="499">
        <f t="shared" ca="1" si="12"/>
        <v>-0.62327459217632153</v>
      </c>
      <c r="J37" s="136">
        <f t="shared" ca="1" si="17"/>
        <v>4553.6900000000005</v>
      </c>
      <c r="K37" s="136">
        <f t="shared" ca="1" si="13"/>
        <v>4690.1950000000006</v>
      </c>
      <c r="L37" s="136">
        <f t="shared" ca="1" si="14"/>
        <v>136.50500000000011</v>
      </c>
      <c r="M37" s="499">
        <f t="shared" ca="1" si="15"/>
        <v>2.9976788055401244</v>
      </c>
      <c r="N37" s="230" t="s">
        <v>217</v>
      </c>
      <c r="O37" s="97" t="s">
        <v>402</v>
      </c>
      <c r="P37" s="95" t="s">
        <v>7</v>
      </c>
      <c r="Q37" s="95" t="s">
        <v>200</v>
      </c>
      <c r="R37" s="95" t="s">
        <v>335</v>
      </c>
      <c r="S37" s="95">
        <f>SUMIFS('Normalized Units'!I:I,'Normalized Units'!B:B,"Normalized Billing Units",'Normalized Units'!C:C,N$4,'Normalized Units'!D:D,P37,'Normalized Units'!F:F,Q37,'Normalized Units'!H:H,R37)</f>
        <v>2816.0666666666666</v>
      </c>
      <c r="T37" s="326"/>
      <c r="U37" s="86"/>
    </row>
    <row r="38" spans="1:21">
      <c r="A38" s="220" t="s">
        <v>199</v>
      </c>
      <c r="B38" s="220" t="s">
        <v>525</v>
      </c>
      <c r="C38" s="319">
        <v>100</v>
      </c>
      <c r="D38" s="136">
        <v>300</v>
      </c>
      <c r="E38" s="136">
        <f t="shared" si="16"/>
        <v>30000</v>
      </c>
      <c r="F38" s="136">
        <f t="shared" si="9"/>
        <v>2935</v>
      </c>
      <c r="G38" s="136">
        <f t="shared" ca="1" si="10"/>
        <v>2899.2400000000002</v>
      </c>
      <c r="H38" s="136">
        <f t="shared" ca="1" si="11"/>
        <v>-35.759999999999764</v>
      </c>
      <c r="I38" s="499">
        <f t="shared" ca="1" si="12"/>
        <v>-1.2183986371379816</v>
      </c>
      <c r="J38" s="136">
        <f t="shared" ca="1" si="17"/>
        <v>2899.2400000000002</v>
      </c>
      <c r="K38" s="136">
        <f t="shared" ca="1" si="13"/>
        <v>2996.72</v>
      </c>
      <c r="L38" s="136">
        <f t="shared" ca="1" si="14"/>
        <v>97.479999999999563</v>
      </c>
      <c r="M38" s="499">
        <f t="shared" ca="1" si="15"/>
        <v>3.3622604544639132</v>
      </c>
      <c r="N38" s="230" t="s">
        <v>217</v>
      </c>
      <c r="O38" s="97" t="s">
        <v>402</v>
      </c>
      <c r="P38" s="95" t="s">
        <v>7</v>
      </c>
      <c r="Q38" s="95" t="s">
        <v>200</v>
      </c>
      <c r="R38" s="95" t="s">
        <v>336</v>
      </c>
      <c r="S38" s="95">
        <f>SUMIFS('Normalized Units'!I:I,'Normalized Units'!B:B,"Normalized Billing Units",'Normalized Units'!C:C,N$4,'Normalized Units'!D:D,P38,'Normalized Units'!F:F,Q38,'Normalized Units'!H:H,R38)</f>
        <v>1</v>
      </c>
      <c r="T38" s="326"/>
      <c r="U38" s="86"/>
    </row>
    <row r="39" spans="1:21">
      <c r="A39" s="220" t="s">
        <v>199</v>
      </c>
      <c r="B39" s="220" t="s">
        <v>525</v>
      </c>
      <c r="C39" s="319">
        <v>100</v>
      </c>
      <c r="D39" s="136">
        <v>500</v>
      </c>
      <c r="E39" s="136">
        <f t="shared" si="16"/>
        <v>50000</v>
      </c>
      <c r="F39" s="136">
        <f t="shared" si="9"/>
        <v>4507</v>
      </c>
      <c r="G39" s="136">
        <f t="shared" ca="1" si="10"/>
        <v>4477.6400000000003</v>
      </c>
      <c r="H39" s="136">
        <f t="shared" ca="1" si="11"/>
        <v>-29.359999999999673</v>
      </c>
      <c r="I39" s="499">
        <f t="shared" ca="1" si="12"/>
        <v>-0.65143110716662245</v>
      </c>
      <c r="J39" s="136">
        <f t="shared" ca="1" si="17"/>
        <v>4477.6400000000003</v>
      </c>
      <c r="K39" s="136">
        <f t="shared" ca="1" si="13"/>
        <v>4616.92</v>
      </c>
      <c r="L39" s="136">
        <f t="shared" ca="1" si="14"/>
        <v>139.27999999999975</v>
      </c>
      <c r="M39" s="499">
        <f t="shared" ca="1" si="15"/>
        <v>3.1105671737790388</v>
      </c>
      <c r="N39" s="230" t="s">
        <v>217</v>
      </c>
      <c r="O39" s="97" t="s">
        <v>402</v>
      </c>
      <c r="P39" s="95" t="s">
        <v>7</v>
      </c>
      <c r="Q39" s="95" t="s">
        <v>195</v>
      </c>
      <c r="R39" s="95" t="s">
        <v>281</v>
      </c>
      <c r="S39" s="95">
        <f>SUMIFS('Normalized Units'!I:I,'Normalized Units'!B:B,"Normalized Billing Units",'Normalized Units'!C:C,N$4,'Normalized Units'!D:D,P39,'Normalized Units'!F:F,Q39,'Normalized Units'!H:H,R39)</f>
        <v>50566.221153846156</v>
      </c>
      <c r="T39" s="326"/>
      <c r="U39" s="86"/>
    </row>
    <row r="40" spans="1:21">
      <c r="A40" s="220" t="s">
        <v>199</v>
      </c>
      <c r="B40" s="220" t="s">
        <v>525</v>
      </c>
      <c r="C40" s="319">
        <v>100</v>
      </c>
      <c r="D40" s="136">
        <v>700</v>
      </c>
      <c r="E40" s="136">
        <f t="shared" si="16"/>
        <v>70000</v>
      </c>
      <c r="F40" s="136">
        <f t="shared" si="9"/>
        <v>6079</v>
      </c>
      <c r="G40" s="136">
        <f t="shared" ca="1" si="10"/>
        <v>6056.0400000000009</v>
      </c>
      <c r="H40" s="136">
        <f t="shared" ca="1" si="11"/>
        <v>-22.959999999999127</v>
      </c>
      <c r="I40" s="499">
        <f t="shared" ca="1" si="12"/>
        <v>-0.3776936996216339</v>
      </c>
      <c r="J40" s="136">
        <f t="shared" ca="1" si="17"/>
        <v>6056.0400000000009</v>
      </c>
      <c r="K40" s="136">
        <f t="shared" ca="1" si="13"/>
        <v>6237.12</v>
      </c>
      <c r="L40" s="136">
        <f t="shared" ca="1" si="14"/>
        <v>181.07999999999902</v>
      </c>
      <c r="M40" s="499">
        <f t="shared" ca="1" si="15"/>
        <v>2.9900727207878246</v>
      </c>
      <c r="N40" s="230" t="s">
        <v>217</v>
      </c>
      <c r="O40" s="97" t="s">
        <v>402</v>
      </c>
      <c r="P40" s="95" t="s">
        <v>7</v>
      </c>
      <c r="Q40" s="95" t="s">
        <v>195</v>
      </c>
      <c r="R40" s="95" t="s">
        <v>283</v>
      </c>
      <c r="S40" s="95">
        <f>SUMIFS('Normalized Units'!I:I,'Normalized Units'!B:B,"Normalized Billing Units",'Normalized Units'!C:C,N$4,'Normalized Units'!D:D,P40,'Normalized Units'!F:F,Q40,'Normalized Units'!H:H,R40)</f>
        <v>55.99970802599227</v>
      </c>
      <c r="T40" s="326"/>
      <c r="U40" s="86"/>
    </row>
    <row r="41" spans="1:21">
      <c r="A41" s="393" t="s">
        <v>517</v>
      </c>
      <c r="B41" s="345"/>
      <c r="C41" s="345"/>
      <c r="D41" s="345"/>
      <c r="E41" s="345"/>
      <c r="F41" s="345"/>
      <c r="G41" s="345"/>
      <c r="H41" s="345"/>
      <c r="I41" s="510"/>
      <c r="J41" s="345"/>
      <c r="K41" s="345"/>
      <c r="L41" s="345"/>
      <c r="M41" s="513"/>
      <c r="N41" s="230" t="s">
        <v>217</v>
      </c>
      <c r="O41" s="97" t="s">
        <v>402</v>
      </c>
      <c r="P41" s="95" t="s">
        <v>7</v>
      </c>
      <c r="Q41" s="95" t="s">
        <v>195</v>
      </c>
      <c r="R41" s="95" t="s">
        <v>202</v>
      </c>
      <c r="S41" s="95">
        <f>SUMIFS('Normalized Units'!I:I,'Normalized Units'!B:B,"Normalized Billing Units",'Normalized Units'!C:C,N$4,'Normalized Units'!D:D,P41,'Normalized Units'!F:F,Q41,'Normalized Units'!H:H,R41)</f>
        <v>32855.535433070865</v>
      </c>
      <c r="T41" s="326"/>
      <c r="U41" s="86"/>
    </row>
    <row r="42" spans="1:21">
      <c r="A42" s="384" t="s">
        <v>518</v>
      </c>
      <c r="B42" s="138"/>
      <c r="C42" s="138"/>
      <c r="D42" s="138"/>
      <c r="E42" s="138"/>
      <c r="F42" s="138"/>
      <c r="G42" s="138"/>
      <c r="H42" s="138"/>
      <c r="I42" s="511"/>
      <c r="J42" s="138"/>
      <c r="K42" s="138"/>
      <c r="L42" s="138"/>
      <c r="M42" s="514"/>
      <c r="N42" s="230" t="s">
        <v>217</v>
      </c>
      <c r="O42" s="97" t="s">
        <v>402</v>
      </c>
      <c r="P42" s="95" t="s">
        <v>7</v>
      </c>
      <c r="Q42" s="95" t="s">
        <v>195</v>
      </c>
      <c r="R42" s="95" t="s">
        <v>396</v>
      </c>
      <c r="S42" s="95">
        <f>'Normalized Units'!U203+'Normalized Units'!J203+'Normalized Units'!K203+'Normalized Units'!L203</f>
        <v>983666.49258984241</v>
      </c>
      <c r="T42" s="326"/>
      <c r="U42" s="86"/>
    </row>
    <row r="43" spans="1:21">
      <c r="A43" s="330" t="s">
        <v>523</v>
      </c>
      <c r="B43" s="346"/>
      <c r="C43" s="346"/>
      <c r="D43" s="346"/>
      <c r="E43" s="346"/>
      <c r="F43" s="346"/>
      <c r="G43" s="346"/>
      <c r="H43" s="346"/>
      <c r="I43" s="512"/>
      <c r="J43" s="346"/>
      <c r="K43" s="346"/>
      <c r="L43" s="346"/>
      <c r="M43" s="515"/>
      <c r="N43" s="230" t="s">
        <v>217</v>
      </c>
      <c r="O43" s="97" t="s">
        <v>402</v>
      </c>
      <c r="P43" s="95" t="s">
        <v>7</v>
      </c>
      <c r="Q43" s="95" t="s">
        <v>195</v>
      </c>
      <c r="R43" s="95" t="s">
        <v>394</v>
      </c>
      <c r="S43" s="95">
        <f>'Normalized Units'!M203+'Normalized Units'!N203+'Normalized Units'!O203+'Normalized Units'!P203+'Normalized Units'!Q203+'Normalized Units'!R203+'Normalized Units'!S203+'Normalized Units'!T203</f>
        <v>1953226.3913132786</v>
      </c>
      <c r="T43" s="326"/>
      <c r="U43"/>
    </row>
    <row r="44" spans="1:21">
      <c r="A44" s="220" t="s">
        <v>199</v>
      </c>
      <c r="B44" s="220" t="s">
        <v>526</v>
      </c>
      <c r="C44" s="319">
        <v>15</v>
      </c>
      <c r="D44" s="136">
        <v>300</v>
      </c>
      <c r="E44" s="136">
        <f>C44*D44</f>
        <v>4500</v>
      </c>
      <c r="F44" s="136">
        <f t="shared" ref="F44:F58" si="18">SUMIFS(S$52:S$55,Q$52:Q$55,A44,R$52:R$55,"Bill")+(S$56+S$58)*C44+S$59*1000+IF(E44&lt;=9000,S$60*(E44-1000),S$60*8000+S$61*(E44-9000))</f>
        <v>495.005</v>
      </c>
      <c r="G44" s="136">
        <f t="shared" ref="G44:G58" ca="1" si="19">SUMIFS(S$115:S$118,Q$115:Q$118,A44,R$115:R$118,"Bill")+(S$119+S$121)*C44+IF(B44="Summer",S$122,IF(B44="Winter",S$123,AF$123))*1000+IF(B44="Summer",S$124,IF(B44="Winter",S$125,AF$125))*(E44-1000)</f>
        <v>489.73650537698717</v>
      </c>
      <c r="H44" s="136">
        <f t="shared" ref="H44:H58" ca="1" si="20">G44-F44</f>
        <v>-5.2684946230128276</v>
      </c>
      <c r="I44" s="499">
        <f t="shared" ref="I44:I58" ca="1" si="21">H44/F44*100</f>
        <v>-1.0643315972591847</v>
      </c>
      <c r="J44" s="136">
        <f ca="1">G44</f>
        <v>489.73650537698717</v>
      </c>
      <c r="K44" s="136">
        <f t="shared" ref="K44:K58" ca="1" si="22">SUMIFS(S$192:S$195,Q$192:Q$195,A44,R$192:R$195,"Bill")+(S$196+S$198)*C44+IF(B44="Summer",S$199,IF(B44="Winter",S$200,AF$200))*1000+IF(B44="Summer",S$201,IF(B44="Winter",S$202,AF$202))*(E44-1000)</f>
        <v>521.92602504345382</v>
      </c>
      <c r="L44" s="136">
        <f t="shared" ref="L44:L58" ca="1" si="23">K44-J44</f>
        <v>32.189519666466651</v>
      </c>
      <c r="M44" s="499">
        <f t="shared" ref="M44:M58" ca="1" si="24">L44/J44*100</f>
        <v>6.5728242254858955</v>
      </c>
      <c r="N44" s="230" t="s">
        <v>217</v>
      </c>
      <c r="O44" s="97" t="s">
        <v>402</v>
      </c>
      <c r="P44" s="95" t="s">
        <v>7</v>
      </c>
      <c r="Q44" s="95" t="s">
        <v>195</v>
      </c>
      <c r="R44" s="95" t="s">
        <v>397</v>
      </c>
      <c r="S44" s="95">
        <f>'Normalized Units'!U204+'Normalized Units'!J204+'Normalized Units'!K204+'Normalized Units'!L204</f>
        <v>2810275.077659104</v>
      </c>
      <c r="T44" s="326"/>
      <c r="U44"/>
    </row>
    <row r="45" spans="1:21">
      <c r="A45" s="220" t="s">
        <v>199</v>
      </c>
      <c r="B45" s="220" t="s">
        <v>526</v>
      </c>
      <c r="C45" s="319">
        <v>15</v>
      </c>
      <c r="D45" s="136">
        <v>500</v>
      </c>
      <c r="E45" s="136">
        <f t="shared" ref="E45:E58" si="25">C45*D45</f>
        <v>7500</v>
      </c>
      <c r="F45" s="136">
        <f t="shared" si="18"/>
        <v>746.43499999999995</v>
      </c>
      <c r="G45" s="136">
        <f t="shared" ca="1" si="19"/>
        <v>736.63205960313576</v>
      </c>
      <c r="H45" s="136">
        <f t="shared" ca="1" si="20"/>
        <v>-9.8029403968641873</v>
      </c>
      <c r="I45" s="499">
        <f t="shared" ca="1" si="21"/>
        <v>-1.3133012783248625</v>
      </c>
      <c r="J45" s="136">
        <f t="shared" ref="J45:J58" ca="1" si="26">G45</f>
        <v>736.63205960313576</v>
      </c>
      <c r="K45" s="136">
        <f t="shared" ca="1" si="22"/>
        <v>785.23160134161208</v>
      </c>
      <c r="L45" s="136">
        <f t="shared" ca="1" si="23"/>
        <v>48.599541738476319</v>
      </c>
      <c r="M45" s="499">
        <f t="shared" ca="1" si="24"/>
        <v>6.5975327987570305</v>
      </c>
      <c r="N45" s="230" t="s">
        <v>217</v>
      </c>
      <c r="O45" s="97" t="s">
        <v>402</v>
      </c>
      <c r="P45" s="95" t="s">
        <v>7</v>
      </c>
      <c r="Q45" s="95" t="s">
        <v>195</v>
      </c>
      <c r="R45" s="95" t="s">
        <v>395</v>
      </c>
      <c r="S45" s="95">
        <f>'Normalized Units'!M204+'Normalized Units'!N204+'Normalized Units'!O204+'Normalized Units'!P204+'Normalized Units'!Q204+'Normalized Units'!R204+'Normalized Units'!S204+'Normalized Units'!T204</f>
        <v>5887310.2681931946</v>
      </c>
      <c r="T45" s="326"/>
      <c r="U45"/>
    </row>
    <row r="46" spans="1:21">
      <c r="A46" s="220" t="s">
        <v>199</v>
      </c>
      <c r="B46" s="220" t="s">
        <v>526</v>
      </c>
      <c r="C46" s="319">
        <v>15</v>
      </c>
      <c r="D46" s="136">
        <v>700</v>
      </c>
      <c r="E46" s="136">
        <f t="shared" si="25"/>
        <v>10500</v>
      </c>
      <c r="F46" s="136">
        <f t="shared" si="18"/>
        <v>990.05</v>
      </c>
      <c r="G46" s="136">
        <f t="shared" ca="1" si="19"/>
        <v>983.52761382928429</v>
      </c>
      <c r="H46" s="136">
        <f t="shared" ca="1" si="20"/>
        <v>-6.522386170715663</v>
      </c>
      <c r="I46" s="499">
        <f t="shared" ca="1" si="21"/>
        <v>-0.65879361352615151</v>
      </c>
      <c r="J46" s="136">
        <f t="shared" ca="1" si="26"/>
        <v>983.52761382928429</v>
      </c>
      <c r="K46" s="136">
        <f t="shared" ca="1" si="22"/>
        <v>1048.5371776397701</v>
      </c>
      <c r="L46" s="136">
        <f t="shared" ca="1" si="23"/>
        <v>65.009563810485815</v>
      </c>
      <c r="M46" s="499">
        <f t="shared" ca="1" si="24"/>
        <v>6.6098361547141922</v>
      </c>
      <c r="N46" s="230" t="s">
        <v>217</v>
      </c>
      <c r="O46" s="97" t="s">
        <v>402</v>
      </c>
      <c r="P46" s="95" t="s">
        <v>7</v>
      </c>
      <c r="Q46" s="95" t="s">
        <v>195</v>
      </c>
      <c r="R46" s="95" t="s">
        <v>398</v>
      </c>
      <c r="S46" s="95">
        <f>'Normalized Units'!U205+'Normalized Units'!J205+'Normalized Units'!K205+'Normalized Units'!L205</f>
        <v>1148783.2598928562</v>
      </c>
      <c r="T46" s="326"/>
      <c r="U46"/>
    </row>
    <row r="47" spans="1:21">
      <c r="A47" s="220" t="s">
        <v>199</v>
      </c>
      <c r="B47" s="220" t="s">
        <v>526</v>
      </c>
      <c r="C47" s="319">
        <v>25</v>
      </c>
      <c r="D47" s="136">
        <v>300</v>
      </c>
      <c r="E47" s="136">
        <f t="shared" si="25"/>
        <v>7500</v>
      </c>
      <c r="F47" s="136">
        <f t="shared" si="18"/>
        <v>794.93499999999995</v>
      </c>
      <c r="G47" s="136">
        <f t="shared" ca="1" si="19"/>
        <v>785.13205960313576</v>
      </c>
      <c r="H47" s="136">
        <f t="shared" ca="1" si="20"/>
        <v>-9.8029403968641873</v>
      </c>
      <c r="I47" s="499">
        <f t="shared" ca="1" si="21"/>
        <v>-1.2331750893927413</v>
      </c>
      <c r="J47" s="136">
        <f t="shared" ca="1" si="26"/>
        <v>785.13205960313576</v>
      </c>
      <c r="K47" s="136">
        <f t="shared" ca="1" si="22"/>
        <v>836.93160134161201</v>
      </c>
      <c r="L47" s="136">
        <f t="shared" ca="1" si="23"/>
        <v>51.79954173847625</v>
      </c>
      <c r="M47" s="499">
        <f t="shared" ca="1" si="24"/>
        <v>6.597557838188342</v>
      </c>
      <c r="N47" s="230" t="s">
        <v>217</v>
      </c>
      <c r="O47" s="97" t="s">
        <v>402</v>
      </c>
      <c r="P47" s="95" t="s">
        <v>7</v>
      </c>
      <c r="Q47" s="95" t="s">
        <v>195</v>
      </c>
      <c r="R47" s="95" t="s">
        <v>399</v>
      </c>
      <c r="S47" s="95">
        <f>'Normalized Units'!M205+'Normalized Units'!N205+'Normalized Units'!O205+'Normalized Units'!P205+'Normalized Units'!Q205+'Normalized Units'!R205+'Normalized Units'!S205+'Normalized Units'!T205</f>
        <v>2319003.7909127274</v>
      </c>
      <c r="T47" s="326"/>
      <c r="U47" s="86"/>
    </row>
    <row r="48" spans="1:21">
      <c r="A48" s="220" t="s">
        <v>199</v>
      </c>
      <c r="B48" s="220" t="s">
        <v>526</v>
      </c>
      <c r="C48" s="319">
        <v>25</v>
      </c>
      <c r="D48" s="136">
        <v>500</v>
      </c>
      <c r="E48" s="136">
        <f t="shared" si="25"/>
        <v>12500</v>
      </c>
      <c r="F48" s="136">
        <f t="shared" si="18"/>
        <v>1195.75</v>
      </c>
      <c r="G48" s="136">
        <f t="shared" ca="1" si="19"/>
        <v>1196.62464998005</v>
      </c>
      <c r="H48" s="136">
        <f t="shared" ca="1" si="20"/>
        <v>0.87464998004998051</v>
      </c>
      <c r="I48" s="499">
        <f t="shared" ca="1" si="21"/>
        <v>7.3146559067529204E-2</v>
      </c>
      <c r="J48" s="136">
        <f t="shared" ca="1" si="26"/>
        <v>1196.62464998005</v>
      </c>
      <c r="K48" s="136">
        <f t="shared" ca="1" si="22"/>
        <v>1275.7742285052091</v>
      </c>
      <c r="L48" s="136">
        <f t="shared" ca="1" si="23"/>
        <v>79.149578525159086</v>
      </c>
      <c r="M48" s="499">
        <f t="shared" ca="1" si="24"/>
        <v>6.6144031485962334</v>
      </c>
      <c r="N48" s="230" t="s">
        <v>217</v>
      </c>
      <c r="O48" s="97" t="s">
        <v>402</v>
      </c>
      <c r="P48" s="95" t="s">
        <v>7</v>
      </c>
      <c r="Q48" s="95" t="s">
        <v>195</v>
      </c>
      <c r="R48" s="95" t="s">
        <v>201</v>
      </c>
      <c r="S48" s="95">
        <f>SUMIFS('Normalized Units'!I:I,'Normalized Units'!B:B,"Normalized Billing Units",'Normalized Units'!C:C,N$4,'Normalized Units'!D:D,P48,'Normalized Units'!F:F,Q48,'Normalized Units'!H:H,R48)</f>
        <v>14449.086206896553</v>
      </c>
      <c r="T48" s="326"/>
      <c r="U48" s="86"/>
    </row>
    <row r="49" spans="1:22">
      <c r="A49" s="220" t="s">
        <v>199</v>
      </c>
      <c r="B49" s="220" t="s">
        <v>526</v>
      </c>
      <c r="C49" s="319">
        <v>25</v>
      </c>
      <c r="D49" s="136">
        <v>700</v>
      </c>
      <c r="E49" s="136">
        <f t="shared" si="25"/>
        <v>17500</v>
      </c>
      <c r="F49" s="136">
        <f t="shared" si="18"/>
        <v>1588.75</v>
      </c>
      <c r="G49" s="136">
        <f t="shared" ca="1" si="19"/>
        <v>1608.1172403569642</v>
      </c>
      <c r="H49" s="136">
        <f t="shared" ca="1" si="20"/>
        <v>19.367240356964203</v>
      </c>
      <c r="I49" s="499">
        <f t="shared" ca="1" si="21"/>
        <v>1.2190237832864959</v>
      </c>
      <c r="J49" s="136">
        <f t="shared" ca="1" si="26"/>
        <v>1608.1172403569642</v>
      </c>
      <c r="K49" s="136">
        <f t="shared" ca="1" si="22"/>
        <v>1714.6168556688058</v>
      </c>
      <c r="L49" s="136">
        <f t="shared" ca="1" si="23"/>
        <v>106.49961531184158</v>
      </c>
      <c r="M49" s="499">
        <f t="shared" ca="1" si="24"/>
        <v>6.6226275447554537</v>
      </c>
      <c r="N49" s="230" t="s">
        <v>217</v>
      </c>
      <c r="O49" s="97" t="s">
        <v>402</v>
      </c>
      <c r="P49" s="95" t="s">
        <v>7</v>
      </c>
      <c r="Q49" s="95" t="s">
        <v>195</v>
      </c>
      <c r="R49" s="166" t="s">
        <v>367</v>
      </c>
      <c r="S49" s="95">
        <f>SUMIFS('Normalized Units'!I:I,'Normalized Units'!B:B,"Normalized Billing Units",'Normalized Units'!C:C,N$4,'Normalized Units'!D:D,P49,'Normalized Units'!F:F,Q49,'Normalized Units'!H:H,R49)</f>
        <v>11942</v>
      </c>
      <c r="T49" s="326"/>
      <c r="U49" s="86"/>
    </row>
    <row r="50" spans="1:22">
      <c r="A50" s="220" t="s">
        <v>199</v>
      </c>
      <c r="B50" s="220" t="s">
        <v>526</v>
      </c>
      <c r="C50" s="319">
        <v>50</v>
      </c>
      <c r="D50" s="136">
        <v>300</v>
      </c>
      <c r="E50" s="136">
        <f t="shared" si="25"/>
        <v>15000</v>
      </c>
      <c r="F50" s="136">
        <f t="shared" si="18"/>
        <v>1513.5</v>
      </c>
      <c r="G50" s="136">
        <f t="shared" ca="1" si="19"/>
        <v>1523.6209451685072</v>
      </c>
      <c r="H50" s="136">
        <f t="shared" ca="1" si="20"/>
        <v>10.120945168507205</v>
      </c>
      <c r="I50" s="499">
        <f t="shared" ca="1" si="21"/>
        <v>0.66871127641276551</v>
      </c>
      <c r="J50" s="136">
        <f t="shared" ca="1" si="26"/>
        <v>1523.6209451685072</v>
      </c>
      <c r="K50" s="136">
        <f t="shared" ca="1" si="22"/>
        <v>1624.4455420870074</v>
      </c>
      <c r="L50" s="136">
        <f t="shared" ca="1" si="23"/>
        <v>100.82459691850022</v>
      </c>
      <c r="M50" s="499">
        <f t="shared" ca="1" si="24"/>
        <v>6.6174331114455347</v>
      </c>
      <c r="N50" s="230" t="s">
        <v>217</v>
      </c>
      <c r="O50" s="97" t="s">
        <v>402</v>
      </c>
      <c r="P50" s="95" t="s">
        <v>7</v>
      </c>
      <c r="Q50" s="95" t="s">
        <v>195</v>
      </c>
      <c r="R50" s="166" t="s">
        <v>358</v>
      </c>
      <c r="S50" s="95">
        <f>SUMIFS('Normalized Units'!I:I,'Normalized Units'!B:B,"Normalized Billing Units",'Normalized Units'!C:C,N$4,'Normalized Units'!D:D,P50,'Normalized Units'!F:F,Q50,'Normalized Units'!H:H,R50)</f>
        <v>489.2</v>
      </c>
      <c r="T50" s="326"/>
      <c r="U50" s="86"/>
    </row>
    <row r="51" spans="1:22">
      <c r="A51" s="220" t="s">
        <v>199</v>
      </c>
      <c r="B51" s="220" t="s">
        <v>526</v>
      </c>
      <c r="C51" s="319">
        <v>50</v>
      </c>
      <c r="D51" s="136">
        <v>500</v>
      </c>
      <c r="E51" s="136">
        <f t="shared" si="25"/>
        <v>25000</v>
      </c>
      <c r="F51" s="136">
        <f t="shared" si="18"/>
        <v>2299.5</v>
      </c>
      <c r="G51" s="136">
        <f t="shared" ca="1" si="19"/>
        <v>2346.6061259223357</v>
      </c>
      <c r="H51" s="136">
        <f t="shared" ca="1" si="20"/>
        <v>47.10612592233565</v>
      </c>
      <c r="I51" s="499">
        <f t="shared" ca="1" si="21"/>
        <v>2.0485377657027897</v>
      </c>
      <c r="J51" s="136">
        <f t="shared" ca="1" si="26"/>
        <v>2346.6061259223357</v>
      </c>
      <c r="K51" s="136">
        <f t="shared" ca="1" si="22"/>
        <v>2502.1307964142011</v>
      </c>
      <c r="L51" s="136">
        <f t="shared" ca="1" si="23"/>
        <v>155.52467049186544</v>
      </c>
      <c r="M51" s="499">
        <f t="shared" ca="1" si="24"/>
        <v>6.6276427379024394</v>
      </c>
      <c r="N51" s="255" t="s">
        <v>217</v>
      </c>
      <c r="O51" s="145" t="s">
        <v>402</v>
      </c>
      <c r="P51" s="147" t="s">
        <v>7</v>
      </c>
      <c r="Q51" s="147" t="s">
        <v>195</v>
      </c>
      <c r="R51" s="258" t="s">
        <v>368</v>
      </c>
      <c r="S51" s="147">
        <f>SUMIFS('Normalized Units'!I:I,'Normalized Units'!B:B,"Normalized Billing Units",'Normalized Units'!C:C,N$4,'Normalized Units'!D:D,P51,'Normalized Units'!F:F,Q51,'Normalized Units'!H:H,R51)</f>
        <v>25.933333333333334</v>
      </c>
      <c r="T51" s="326"/>
      <c r="U51" s="86"/>
    </row>
    <row r="52" spans="1:22">
      <c r="A52" s="220" t="s">
        <v>199</v>
      </c>
      <c r="B52" s="220" t="s">
        <v>526</v>
      </c>
      <c r="C52" s="319">
        <v>50</v>
      </c>
      <c r="D52" s="136">
        <v>700</v>
      </c>
      <c r="E52" s="136">
        <f t="shared" si="25"/>
        <v>35000</v>
      </c>
      <c r="F52" s="136">
        <f t="shared" si="18"/>
        <v>3085.5</v>
      </c>
      <c r="G52" s="136">
        <f t="shared" ca="1" si="19"/>
        <v>3169.5913066761641</v>
      </c>
      <c r="H52" s="136">
        <f t="shared" ca="1" si="20"/>
        <v>84.091306676164095</v>
      </c>
      <c r="I52" s="499">
        <f t="shared" ca="1" si="21"/>
        <v>2.7253704967157377</v>
      </c>
      <c r="J52" s="136">
        <f t="shared" ca="1" si="26"/>
        <v>3169.5913066761641</v>
      </c>
      <c r="K52" s="136">
        <f t="shared" ca="1" si="22"/>
        <v>3379.816050741395</v>
      </c>
      <c r="L52" s="136">
        <f t="shared" ca="1" si="23"/>
        <v>210.22474406523088</v>
      </c>
      <c r="M52" s="499">
        <f t="shared" ca="1" si="24"/>
        <v>6.6325505001995344</v>
      </c>
      <c r="N52" s="140" t="s">
        <v>406</v>
      </c>
      <c r="O52" s="140" t="s">
        <v>403</v>
      </c>
      <c r="P52" s="139" t="s">
        <v>195</v>
      </c>
      <c r="Q52" s="139" t="s">
        <v>199</v>
      </c>
      <c r="R52" s="140" t="s">
        <v>335</v>
      </c>
      <c r="S52" s="315">
        <v>9.86</v>
      </c>
      <c r="T52" s="327"/>
      <c r="U52" s="318"/>
    </row>
    <row r="53" spans="1:22">
      <c r="A53" s="220" t="s">
        <v>199</v>
      </c>
      <c r="B53" s="220" t="s">
        <v>526</v>
      </c>
      <c r="C53" s="319">
        <v>75</v>
      </c>
      <c r="D53" s="136">
        <v>300</v>
      </c>
      <c r="E53" s="136">
        <f t="shared" si="25"/>
        <v>22500</v>
      </c>
      <c r="F53" s="136">
        <f t="shared" si="18"/>
        <v>2224.25</v>
      </c>
      <c r="G53" s="136">
        <f t="shared" ca="1" si="19"/>
        <v>2262.1098307338784</v>
      </c>
      <c r="H53" s="136">
        <f t="shared" ca="1" si="20"/>
        <v>37.859830733878425</v>
      </c>
      <c r="I53" s="499">
        <f t="shared" ca="1" si="21"/>
        <v>1.7021391810218465</v>
      </c>
      <c r="J53" s="136">
        <f t="shared" ca="1" si="26"/>
        <v>2262.1098307338784</v>
      </c>
      <c r="K53" s="136">
        <f t="shared" ca="1" si="22"/>
        <v>2411.9594828324025</v>
      </c>
      <c r="L53" s="136">
        <f t="shared" ca="1" si="23"/>
        <v>149.84965209852407</v>
      </c>
      <c r="M53" s="499">
        <f t="shared" ca="1" si="24"/>
        <v>6.6243314123218111</v>
      </c>
      <c r="N53" s="97" t="s">
        <v>406</v>
      </c>
      <c r="O53" s="97" t="s">
        <v>403</v>
      </c>
      <c r="P53" s="95" t="s">
        <v>195</v>
      </c>
      <c r="Q53" s="95" t="s">
        <v>199</v>
      </c>
      <c r="R53" s="97" t="s">
        <v>336</v>
      </c>
      <c r="S53" s="316">
        <v>118.32</v>
      </c>
      <c r="T53" s="327"/>
      <c r="U53" s="318"/>
      <c r="V53" s="314"/>
    </row>
    <row r="54" spans="1:22">
      <c r="A54" s="220" t="s">
        <v>199</v>
      </c>
      <c r="B54" s="220" t="s">
        <v>526</v>
      </c>
      <c r="C54" s="319">
        <v>75</v>
      </c>
      <c r="D54" s="136">
        <v>500</v>
      </c>
      <c r="E54" s="136">
        <f t="shared" si="25"/>
        <v>37500</v>
      </c>
      <c r="F54" s="136">
        <f t="shared" si="18"/>
        <v>3403.25</v>
      </c>
      <c r="G54" s="136">
        <f t="shared" ca="1" si="19"/>
        <v>3496.5876018646213</v>
      </c>
      <c r="H54" s="136">
        <f t="shared" ca="1" si="20"/>
        <v>93.33760186462132</v>
      </c>
      <c r="I54" s="499">
        <f t="shared" ca="1" si="21"/>
        <v>2.7426019794202987</v>
      </c>
      <c r="J54" s="136">
        <f t="shared" ca="1" si="26"/>
        <v>3496.5876018646213</v>
      </c>
      <c r="K54" s="136">
        <f t="shared" ca="1" si="22"/>
        <v>3728.4873643231936</v>
      </c>
      <c r="L54" s="136">
        <f t="shared" ca="1" si="23"/>
        <v>231.89976245857224</v>
      </c>
      <c r="M54" s="499">
        <f t="shared" ca="1" si="24"/>
        <v>6.632173675125637</v>
      </c>
      <c r="N54" s="97" t="s">
        <v>406</v>
      </c>
      <c r="O54" s="97" t="s">
        <v>403</v>
      </c>
      <c r="P54" s="95" t="s">
        <v>195</v>
      </c>
      <c r="Q54" s="95" t="s">
        <v>200</v>
      </c>
      <c r="R54" s="97" t="s">
        <v>335</v>
      </c>
      <c r="S54" s="316">
        <v>14.7</v>
      </c>
      <c r="T54" s="327"/>
      <c r="U54" s="318"/>
      <c r="V54" s="314"/>
    </row>
    <row r="55" spans="1:22">
      <c r="A55" s="220" t="s">
        <v>199</v>
      </c>
      <c r="B55" s="220" t="s">
        <v>526</v>
      </c>
      <c r="C55" s="319">
        <v>75</v>
      </c>
      <c r="D55" s="136">
        <v>700</v>
      </c>
      <c r="E55" s="136">
        <f t="shared" si="25"/>
        <v>52500</v>
      </c>
      <c r="F55" s="136">
        <f t="shared" si="18"/>
        <v>4582.25</v>
      </c>
      <c r="G55" s="136">
        <f t="shared" ca="1" si="19"/>
        <v>4731.0653729953638</v>
      </c>
      <c r="H55" s="136">
        <f t="shared" ca="1" si="20"/>
        <v>148.81537299536376</v>
      </c>
      <c r="I55" s="499">
        <f t="shared" ca="1" si="21"/>
        <v>3.2476484913604402</v>
      </c>
      <c r="J55" s="136">
        <f t="shared" ca="1" si="26"/>
        <v>4731.0653729953638</v>
      </c>
      <c r="K55" s="136">
        <f t="shared" ca="1" si="22"/>
        <v>5045.0152458139837</v>
      </c>
      <c r="L55" s="136">
        <f t="shared" ca="1" si="23"/>
        <v>313.94987281861995</v>
      </c>
      <c r="M55" s="499">
        <f t="shared" ca="1" si="24"/>
        <v>6.6359233717341333</v>
      </c>
      <c r="N55" s="97" t="s">
        <v>406</v>
      </c>
      <c r="O55" s="97" t="s">
        <v>403</v>
      </c>
      <c r="P55" s="95" t="s">
        <v>195</v>
      </c>
      <c r="Q55" s="95" t="s">
        <v>200</v>
      </c>
      <c r="R55" s="97" t="s">
        <v>336</v>
      </c>
      <c r="S55" s="316">
        <v>176.4</v>
      </c>
      <c r="T55" s="327"/>
      <c r="U55" s="318"/>
      <c r="V55" s="314"/>
    </row>
    <row r="56" spans="1:22">
      <c r="A56" s="220" t="s">
        <v>199</v>
      </c>
      <c r="B56" s="220" t="s">
        <v>526</v>
      </c>
      <c r="C56" s="319">
        <v>100</v>
      </c>
      <c r="D56" s="136">
        <v>300</v>
      </c>
      <c r="E56" s="136">
        <f t="shared" si="25"/>
        <v>30000</v>
      </c>
      <c r="F56" s="136">
        <f t="shared" si="18"/>
        <v>2935</v>
      </c>
      <c r="G56" s="136">
        <f t="shared" ca="1" si="19"/>
        <v>3000.5987162992496</v>
      </c>
      <c r="H56" s="136">
        <f t="shared" ca="1" si="20"/>
        <v>65.598716299249645</v>
      </c>
      <c r="I56" s="499">
        <f t="shared" ca="1" si="21"/>
        <v>2.235049959088574</v>
      </c>
      <c r="J56" s="136">
        <f t="shared" ca="1" si="26"/>
        <v>3000.5987162992496</v>
      </c>
      <c r="K56" s="136">
        <f t="shared" ca="1" si="22"/>
        <v>3199.4734235777983</v>
      </c>
      <c r="L56" s="136">
        <f t="shared" ca="1" si="23"/>
        <v>198.87470727854861</v>
      </c>
      <c r="M56" s="499">
        <f t="shared" ca="1" si="24"/>
        <v>6.6278341785011561</v>
      </c>
      <c r="N56" s="97" t="s">
        <v>406</v>
      </c>
      <c r="O56" s="97" t="s">
        <v>403</v>
      </c>
      <c r="P56" s="95" t="s">
        <v>195</v>
      </c>
      <c r="Q56" s="95" t="s">
        <v>195</v>
      </c>
      <c r="R56" s="95" t="s">
        <v>281</v>
      </c>
      <c r="S56" s="316">
        <v>1.04</v>
      </c>
      <c r="T56" s="327"/>
      <c r="U56" s="318"/>
    </row>
    <row r="57" spans="1:22">
      <c r="A57" s="220" t="s">
        <v>199</v>
      </c>
      <c r="B57" s="220" t="s">
        <v>526</v>
      </c>
      <c r="C57" s="319">
        <v>100</v>
      </c>
      <c r="D57" s="136">
        <v>500</v>
      </c>
      <c r="E57" s="136">
        <f t="shared" si="25"/>
        <v>50000</v>
      </c>
      <c r="F57" s="136">
        <f t="shared" si="18"/>
        <v>4507</v>
      </c>
      <c r="G57" s="136">
        <f t="shared" ca="1" si="19"/>
        <v>4646.5690778069074</v>
      </c>
      <c r="H57" s="136">
        <f t="shared" ca="1" si="20"/>
        <v>139.56907780690744</v>
      </c>
      <c r="I57" s="499">
        <f t="shared" ca="1" si="21"/>
        <v>3.0967179455714988</v>
      </c>
      <c r="J57" s="136">
        <f t="shared" ca="1" si="26"/>
        <v>4646.5690778069074</v>
      </c>
      <c r="K57" s="136">
        <f t="shared" ca="1" si="22"/>
        <v>4954.8439322321865</v>
      </c>
      <c r="L57" s="136">
        <f t="shared" ca="1" si="23"/>
        <v>308.27485442527905</v>
      </c>
      <c r="M57" s="499">
        <f t="shared" ca="1" si="24"/>
        <v>6.6344618849566075</v>
      </c>
      <c r="N57" s="97" t="s">
        <v>406</v>
      </c>
      <c r="O57" s="97" t="s">
        <v>403</v>
      </c>
      <c r="P57" s="95" t="s">
        <v>195</v>
      </c>
      <c r="Q57" s="95" t="s">
        <v>195</v>
      </c>
      <c r="R57" s="95" t="s">
        <v>283</v>
      </c>
      <c r="S57" s="316">
        <v>12.48</v>
      </c>
      <c r="T57" s="327"/>
      <c r="U57" s="318"/>
      <c r="V57" s="314"/>
    </row>
    <row r="58" spans="1:22">
      <c r="A58" s="220" t="s">
        <v>199</v>
      </c>
      <c r="B58" s="220" t="s">
        <v>526</v>
      </c>
      <c r="C58" s="319">
        <v>100</v>
      </c>
      <c r="D58" s="136">
        <v>700</v>
      </c>
      <c r="E58" s="136">
        <f t="shared" si="25"/>
        <v>70000</v>
      </c>
      <c r="F58" s="136">
        <f t="shared" si="18"/>
        <v>6079</v>
      </c>
      <c r="G58" s="136">
        <f t="shared" ca="1" si="19"/>
        <v>6292.5394393145634</v>
      </c>
      <c r="H58" s="136">
        <f t="shared" ca="1" si="20"/>
        <v>213.53943931456342</v>
      </c>
      <c r="I58" s="499">
        <f t="shared" ca="1" si="21"/>
        <v>3.5127395840526967</v>
      </c>
      <c r="J58" s="136">
        <f t="shared" ca="1" si="26"/>
        <v>6292.5394393145634</v>
      </c>
      <c r="K58" s="136">
        <f t="shared" ca="1" si="22"/>
        <v>6710.2144408865734</v>
      </c>
      <c r="L58" s="136">
        <f t="shared" ca="1" si="23"/>
        <v>417.67500157200993</v>
      </c>
      <c r="M58" s="499">
        <f t="shared" ca="1" si="24"/>
        <v>6.6376223081329888</v>
      </c>
      <c r="N58" s="97" t="s">
        <v>406</v>
      </c>
      <c r="O58" s="97" t="s">
        <v>403</v>
      </c>
      <c r="P58" s="95" t="s">
        <v>195</v>
      </c>
      <c r="Q58" s="95" t="s">
        <v>195</v>
      </c>
      <c r="R58" s="95" t="s">
        <v>202</v>
      </c>
      <c r="S58" s="316">
        <v>3.81</v>
      </c>
      <c r="T58" s="327"/>
      <c r="U58" s="318"/>
    </row>
    <row r="59" spans="1:22">
      <c r="A59" s="393" t="s">
        <v>517</v>
      </c>
      <c r="B59" s="345"/>
      <c r="C59" s="345"/>
      <c r="D59" s="345"/>
      <c r="E59" s="345"/>
      <c r="F59" s="345"/>
      <c r="G59" s="345"/>
      <c r="H59" s="345"/>
      <c r="I59" s="510"/>
      <c r="J59" s="345"/>
      <c r="K59" s="345"/>
      <c r="L59" s="345"/>
      <c r="M59" s="513"/>
      <c r="N59" s="97" t="s">
        <v>406</v>
      </c>
      <c r="O59" s="97" t="s">
        <v>403</v>
      </c>
      <c r="P59" s="95" t="s">
        <v>195</v>
      </c>
      <c r="Q59" s="95" t="s">
        <v>195</v>
      </c>
      <c r="R59" s="95" t="s">
        <v>197</v>
      </c>
      <c r="S59" s="316">
        <v>0.11906</v>
      </c>
      <c r="T59" s="327"/>
      <c r="U59" s="318"/>
    </row>
    <row r="60" spans="1:22">
      <c r="A60" s="384" t="s">
        <v>518</v>
      </c>
      <c r="B60" s="138"/>
      <c r="C60" s="138"/>
      <c r="D60" s="138"/>
      <c r="E60" s="138"/>
      <c r="F60" s="138"/>
      <c r="G60" s="138"/>
      <c r="H60" s="138"/>
      <c r="I60" s="511"/>
      <c r="J60" s="138"/>
      <c r="K60" s="138"/>
      <c r="L60" s="138"/>
      <c r="M60" s="514"/>
      <c r="N60" s="97" t="s">
        <v>406</v>
      </c>
      <c r="O60" s="97" t="s">
        <v>403</v>
      </c>
      <c r="P60" s="95" t="s">
        <v>195</v>
      </c>
      <c r="Q60" s="95" t="s">
        <v>195</v>
      </c>
      <c r="R60" s="95" t="s">
        <v>198</v>
      </c>
      <c r="S60" s="316">
        <v>8.3809999999999996E-2</v>
      </c>
      <c r="T60" s="327"/>
      <c r="U60" s="318"/>
    </row>
    <row r="61" spans="1:22">
      <c r="A61" s="330" t="s">
        <v>523</v>
      </c>
      <c r="B61" s="346"/>
      <c r="C61" s="346"/>
      <c r="D61" s="346"/>
      <c r="E61" s="346"/>
      <c r="F61" s="346"/>
      <c r="G61" s="346"/>
      <c r="H61" s="346"/>
      <c r="I61" s="512"/>
      <c r="J61" s="346"/>
      <c r="K61" s="346"/>
      <c r="L61" s="346"/>
      <c r="M61" s="515"/>
      <c r="N61" s="97" t="s">
        <v>406</v>
      </c>
      <c r="O61" s="97" t="s">
        <v>403</v>
      </c>
      <c r="P61" s="95" t="s">
        <v>195</v>
      </c>
      <c r="Q61" s="95" t="s">
        <v>195</v>
      </c>
      <c r="R61" s="95" t="s">
        <v>282</v>
      </c>
      <c r="S61" s="316">
        <v>7.8600000000000003E-2</v>
      </c>
      <c r="T61" s="327"/>
      <c r="U61" s="318"/>
    </row>
    <row r="62" spans="1:22" s="135" customFormat="1">
      <c r="A62" s="220" t="s">
        <v>200</v>
      </c>
      <c r="B62" s="220" t="s">
        <v>524</v>
      </c>
      <c r="C62" s="319">
        <v>15</v>
      </c>
      <c r="D62" s="136">
        <v>300</v>
      </c>
      <c r="E62" s="136">
        <f>C62*D62</f>
        <v>4500</v>
      </c>
      <c r="F62" s="136">
        <f t="shared" ref="F62:F76" si="27">SUMIFS(S$52:S$55,Q$52:Q$55,A62,R$52:R$55,"Bill")+(S$56+S$58)*C62+S$59*1000+IF(E62&lt;=9000,S$60*(E62-1000),S$60*8000+S$61*(E62-9000))</f>
        <v>499.84499999999997</v>
      </c>
      <c r="G62" s="136">
        <f t="shared" ref="G62:G76" ca="1" si="28">SUMIFS(S$115:S$118,Q$115:Q$118,A62,R$115:R$118,"Bill")+(S$119+S$121)*C62+IF(B62="Summer",S$122,IF(B62="Winter",S$123,AF$123))*1000+IF(B62="Summer",S$124,IF(B62="Winter",S$125,AF$125))*(E62-1000)</f>
        <v>522.65499999999997</v>
      </c>
      <c r="H62" s="136">
        <f t="shared" ref="H62:H76" ca="1" si="29">G62-F62</f>
        <v>22.810000000000002</v>
      </c>
      <c r="I62" s="499">
        <f t="shared" ref="I62:I76" ca="1" si="30">H62/F62*100</f>
        <v>4.5634146585441497</v>
      </c>
      <c r="J62" s="136">
        <f ca="1">G62</f>
        <v>522.65499999999997</v>
      </c>
      <c r="K62" s="136">
        <f t="shared" ref="K62:K76" ca="1" si="31">SUMIFS(S$192:S$195,Q$192:Q$195,A62,R$192:R$195,"Bill")+(S$196+S$198)*C62+IF(B62="Summer",S$199,IF(B62="Winter",S$200,AF$200))*1000+IF(B62="Summer",S$201,IF(B62="Winter",S$202,AF$202))*(E62-1000)</f>
        <v>583.20000000000005</v>
      </c>
      <c r="L62" s="136">
        <f t="shared" ref="L62:L76" ca="1" si="32">K62-J62</f>
        <v>60.545000000000073</v>
      </c>
      <c r="M62" s="499">
        <f t="shared" ref="M62:M76" ca="1" si="33">L62/J62*100</f>
        <v>11.58412337010075</v>
      </c>
      <c r="N62" s="97" t="s">
        <v>406</v>
      </c>
      <c r="O62" s="97" t="s">
        <v>403</v>
      </c>
      <c r="P62" s="95" t="s">
        <v>195</v>
      </c>
      <c r="Q62" s="95" t="s">
        <v>195</v>
      </c>
      <c r="R62" s="95" t="s">
        <v>201</v>
      </c>
      <c r="S62" s="316">
        <v>0.57999999999999996</v>
      </c>
      <c r="T62" s="327"/>
      <c r="U62" s="318"/>
    </row>
    <row r="63" spans="1:22" s="135" customFormat="1">
      <c r="A63" s="220" t="s">
        <v>200</v>
      </c>
      <c r="B63" s="220" t="s">
        <v>524</v>
      </c>
      <c r="C63" s="319">
        <v>15</v>
      </c>
      <c r="D63" s="136">
        <v>500</v>
      </c>
      <c r="E63" s="136">
        <f t="shared" ref="E63:E76" si="34">C63*D63</f>
        <v>7500</v>
      </c>
      <c r="F63" s="136">
        <f t="shared" si="27"/>
        <v>751.27499999999998</v>
      </c>
      <c r="G63" s="136">
        <f t="shared" ca="1" si="28"/>
        <v>788.24499999999989</v>
      </c>
      <c r="H63" s="136">
        <f t="shared" ca="1" si="29"/>
        <v>36.969999999999914</v>
      </c>
      <c r="I63" s="499">
        <f t="shared" ca="1" si="30"/>
        <v>4.9209676882632749</v>
      </c>
      <c r="J63" s="136">
        <f t="shared" ref="J63:J76" ca="1" si="35">G63</f>
        <v>788.24499999999989</v>
      </c>
      <c r="K63" s="136">
        <f t="shared" ca="1" si="31"/>
        <v>883.86000000000013</v>
      </c>
      <c r="L63" s="136">
        <f t="shared" ca="1" si="32"/>
        <v>95.615000000000236</v>
      </c>
      <c r="M63" s="499">
        <f t="shared" ca="1" si="33"/>
        <v>12.130111830712565</v>
      </c>
      <c r="N63" s="97" t="s">
        <v>406</v>
      </c>
      <c r="O63" s="97" t="s">
        <v>403</v>
      </c>
      <c r="P63" s="95" t="s">
        <v>195</v>
      </c>
      <c r="Q63" s="95" t="s">
        <v>195</v>
      </c>
      <c r="R63" s="166" t="s">
        <v>367</v>
      </c>
      <c r="S63" s="316">
        <v>-0.01</v>
      </c>
      <c r="T63" s="327"/>
      <c r="U63" s="318"/>
    </row>
    <row r="64" spans="1:22" s="135" customFormat="1">
      <c r="A64" s="220" t="s">
        <v>200</v>
      </c>
      <c r="B64" s="220" t="s">
        <v>524</v>
      </c>
      <c r="C64" s="319">
        <v>15</v>
      </c>
      <c r="D64" s="136">
        <v>700</v>
      </c>
      <c r="E64" s="136">
        <f t="shared" si="34"/>
        <v>10500</v>
      </c>
      <c r="F64" s="136">
        <f t="shared" si="27"/>
        <v>994.89</v>
      </c>
      <c r="G64" s="136">
        <f t="shared" ca="1" si="28"/>
        <v>1053.835</v>
      </c>
      <c r="H64" s="136">
        <f t="shared" ca="1" si="29"/>
        <v>58.94500000000005</v>
      </c>
      <c r="I64" s="499">
        <f t="shared" ca="1" si="30"/>
        <v>5.9247756033330372</v>
      </c>
      <c r="J64" s="136">
        <f t="shared" ca="1" si="35"/>
        <v>1053.835</v>
      </c>
      <c r="K64" s="136">
        <f t="shared" ca="1" si="31"/>
        <v>1184.52</v>
      </c>
      <c r="L64" s="136">
        <f t="shared" ca="1" si="32"/>
        <v>130.68499999999995</v>
      </c>
      <c r="M64" s="499">
        <f t="shared" ca="1" si="33"/>
        <v>12.400897673734496</v>
      </c>
      <c r="N64" s="97" t="s">
        <v>406</v>
      </c>
      <c r="O64" s="97" t="s">
        <v>403</v>
      </c>
      <c r="P64" s="95" t="s">
        <v>195</v>
      </c>
      <c r="Q64" s="95" t="s">
        <v>195</v>
      </c>
      <c r="R64" s="166" t="s">
        <v>358</v>
      </c>
      <c r="S64" s="316">
        <v>-0.3</v>
      </c>
      <c r="T64" s="327"/>
      <c r="U64" s="318"/>
    </row>
    <row r="65" spans="1:21" s="135" customFormat="1">
      <c r="A65" s="220" t="s">
        <v>200</v>
      </c>
      <c r="B65" s="220" t="s">
        <v>524</v>
      </c>
      <c r="C65" s="319">
        <v>25</v>
      </c>
      <c r="D65" s="136">
        <v>300</v>
      </c>
      <c r="E65" s="136">
        <f t="shared" si="34"/>
        <v>7500</v>
      </c>
      <c r="F65" s="136">
        <f t="shared" si="27"/>
        <v>799.77499999999998</v>
      </c>
      <c r="G65" s="136">
        <f t="shared" ca="1" si="28"/>
        <v>836.74499999999989</v>
      </c>
      <c r="H65" s="136">
        <f t="shared" ca="1" si="29"/>
        <v>36.969999999999914</v>
      </c>
      <c r="I65" s="499">
        <f t="shared" ca="1" si="30"/>
        <v>4.6225500922134248</v>
      </c>
      <c r="J65" s="136">
        <f t="shared" ca="1" si="35"/>
        <v>836.74499999999989</v>
      </c>
      <c r="K65" s="136">
        <f t="shared" ca="1" si="31"/>
        <v>935.56000000000006</v>
      </c>
      <c r="L65" s="136">
        <f t="shared" ca="1" si="32"/>
        <v>98.815000000000168</v>
      </c>
      <c r="M65" s="499">
        <f t="shared" ca="1" si="33"/>
        <v>11.809452103089971</v>
      </c>
      <c r="N65" s="145" t="s">
        <v>406</v>
      </c>
      <c r="O65" s="145" t="s">
        <v>403</v>
      </c>
      <c r="P65" s="147" t="s">
        <v>195</v>
      </c>
      <c r="Q65" s="147" t="s">
        <v>195</v>
      </c>
      <c r="R65" s="258" t="s">
        <v>368</v>
      </c>
      <c r="S65" s="317">
        <v>60</v>
      </c>
      <c r="T65" s="327"/>
      <c r="U65" s="318"/>
    </row>
    <row r="66" spans="1:21" s="135" customFormat="1">
      <c r="A66" s="220" t="s">
        <v>200</v>
      </c>
      <c r="B66" s="220" t="s">
        <v>524</v>
      </c>
      <c r="C66" s="319">
        <v>25</v>
      </c>
      <c r="D66" s="136">
        <v>500</v>
      </c>
      <c r="E66" s="136">
        <f t="shared" si="34"/>
        <v>12500</v>
      </c>
      <c r="F66" s="136">
        <f t="shared" si="27"/>
        <v>1200.5900000000001</v>
      </c>
      <c r="G66" s="136">
        <f t="shared" ca="1" si="28"/>
        <v>1279.395</v>
      </c>
      <c r="H66" s="136">
        <f t="shared" ca="1" si="29"/>
        <v>78.804999999999836</v>
      </c>
      <c r="I66" s="499">
        <f t="shared" ca="1" si="30"/>
        <v>6.5638561040821459</v>
      </c>
      <c r="J66" s="136">
        <f t="shared" ca="1" si="35"/>
        <v>1279.395</v>
      </c>
      <c r="K66" s="136">
        <f t="shared" ca="1" si="31"/>
        <v>1436.6599999999999</v>
      </c>
      <c r="L66" s="136">
        <f t="shared" ca="1" si="32"/>
        <v>157.26499999999987</v>
      </c>
      <c r="M66" s="499">
        <f t="shared" ca="1" si="33"/>
        <v>12.292138080889787</v>
      </c>
      <c r="N66" s="140" t="s">
        <v>406</v>
      </c>
      <c r="O66" s="256" t="s">
        <v>29</v>
      </c>
      <c r="P66" s="141" t="s">
        <v>4</v>
      </c>
      <c r="Q66" s="141" t="s">
        <v>199</v>
      </c>
      <c r="R66" s="141" t="s">
        <v>335</v>
      </c>
      <c r="S66" s="213">
        <f>S8*S52</f>
        <v>387116.41800000001</v>
      </c>
      <c r="T66" s="76"/>
      <c r="U66" s="153"/>
    </row>
    <row r="67" spans="1:21" s="135" customFormat="1">
      <c r="A67" s="220" t="s">
        <v>200</v>
      </c>
      <c r="B67" s="220" t="s">
        <v>524</v>
      </c>
      <c r="C67" s="319">
        <v>25</v>
      </c>
      <c r="D67" s="136">
        <v>700</v>
      </c>
      <c r="E67" s="136">
        <f t="shared" si="34"/>
        <v>17500</v>
      </c>
      <c r="F67" s="136">
        <f t="shared" si="27"/>
        <v>1593.59</v>
      </c>
      <c r="G67" s="136">
        <f t="shared" ca="1" si="28"/>
        <v>1722.0449999999998</v>
      </c>
      <c r="H67" s="136">
        <f t="shared" ca="1" si="29"/>
        <v>128.45499999999993</v>
      </c>
      <c r="I67" s="499">
        <f t="shared" ca="1" si="30"/>
        <v>8.0607308027786271</v>
      </c>
      <c r="J67" s="136">
        <f t="shared" ca="1" si="35"/>
        <v>1722.0449999999998</v>
      </c>
      <c r="K67" s="136">
        <f t="shared" ca="1" si="31"/>
        <v>1937.7600000000002</v>
      </c>
      <c r="L67" s="136">
        <f t="shared" ca="1" si="32"/>
        <v>215.71500000000037</v>
      </c>
      <c r="M67" s="499">
        <f t="shared" ca="1" si="33"/>
        <v>12.526676132156847</v>
      </c>
      <c r="N67" s="97" t="s">
        <v>406</v>
      </c>
      <c r="O67" s="85" t="s">
        <v>29</v>
      </c>
      <c r="P67" s="143" t="s">
        <v>4</v>
      </c>
      <c r="Q67" s="143" t="s">
        <v>200</v>
      </c>
      <c r="R67" s="143" t="s">
        <v>335</v>
      </c>
      <c r="S67" s="210">
        <f>S9*S54</f>
        <v>39949.700000000004</v>
      </c>
      <c r="T67" s="76"/>
      <c r="U67" s="153"/>
    </row>
    <row r="68" spans="1:21" s="135" customFormat="1">
      <c r="A68" s="220" t="s">
        <v>200</v>
      </c>
      <c r="B68" s="220" t="s">
        <v>524</v>
      </c>
      <c r="C68" s="319">
        <v>50</v>
      </c>
      <c r="D68" s="136">
        <v>300</v>
      </c>
      <c r="E68" s="136">
        <f t="shared" si="34"/>
        <v>15000</v>
      </c>
      <c r="F68" s="136">
        <f t="shared" si="27"/>
        <v>1518.34</v>
      </c>
      <c r="G68" s="136">
        <f t="shared" ca="1" si="28"/>
        <v>1621.97</v>
      </c>
      <c r="H68" s="136">
        <f t="shared" ca="1" si="29"/>
        <v>103.63000000000011</v>
      </c>
      <c r="I68" s="499">
        <f t="shared" ca="1" si="30"/>
        <v>6.8252170133171832</v>
      </c>
      <c r="J68" s="136">
        <f t="shared" ca="1" si="35"/>
        <v>1621.97</v>
      </c>
      <c r="K68" s="136">
        <f t="shared" ca="1" si="31"/>
        <v>1816.46</v>
      </c>
      <c r="L68" s="136">
        <f t="shared" ca="1" si="32"/>
        <v>194.49</v>
      </c>
      <c r="M68" s="499">
        <f t="shared" ca="1" si="33"/>
        <v>11.990973939098751</v>
      </c>
      <c r="N68" s="97" t="s">
        <v>406</v>
      </c>
      <c r="O68" s="85" t="s">
        <v>29</v>
      </c>
      <c r="P68" s="143" t="s">
        <v>4</v>
      </c>
      <c r="Q68" s="143" t="s">
        <v>195</v>
      </c>
      <c r="R68" s="143" t="s">
        <v>281</v>
      </c>
      <c r="S68" s="210">
        <f>S10*S56</f>
        <v>25535.041333333338</v>
      </c>
      <c r="T68" s="76"/>
      <c r="U68" s="153"/>
    </row>
    <row r="69" spans="1:21" s="135" customFormat="1">
      <c r="A69" s="220" t="s">
        <v>200</v>
      </c>
      <c r="B69" s="220" t="s">
        <v>524</v>
      </c>
      <c r="C69" s="319">
        <v>50</v>
      </c>
      <c r="D69" s="136">
        <v>500</v>
      </c>
      <c r="E69" s="136">
        <f t="shared" si="34"/>
        <v>25000</v>
      </c>
      <c r="F69" s="136">
        <f t="shared" si="27"/>
        <v>2304.34</v>
      </c>
      <c r="G69" s="136">
        <f t="shared" ca="1" si="28"/>
        <v>2507.27</v>
      </c>
      <c r="H69" s="136">
        <f t="shared" ca="1" si="29"/>
        <v>202.92999999999984</v>
      </c>
      <c r="I69" s="499">
        <f t="shared" ca="1" si="30"/>
        <v>8.8064261350321491</v>
      </c>
      <c r="J69" s="136">
        <f t="shared" ca="1" si="35"/>
        <v>2507.27</v>
      </c>
      <c r="K69" s="136">
        <f t="shared" ca="1" si="31"/>
        <v>2818.6600000000003</v>
      </c>
      <c r="L69" s="136">
        <f t="shared" ca="1" si="32"/>
        <v>311.39000000000033</v>
      </c>
      <c r="M69" s="499">
        <f t="shared" ca="1" si="33"/>
        <v>12.419484140120543</v>
      </c>
      <c r="N69" s="97" t="s">
        <v>406</v>
      </c>
      <c r="O69" s="85" t="s">
        <v>29</v>
      </c>
      <c r="P69" s="143" t="s">
        <v>4</v>
      </c>
      <c r="Q69" s="143" t="s">
        <v>195</v>
      </c>
      <c r="R69" s="143" t="s">
        <v>202</v>
      </c>
      <c r="S69" s="210">
        <f>S11*S58</f>
        <v>55302.650000000009</v>
      </c>
      <c r="T69" s="76"/>
      <c r="U69" s="153"/>
    </row>
    <row r="70" spans="1:21" s="135" customFormat="1">
      <c r="A70" s="220" t="s">
        <v>200</v>
      </c>
      <c r="B70" s="220" t="s">
        <v>524</v>
      </c>
      <c r="C70" s="319">
        <v>50</v>
      </c>
      <c r="D70" s="136">
        <v>700</v>
      </c>
      <c r="E70" s="136">
        <f t="shared" si="34"/>
        <v>35000</v>
      </c>
      <c r="F70" s="136">
        <f t="shared" si="27"/>
        <v>3090.34</v>
      </c>
      <c r="G70" s="136">
        <f t="shared" ca="1" si="28"/>
        <v>3392.57</v>
      </c>
      <c r="H70" s="136">
        <f t="shared" ca="1" si="29"/>
        <v>302.23</v>
      </c>
      <c r="I70" s="499">
        <f t="shared" ca="1" si="30"/>
        <v>9.7798300510623424</v>
      </c>
      <c r="J70" s="136">
        <f t="shared" ca="1" si="35"/>
        <v>3392.57</v>
      </c>
      <c r="K70" s="136">
        <f t="shared" ca="1" si="31"/>
        <v>3820.86</v>
      </c>
      <c r="L70" s="136">
        <f t="shared" ca="1" si="32"/>
        <v>428.28999999999996</v>
      </c>
      <c r="M70" s="499">
        <f t="shared" ca="1" si="33"/>
        <v>12.62435262942253</v>
      </c>
      <c r="N70" s="97" t="s">
        <v>406</v>
      </c>
      <c r="O70" s="85" t="s">
        <v>29</v>
      </c>
      <c r="P70" s="143" t="s">
        <v>4</v>
      </c>
      <c r="Q70" s="143" t="s">
        <v>195</v>
      </c>
      <c r="R70" s="143" t="s">
        <v>197</v>
      </c>
      <c r="S70" s="210">
        <f>(S12+S13)*S59</f>
        <v>1615255.1416998121</v>
      </c>
      <c r="T70" s="76"/>
      <c r="U70" s="153"/>
    </row>
    <row r="71" spans="1:21" s="135" customFormat="1">
      <c r="A71" s="220" t="s">
        <v>200</v>
      </c>
      <c r="B71" s="220" t="s">
        <v>524</v>
      </c>
      <c r="C71" s="319">
        <v>75</v>
      </c>
      <c r="D71" s="136">
        <v>300</v>
      </c>
      <c r="E71" s="136">
        <f t="shared" si="34"/>
        <v>22500</v>
      </c>
      <c r="F71" s="136">
        <f t="shared" si="27"/>
        <v>2229.09</v>
      </c>
      <c r="G71" s="136">
        <f t="shared" ca="1" si="28"/>
        <v>2407.1950000000002</v>
      </c>
      <c r="H71" s="136">
        <f t="shared" ca="1" si="29"/>
        <v>178.10500000000002</v>
      </c>
      <c r="I71" s="499">
        <f t="shared" ca="1" si="30"/>
        <v>7.9900318067013893</v>
      </c>
      <c r="J71" s="136">
        <f t="shared" ca="1" si="35"/>
        <v>2407.1950000000002</v>
      </c>
      <c r="K71" s="136">
        <f t="shared" ca="1" si="31"/>
        <v>2697.36</v>
      </c>
      <c r="L71" s="136">
        <f t="shared" ca="1" si="32"/>
        <v>290.16499999999996</v>
      </c>
      <c r="M71" s="499">
        <f t="shared" ca="1" si="33"/>
        <v>12.054071232284876</v>
      </c>
      <c r="N71" s="97" t="s">
        <v>406</v>
      </c>
      <c r="O71" s="85" t="s">
        <v>29</v>
      </c>
      <c r="P71" s="143" t="s">
        <v>4</v>
      </c>
      <c r="Q71" s="143" t="s">
        <v>195</v>
      </c>
      <c r="R71" s="143" t="s">
        <v>198</v>
      </c>
      <c r="S71" s="210">
        <f>(S14+S15)*S60</f>
        <v>595674.56128873595</v>
      </c>
      <c r="T71" s="76"/>
      <c r="U71" s="153"/>
    </row>
    <row r="72" spans="1:21" s="135" customFormat="1">
      <c r="A72" s="220" t="s">
        <v>200</v>
      </c>
      <c r="B72" s="220" t="s">
        <v>524</v>
      </c>
      <c r="C72" s="319">
        <v>75</v>
      </c>
      <c r="D72" s="136">
        <v>500</v>
      </c>
      <c r="E72" s="136">
        <f t="shared" si="34"/>
        <v>37500</v>
      </c>
      <c r="F72" s="136">
        <f t="shared" si="27"/>
        <v>3408.09</v>
      </c>
      <c r="G72" s="136">
        <f t="shared" ca="1" si="28"/>
        <v>3735.145</v>
      </c>
      <c r="H72" s="136">
        <f t="shared" ca="1" si="29"/>
        <v>327.05499999999984</v>
      </c>
      <c r="I72" s="499">
        <f t="shared" ca="1" si="30"/>
        <v>9.5964308454295466</v>
      </c>
      <c r="J72" s="136">
        <f t="shared" ca="1" si="35"/>
        <v>3735.145</v>
      </c>
      <c r="K72" s="136">
        <f t="shared" ca="1" si="31"/>
        <v>4200.66</v>
      </c>
      <c r="L72" s="136">
        <f t="shared" ca="1" si="32"/>
        <v>465.51499999999987</v>
      </c>
      <c r="M72" s="499">
        <f t="shared" ca="1" si="33"/>
        <v>12.463103842019517</v>
      </c>
      <c r="N72" s="97" t="s">
        <v>406</v>
      </c>
      <c r="O72" s="85" t="s">
        <v>29</v>
      </c>
      <c r="P72" s="143" t="s">
        <v>4</v>
      </c>
      <c r="Q72" s="143" t="s">
        <v>195</v>
      </c>
      <c r="R72" s="143" t="s">
        <v>282</v>
      </c>
      <c r="S72" s="210">
        <f>(S16+S17)*S61</f>
        <v>73114.223797018247</v>
      </c>
      <c r="T72" s="76"/>
      <c r="U72" s="153"/>
    </row>
    <row r="73" spans="1:21" s="135" customFormat="1">
      <c r="A73" s="220" t="s">
        <v>200</v>
      </c>
      <c r="B73" s="220" t="s">
        <v>524</v>
      </c>
      <c r="C73" s="319">
        <v>75</v>
      </c>
      <c r="D73" s="136">
        <v>700</v>
      </c>
      <c r="E73" s="136">
        <f t="shared" si="34"/>
        <v>52500</v>
      </c>
      <c r="F73" s="136">
        <f t="shared" si="27"/>
        <v>4587.09</v>
      </c>
      <c r="G73" s="136">
        <f t="shared" ca="1" si="28"/>
        <v>5063.0950000000003</v>
      </c>
      <c r="H73" s="136">
        <f t="shared" ca="1" si="29"/>
        <v>476.00500000000011</v>
      </c>
      <c r="I73" s="499">
        <f t="shared" ca="1" si="30"/>
        <v>10.377058222097235</v>
      </c>
      <c r="J73" s="136">
        <f t="shared" ca="1" si="35"/>
        <v>5063.0950000000003</v>
      </c>
      <c r="K73" s="136">
        <f t="shared" ca="1" si="31"/>
        <v>5703.96</v>
      </c>
      <c r="L73" s="136">
        <f t="shared" ca="1" si="32"/>
        <v>640.86499999999978</v>
      </c>
      <c r="M73" s="499">
        <f t="shared" ca="1" si="33"/>
        <v>12.65757407277564</v>
      </c>
      <c r="N73" s="97" t="s">
        <v>406</v>
      </c>
      <c r="O73" s="85" t="s">
        <v>29</v>
      </c>
      <c r="P73" s="143" t="s">
        <v>4</v>
      </c>
      <c r="Q73" s="143" t="s">
        <v>195</v>
      </c>
      <c r="R73" s="143" t="s">
        <v>201</v>
      </c>
      <c r="S73" s="210">
        <f>S18*S62</f>
        <v>65.539999999999992</v>
      </c>
      <c r="T73" s="76"/>
      <c r="U73" s="153"/>
    </row>
    <row r="74" spans="1:21" s="135" customFormat="1">
      <c r="A74" s="220" t="s">
        <v>200</v>
      </c>
      <c r="B74" s="220" t="s">
        <v>524</v>
      </c>
      <c r="C74" s="319">
        <v>100</v>
      </c>
      <c r="D74" s="136">
        <v>300</v>
      </c>
      <c r="E74" s="136">
        <f t="shared" si="34"/>
        <v>30000</v>
      </c>
      <c r="F74" s="136">
        <f t="shared" si="27"/>
        <v>2939.84</v>
      </c>
      <c r="G74" s="136">
        <f t="shared" ca="1" si="28"/>
        <v>3192.42</v>
      </c>
      <c r="H74" s="136">
        <f t="shared" ca="1" si="29"/>
        <v>252.57999999999993</v>
      </c>
      <c r="I74" s="499">
        <f t="shared" ca="1" si="30"/>
        <v>8.591624033961029</v>
      </c>
      <c r="J74" s="136">
        <f t="shared" ca="1" si="35"/>
        <v>3192.42</v>
      </c>
      <c r="K74" s="136">
        <f t="shared" ca="1" si="31"/>
        <v>3578.26</v>
      </c>
      <c r="L74" s="136">
        <f t="shared" ca="1" si="32"/>
        <v>385.84000000000015</v>
      </c>
      <c r="M74" s="499">
        <f t="shared" ca="1" si="33"/>
        <v>12.086129018111656</v>
      </c>
      <c r="N74" s="145" t="s">
        <v>406</v>
      </c>
      <c r="O74" s="257" t="s">
        <v>29</v>
      </c>
      <c r="P74" s="147" t="s">
        <v>4</v>
      </c>
      <c r="Q74" s="147" t="s">
        <v>195</v>
      </c>
      <c r="R74" s="209" t="s">
        <v>168</v>
      </c>
      <c r="S74" s="211">
        <f>Unbilled!E5</f>
        <v>92749.030275302401</v>
      </c>
      <c r="T74" s="76"/>
      <c r="U74" s="153"/>
    </row>
    <row r="75" spans="1:21" s="135" customFormat="1">
      <c r="A75" s="220" t="s">
        <v>200</v>
      </c>
      <c r="B75" s="220" t="s">
        <v>524</v>
      </c>
      <c r="C75" s="319">
        <v>100</v>
      </c>
      <c r="D75" s="136">
        <v>500</v>
      </c>
      <c r="E75" s="136">
        <f t="shared" si="34"/>
        <v>50000</v>
      </c>
      <c r="F75" s="136">
        <f t="shared" si="27"/>
        <v>4511.84</v>
      </c>
      <c r="G75" s="136">
        <f t="shared" ca="1" si="28"/>
        <v>4963.0200000000004</v>
      </c>
      <c r="H75" s="136">
        <f t="shared" ca="1" si="29"/>
        <v>451.18000000000029</v>
      </c>
      <c r="I75" s="499">
        <f t="shared" ca="1" si="30"/>
        <v>9.9999113443739205</v>
      </c>
      <c r="J75" s="136">
        <f t="shared" ca="1" si="35"/>
        <v>4963.0200000000004</v>
      </c>
      <c r="K75" s="136">
        <f t="shared" ca="1" si="31"/>
        <v>5582.66</v>
      </c>
      <c r="L75" s="136">
        <f t="shared" ca="1" si="32"/>
        <v>619.63999999999942</v>
      </c>
      <c r="M75" s="499">
        <f t="shared" ca="1" si="33"/>
        <v>12.48514009615112</v>
      </c>
      <c r="N75" s="140" t="s">
        <v>406</v>
      </c>
      <c r="O75" s="256" t="s">
        <v>29</v>
      </c>
      <c r="P75" s="141" t="s">
        <v>5</v>
      </c>
      <c r="Q75" s="141" t="s">
        <v>199</v>
      </c>
      <c r="R75" s="141" t="s">
        <v>335</v>
      </c>
      <c r="S75" s="213">
        <f t="shared" ref="S75:S81" si="36">S19*S52</f>
        <v>1355619.848</v>
      </c>
      <c r="T75" s="76"/>
      <c r="U75" s="153"/>
    </row>
    <row r="76" spans="1:21" s="135" customFormat="1">
      <c r="A76" s="220" t="s">
        <v>200</v>
      </c>
      <c r="B76" s="220" t="s">
        <v>524</v>
      </c>
      <c r="C76" s="319">
        <v>100</v>
      </c>
      <c r="D76" s="136">
        <v>700</v>
      </c>
      <c r="E76" s="136">
        <f t="shared" si="34"/>
        <v>70000</v>
      </c>
      <c r="F76" s="136">
        <f t="shared" si="27"/>
        <v>6083.84</v>
      </c>
      <c r="G76" s="136">
        <f t="shared" ca="1" si="28"/>
        <v>6733.62</v>
      </c>
      <c r="H76" s="136">
        <f t="shared" ca="1" si="29"/>
        <v>649.77999999999975</v>
      </c>
      <c r="I76" s="499">
        <f t="shared" ca="1" si="30"/>
        <v>10.68042552072375</v>
      </c>
      <c r="J76" s="136">
        <f t="shared" ca="1" si="35"/>
        <v>6733.62</v>
      </c>
      <c r="K76" s="136">
        <f t="shared" ca="1" si="31"/>
        <v>7587.06</v>
      </c>
      <c r="L76" s="136">
        <f t="shared" ca="1" si="32"/>
        <v>853.44000000000051</v>
      </c>
      <c r="M76" s="499">
        <f t="shared" ca="1" si="33"/>
        <v>12.674311885731607</v>
      </c>
      <c r="N76" s="97" t="s">
        <v>406</v>
      </c>
      <c r="O76" s="85" t="s">
        <v>29</v>
      </c>
      <c r="P76" s="143" t="s">
        <v>5</v>
      </c>
      <c r="Q76" s="143" t="s">
        <v>199</v>
      </c>
      <c r="R76" s="143" t="s">
        <v>336</v>
      </c>
      <c r="S76" s="210">
        <f t="shared" si="36"/>
        <v>311.19780821917806</v>
      </c>
      <c r="T76" s="76"/>
      <c r="U76" s="153"/>
    </row>
    <row r="77" spans="1:21" s="135" customFormat="1">
      <c r="A77" s="393" t="s">
        <v>517</v>
      </c>
      <c r="B77" s="345"/>
      <c r="C77" s="345"/>
      <c r="D77" s="345"/>
      <c r="E77" s="345"/>
      <c r="F77" s="345"/>
      <c r="G77" s="345"/>
      <c r="H77" s="345"/>
      <c r="I77" s="510"/>
      <c r="J77" s="345"/>
      <c r="K77" s="345"/>
      <c r="L77" s="345"/>
      <c r="M77" s="513"/>
      <c r="N77" s="97" t="s">
        <v>406</v>
      </c>
      <c r="O77" s="85" t="s">
        <v>29</v>
      </c>
      <c r="P77" s="143" t="s">
        <v>5</v>
      </c>
      <c r="Q77" s="143" t="s">
        <v>200</v>
      </c>
      <c r="R77" s="143" t="s">
        <v>335</v>
      </c>
      <c r="S77" s="210">
        <f t="shared" si="36"/>
        <v>949837.55999999982</v>
      </c>
      <c r="T77" s="76"/>
      <c r="U77" s="153"/>
    </row>
    <row r="78" spans="1:21" s="135" customFormat="1">
      <c r="A78" s="384" t="s">
        <v>518</v>
      </c>
      <c r="B78" s="138"/>
      <c r="C78" s="138"/>
      <c r="D78" s="138"/>
      <c r="E78" s="138"/>
      <c r="F78" s="138"/>
      <c r="G78" s="138"/>
      <c r="H78" s="138"/>
      <c r="I78" s="511"/>
      <c r="J78" s="138"/>
      <c r="K78" s="138"/>
      <c r="L78" s="138"/>
      <c r="M78" s="514"/>
      <c r="N78" s="97" t="s">
        <v>406</v>
      </c>
      <c r="O78" s="85" t="s">
        <v>29</v>
      </c>
      <c r="P78" s="143" t="s">
        <v>5</v>
      </c>
      <c r="Q78" s="143" t="s">
        <v>200</v>
      </c>
      <c r="R78" s="143" t="s">
        <v>336</v>
      </c>
      <c r="S78" s="210">
        <f t="shared" si="36"/>
        <v>11196.325479452053</v>
      </c>
      <c r="T78" s="76"/>
      <c r="U78" s="153"/>
    </row>
    <row r="79" spans="1:21" s="135" customFormat="1">
      <c r="A79" s="330" t="s">
        <v>523</v>
      </c>
      <c r="B79" s="346"/>
      <c r="C79" s="346"/>
      <c r="D79" s="346"/>
      <c r="E79" s="346"/>
      <c r="F79" s="346"/>
      <c r="G79" s="346"/>
      <c r="H79" s="346"/>
      <c r="I79" s="512"/>
      <c r="J79" s="346"/>
      <c r="K79" s="346"/>
      <c r="L79" s="346"/>
      <c r="M79" s="515"/>
      <c r="N79" s="97" t="s">
        <v>406</v>
      </c>
      <c r="O79" s="85" t="s">
        <v>29</v>
      </c>
      <c r="P79" s="143" t="s">
        <v>5</v>
      </c>
      <c r="Q79" s="143" t="s">
        <v>195</v>
      </c>
      <c r="R79" s="143" t="s">
        <v>281</v>
      </c>
      <c r="S79" s="210">
        <f t="shared" si="36"/>
        <v>1235393.8873333335</v>
      </c>
      <c r="T79" s="76"/>
      <c r="U79" s="153"/>
    </row>
    <row r="80" spans="1:21" s="135" customFormat="1">
      <c r="A80" s="220" t="s">
        <v>200</v>
      </c>
      <c r="B80" s="220" t="s">
        <v>525</v>
      </c>
      <c r="C80" s="319">
        <v>15</v>
      </c>
      <c r="D80" s="136">
        <v>300</v>
      </c>
      <c r="E80" s="136">
        <f>C80*D80</f>
        <v>4500</v>
      </c>
      <c r="F80" s="136">
        <f t="shared" ref="F80:F94" si="37">SUMIFS(S$52:S$55,Q$52:Q$55,A80,R$52:R$55,"Bill")+(S$56+S$58)*C80+S$59*1000+IF(E80&lt;=9000,S$60*(E80-1000),S$60*8000+S$61*(E80-9000))</f>
        <v>499.84499999999997</v>
      </c>
      <c r="G80" s="136">
        <f t="shared" ref="G80:G94" ca="1" si="38">SUMIFS(S$115:S$118,Q$115:Q$118,A80,R$115:R$118,"Bill")+(S$119+S$121)*C80+IF(B80="Summer",S$122,IF(B80="Winter",S$123,AF$123))*1000+IF(B80="Summer",S$124,IF(B80="Winter",S$125,AF$125))*(E80-1000)</f>
        <v>479.41</v>
      </c>
      <c r="H80" s="136">
        <f ca="1">G80-F80</f>
        <v>-20.434999999999945</v>
      </c>
      <c r="I80" s="499">
        <f ca="1">H80/F80*100</f>
        <v>-4.0882673628824824</v>
      </c>
      <c r="J80" s="136">
        <f ca="1">G80</f>
        <v>479.41</v>
      </c>
      <c r="K80" s="136">
        <f t="shared" ref="K80:K94" ca="1" si="39">SUMIFS(S$192:S$195,Q$192:Q$195,A80,R$192:R$195,"Bill")+(S$196+S$198)*C80+IF(B80="Summer",S$199,IF(B80="Winter",S$200,AF$200))*1000+IF(B80="Summer",S$201,IF(B80="Winter",S$202,AF$202))*(E80-1000)</f>
        <v>496.755</v>
      </c>
      <c r="L80" s="136">
        <f ca="1">K80-J80</f>
        <v>17.34499999999997</v>
      </c>
      <c r="M80" s="499">
        <f ca="1">L80/J80*100</f>
        <v>3.6179887778727959</v>
      </c>
      <c r="N80" s="97" t="s">
        <v>406</v>
      </c>
      <c r="O80" s="85" t="s">
        <v>29</v>
      </c>
      <c r="P80" s="143" t="s">
        <v>5</v>
      </c>
      <c r="Q80" s="143" t="s">
        <v>195</v>
      </c>
      <c r="R80" s="143" t="s">
        <v>283</v>
      </c>
      <c r="S80" s="210">
        <f t="shared" si="36"/>
        <v>26583.414575342464</v>
      </c>
      <c r="T80" s="76"/>
      <c r="U80" s="153"/>
    </row>
    <row r="81" spans="1:21" s="135" customFormat="1">
      <c r="A81" s="220" t="s">
        <v>200</v>
      </c>
      <c r="B81" s="220" t="s">
        <v>525</v>
      </c>
      <c r="C81" s="319">
        <v>15</v>
      </c>
      <c r="D81" s="136">
        <v>500</v>
      </c>
      <c r="E81" s="136">
        <f t="shared" ref="E81:E94" si="40">C81*D81</f>
        <v>7500</v>
      </c>
      <c r="F81" s="136">
        <f t="shared" si="37"/>
        <v>751.27499999999998</v>
      </c>
      <c r="G81" s="136">
        <f t="shared" ca="1" si="38"/>
        <v>716.17000000000007</v>
      </c>
      <c r="H81" s="136">
        <f ca="1">G81-F81</f>
        <v>-35.104999999999905</v>
      </c>
      <c r="I81" s="499">
        <f ca="1">H81/F81*100</f>
        <v>-4.672723037502899</v>
      </c>
      <c r="J81" s="136">
        <f t="shared" ref="J81:J94" ca="1" si="41">G81</f>
        <v>716.17000000000007</v>
      </c>
      <c r="K81" s="136">
        <f t="shared" ca="1" si="39"/>
        <v>739.78499999999997</v>
      </c>
      <c r="L81" s="136">
        <f ca="1">K81-J81</f>
        <v>23.614999999999895</v>
      </c>
      <c r="M81" s="499">
        <f ca="1">L81/J81*100</f>
        <v>3.297401454961796</v>
      </c>
      <c r="N81" s="97" t="s">
        <v>406</v>
      </c>
      <c r="O81" s="85" t="s">
        <v>29</v>
      </c>
      <c r="P81" s="143" t="s">
        <v>5</v>
      </c>
      <c r="Q81" s="143" t="s">
        <v>195</v>
      </c>
      <c r="R81" s="143" t="s">
        <v>202</v>
      </c>
      <c r="S81" s="210">
        <f t="shared" si="36"/>
        <v>2724849.07</v>
      </c>
      <c r="T81" s="76"/>
      <c r="U81" s="153"/>
    </row>
    <row r="82" spans="1:21" s="135" customFormat="1">
      <c r="A82" s="220" t="s">
        <v>200</v>
      </c>
      <c r="B82" s="220" t="s">
        <v>525</v>
      </c>
      <c r="C82" s="319">
        <v>15</v>
      </c>
      <c r="D82" s="136">
        <v>700</v>
      </c>
      <c r="E82" s="136">
        <f t="shared" si="40"/>
        <v>10500</v>
      </c>
      <c r="F82" s="136">
        <f t="shared" si="37"/>
        <v>994.89</v>
      </c>
      <c r="G82" s="136">
        <f t="shared" ca="1" si="38"/>
        <v>952.93000000000006</v>
      </c>
      <c r="H82" s="136">
        <f ca="1">G82-F82</f>
        <v>-41.959999999999923</v>
      </c>
      <c r="I82" s="499">
        <f ca="1">H82/F82*100</f>
        <v>-4.2175516891314535</v>
      </c>
      <c r="J82" s="136">
        <f t="shared" ca="1" si="41"/>
        <v>952.93000000000006</v>
      </c>
      <c r="K82" s="136">
        <f t="shared" ca="1" si="39"/>
        <v>982.81500000000005</v>
      </c>
      <c r="L82" s="136">
        <f ca="1">K82-J82</f>
        <v>29.884999999999991</v>
      </c>
      <c r="M82" s="499">
        <f ca="1">L82/J82*100</f>
        <v>3.1361170285330497</v>
      </c>
      <c r="N82" s="97" t="s">
        <v>406</v>
      </c>
      <c r="O82" s="85" t="s">
        <v>29</v>
      </c>
      <c r="P82" s="143" t="s">
        <v>5</v>
      </c>
      <c r="Q82" s="143" t="s">
        <v>195</v>
      </c>
      <c r="R82" s="143" t="s">
        <v>197</v>
      </c>
      <c r="S82" s="210">
        <f>(S26+S27)*S59</f>
        <v>14878619.338947346</v>
      </c>
      <c r="T82" s="76"/>
      <c r="U82" s="153"/>
    </row>
    <row r="83" spans="1:21" s="135" customFormat="1">
      <c r="A83" s="220" t="s">
        <v>200</v>
      </c>
      <c r="B83" s="220" t="s">
        <v>525</v>
      </c>
      <c r="C83" s="319">
        <v>25</v>
      </c>
      <c r="D83" s="136">
        <v>300</v>
      </c>
      <c r="E83" s="136">
        <f t="shared" si="40"/>
        <v>7500</v>
      </c>
      <c r="F83" s="136">
        <f t="shared" si="37"/>
        <v>799.77499999999998</v>
      </c>
      <c r="G83" s="136">
        <f t="shared" ca="1" si="38"/>
        <v>764.67000000000007</v>
      </c>
      <c r="H83" s="136">
        <f ca="1">G83-F83</f>
        <v>-35.104999999999905</v>
      </c>
      <c r="I83" s="499">
        <f ca="1">H83/F83*100</f>
        <v>-4.3893595073614335</v>
      </c>
      <c r="J83" s="136">
        <f t="shared" ca="1" si="41"/>
        <v>764.67000000000007</v>
      </c>
      <c r="K83" s="136">
        <f t="shared" ca="1" si="39"/>
        <v>791.4849999999999</v>
      </c>
      <c r="L83" s="136">
        <f ca="1">K83-J83</f>
        <v>26.814999999999827</v>
      </c>
      <c r="M83" s="499">
        <f ca="1">L83/J83*100</f>
        <v>3.5067414701766544</v>
      </c>
      <c r="N83" s="97" t="s">
        <v>406</v>
      </c>
      <c r="O83" s="85" t="s">
        <v>29</v>
      </c>
      <c r="P83" s="143" t="s">
        <v>5</v>
      </c>
      <c r="Q83" s="143" t="s">
        <v>195</v>
      </c>
      <c r="R83" s="143" t="s">
        <v>198</v>
      </c>
      <c r="S83" s="210">
        <f>(S28+S29)*S60</f>
        <v>22891841.685084656</v>
      </c>
      <c r="T83" s="76"/>
      <c r="U83" s="153"/>
    </row>
    <row r="84" spans="1:21" s="135" customFormat="1">
      <c r="A84" s="220" t="s">
        <v>200</v>
      </c>
      <c r="B84" s="220" t="s">
        <v>525</v>
      </c>
      <c r="C84" s="319">
        <v>25</v>
      </c>
      <c r="D84" s="136">
        <v>500</v>
      </c>
      <c r="E84" s="136">
        <f t="shared" si="40"/>
        <v>12500</v>
      </c>
      <c r="F84" s="136">
        <f t="shared" si="37"/>
        <v>1200.5900000000001</v>
      </c>
      <c r="G84" s="136">
        <f t="shared" ca="1" si="38"/>
        <v>1159.27</v>
      </c>
      <c r="H84" s="136">
        <f t="shared" ref="H84:H94" ca="1" si="42">G84-F84</f>
        <v>-41.320000000000164</v>
      </c>
      <c r="I84" s="499">
        <f t="shared" ref="I84:I94" ca="1" si="43">H84/F84*100</f>
        <v>-3.4416411930800819</v>
      </c>
      <c r="J84" s="136">
        <f t="shared" ca="1" si="41"/>
        <v>1159.27</v>
      </c>
      <c r="K84" s="136">
        <f t="shared" ca="1" si="39"/>
        <v>1196.5350000000001</v>
      </c>
      <c r="L84" s="136">
        <f t="shared" ref="L84:L94" ca="1" si="44">K84-J84</f>
        <v>37.2650000000001</v>
      </c>
      <c r="M84" s="499">
        <f t="shared" ref="M84:M94" ca="1" si="45">L84/J84*100</f>
        <v>3.2145229325351381</v>
      </c>
      <c r="N84" s="97" t="s">
        <v>406</v>
      </c>
      <c r="O84" s="85" t="s">
        <v>29</v>
      </c>
      <c r="P84" s="143" t="s">
        <v>5</v>
      </c>
      <c r="Q84" s="143" t="s">
        <v>195</v>
      </c>
      <c r="R84" s="143" t="s">
        <v>282</v>
      </c>
      <c r="S84" s="210">
        <f>(S30+S31)*S61</f>
        <v>8590652.990384018</v>
      </c>
      <c r="T84" s="76"/>
      <c r="U84" s="153"/>
    </row>
    <row r="85" spans="1:21" s="135" customFormat="1">
      <c r="A85" s="220" t="s">
        <v>200</v>
      </c>
      <c r="B85" s="220" t="s">
        <v>525</v>
      </c>
      <c r="C85" s="319">
        <v>25</v>
      </c>
      <c r="D85" s="136">
        <v>700</v>
      </c>
      <c r="E85" s="136">
        <f t="shared" si="40"/>
        <v>17500</v>
      </c>
      <c r="F85" s="136">
        <f t="shared" si="37"/>
        <v>1593.59</v>
      </c>
      <c r="G85" s="136">
        <f t="shared" ca="1" si="38"/>
        <v>1553.8700000000001</v>
      </c>
      <c r="H85" s="136">
        <f t="shared" ca="1" si="42"/>
        <v>-39.7199999999998</v>
      </c>
      <c r="I85" s="499">
        <f t="shared" ca="1" si="43"/>
        <v>-2.4924855201149483</v>
      </c>
      <c r="J85" s="136">
        <f t="shared" ca="1" si="41"/>
        <v>1553.8700000000001</v>
      </c>
      <c r="K85" s="136">
        <f t="shared" ca="1" si="39"/>
        <v>1601.585</v>
      </c>
      <c r="L85" s="136">
        <f t="shared" ca="1" si="44"/>
        <v>47.714999999999918</v>
      </c>
      <c r="M85" s="499">
        <f t="shared" ca="1" si="45"/>
        <v>3.0707202018186797</v>
      </c>
      <c r="N85" s="97" t="s">
        <v>406</v>
      </c>
      <c r="O85" s="85" t="s">
        <v>29</v>
      </c>
      <c r="P85" s="143" t="s">
        <v>5</v>
      </c>
      <c r="Q85" s="143" t="s">
        <v>195</v>
      </c>
      <c r="R85" s="143" t="s">
        <v>201</v>
      </c>
      <c r="S85" s="210">
        <f>S32*S62</f>
        <v>63169.819999999992</v>
      </c>
      <c r="T85" s="76"/>
      <c r="U85" s="153"/>
    </row>
    <row r="86" spans="1:21" s="135" customFormat="1">
      <c r="A86" s="220" t="s">
        <v>200</v>
      </c>
      <c r="B86" s="220" t="s">
        <v>525</v>
      </c>
      <c r="C86" s="319">
        <v>50</v>
      </c>
      <c r="D86" s="136">
        <v>300</v>
      </c>
      <c r="E86" s="136">
        <f t="shared" si="40"/>
        <v>15000</v>
      </c>
      <c r="F86" s="136">
        <f t="shared" si="37"/>
        <v>1518.34</v>
      </c>
      <c r="G86" s="136">
        <f t="shared" ca="1" si="38"/>
        <v>1477.8200000000002</v>
      </c>
      <c r="H86" s="136">
        <f t="shared" ca="1" si="42"/>
        <v>-40.519999999999754</v>
      </c>
      <c r="I86" s="499">
        <f t="shared" ca="1" si="43"/>
        <v>-2.6687039793458487</v>
      </c>
      <c r="J86" s="136">
        <f t="shared" ca="1" si="41"/>
        <v>1477.8200000000002</v>
      </c>
      <c r="K86" s="136">
        <f t="shared" ca="1" si="39"/>
        <v>1528.31</v>
      </c>
      <c r="L86" s="136">
        <f t="shared" ca="1" si="44"/>
        <v>50.489999999999782</v>
      </c>
      <c r="M86" s="499">
        <f t="shared" ca="1" si="45"/>
        <v>3.416518926526896</v>
      </c>
      <c r="N86" s="97" t="s">
        <v>406</v>
      </c>
      <c r="O86" s="85" t="s">
        <v>29</v>
      </c>
      <c r="P86" s="143" t="s">
        <v>5</v>
      </c>
      <c r="Q86" s="143" t="s">
        <v>195</v>
      </c>
      <c r="R86" s="166" t="s">
        <v>367</v>
      </c>
      <c r="S86" s="210">
        <f>S33*S63</f>
        <v>-1043.94</v>
      </c>
      <c r="T86" s="76"/>
      <c r="U86" s="153"/>
    </row>
    <row r="87" spans="1:21" s="135" customFormat="1">
      <c r="A87" s="220" t="s">
        <v>200</v>
      </c>
      <c r="B87" s="220" t="s">
        <v>525</v>
      </c>
      <c r="C87" s="319">
        <v>50</v>
      </c>
      <c r="D87" s="136">
        <v>500</v>
      </c>
      <c r="E87" s="136">
        <f t="shared" si="40"/>
        <v>25000</v>
      </c>
      <c r="F87" s="136">
        <f t="shared" si="37"/>
        <v>2304.34</v>
      </c>
      <c r="G87" s="136">
        <f t="shared" ca="1" si="38"/>
        <v>2267.02</v>
      </c>
      <c r="H87" s="136">
        <f t="shared" ca="1" si="42"/>
        <v>-37.320000000000164</v>
      </c>
      <c r="I87" s="499">
        <f t="shared" ca="1" si="43"/>
        <v>-1.6195526701788869</v>
      </c>
      <c r="J87" s="136">
        <f t="shared" ca="1" si="41"/>
        <v>2267.02</v>
      </c>
      <c r="K87" s="136">
        <f t="shared" ca="1" si="39"/>
        <v>2338.41</v>
      </c>
      <c r="L87" s="136">
        <f t="shared" ca="1" si="44"/>
        <v>71.389999999999873</v>
      </c>
      <c r="M87" s="499">
        <f t="shared" ca="1" si="45"/>
        <v>3.1490679394094396</v>
      </c>
      <c r="N87" s="97" t="s">
        <v>406</v>
      </c>
      <c r="O87" s="85" t="s">
        <v>29</v>
      </c>
      <c r="P87" s="143" t="s">
        <v>5</v>
      </c>
      <c r="Q87" s="143" t="s">
        <v>195</v>
      </c>
      <c r="R87" s="166" t="s">
        <v>358</v>
      </c>
      <c r="S87" s="210">
        <f>S34*S64</f>
        <v>-1129.99</v>
      </c>
      <c r="T87" s="76"/>
      <c r="U87" s="153"/>
    </row>
    <row r="88" spans="1:21" s="135" customFormat="1">
      <c r="A88" s="220" t="s">
        <v>200</v>
      </c>
      <c r="B88" s="220" t="s">
        <v>525</v>
      </c>
      <c r="C88" s="319">
        <v>50</v>
      </c>
      <c r="D88" s="136">
        <v>700</v>
      </c>
      <c r="E88" s="136">
        <f t="shared" si="40"/>
        <v>35000</v>
      </c>
      <c r="F88" s="136">
        <f t="shared" si="37"/>
        <v>3090.34</v>
      </c>
      <c r="G88" s="136">
        <f t="shared" ca="1" si="38"/>
        <v>3056.2200000000003</v>
      </c>
      <c r="H88" s="136">
        <f t="shared" ca="1" si="42"/>
        <v>-34.119999999999891</v>
      </c>
      <c r="I88" s="499">
        <f t="shared" ca="1" si="43"/>
        <v>-1.1040856345903651</v>
      </c>
      <c r="J88" s="136">
        <f t="shared" ca="1" si="41"/>
        <v>3056.2200000000003</v>
      </c>
      <c r="K88" s="136">
        <f t="shared" ca="1" si="39"/>
        <v>3148.51</v>
      </c>
      <c r="L88" s="136">
        <f t="shared" ca="1" si="44"/>
        <v>92.289999999999964</v>
      </c>
      <c r="M88" s="499">
        <f t="shared" ca="1" si="45"/>
        <v>3.0197433430839387</v>
      </c>
      <c r="N88" s="97" t="s">
        <v>406</v>
      </c>
      <c r="O88" s="85" t="s">
        <v>29</v>
      </c>
      <c r="P88" s="143" t="s">
        <v>5</v>
      </c>
      <c r="Q88" s="143" t="s">
        <v>195</v>
      </c>
      <c r="R88" s="166" t="s">
        <v>368</v>
      </c>
      <c r="S88" s="210">
        <f>S35*S65</f>
        <v>7924</v>
      </c>
      <c r="T88" s="76"/>
      <c r="U88" s="153"/>
    </row>
    <row r="89" spans="1:21" s="135" customFormat="1">
      <c r="A89" s="220" t="s">
        <v>200</v>
      </c>
      <c r="B89" s="220" t="s">
        <v>525</v>
      </c>
      <c r="C89" s="319">
        <v>75</v>
      </c>
      <c r="D89" s="136">
        <v>300</v>
      </c>
      <c r="E89" s="136">
        <f t="shared" si="40"/>
        <v>22500</v>
      </c>
      <c r="F89" s="136">
        <f t="shared" si="37"/>
        <v>2229.09</v>
      </c>
      <c r="G89" s="136">
        <f t="shared" ca="1" si="38"/>
        <v>2190.9700000000003</v>
      </c>
      <c r="H89" s="136">
        <f t="shared" ca="1" si="42"/>
        <v>-38.119999999999891</v>
      </c>
      <c r="I89" s="499">
        <f t="shared" ca="1" si="43"/>
        <v>-1.7101148899326581</v>
      </c>
      <c r="J89" s="136">
        <f t="shared" ca="1" si="41"/>
        <v>2190.9700000000003</v>
      </c>
      <c r="K89" s="136">
        <f t="shared" ca="1" si="39"/>
        <v>2265.1350000000002</v>
      </c>
      <c r="L89" s="136">
        <f t="shared" ca="1" si="44"/>
        <v>74.164999999999964</v>
      </c>
      <c r="M89" s="499">
        <f t="shared" ca="1" si="45"/>
        <v>3.385030374674229</v>
      </c>
      <c r="N89" s="145" t="s">
        <v>406</v>
      </c>
      <c r="O89" s="257" t="s">
        <v>29</v>
      </c>
      <c r="P89" s="147" t="s">
        <v>5</v>
      </c>
      <c r="Q89" s="147" t="s">
        <v>195</v>
      </c>
      <c r="R89" s="209" t="s">
        <v>168</v>
      </c>
      <c r="S89" s="211">
        <f>Unbilled!E6</f>
        <v>753527.61020262272</v>
      </c>
      <c r="T89" s="76"/>
      <c r="U89" s="153"/>
    </row>
    <row r="90" spans="1:21" s="135" customFormat="1">
      <c r="A90" s="220" t="s">
        <v>200</v>
      </c>
      <c r="B90" s="220" t="s">
        <v>525</v>
      </c>
      <c r="C90" s="319">
        <v>75</v>
      </c>
      <c r="D90" s="136">
        <v>500</v>
      </c>
      <c r="E90" s="136">
        <f t="shared" si="40"/>
        <v>37500</v>
      </c>
      <c r="F90" s="136">
        <f t="shared" si="37"/>
        <v>3408.09</v>
      </c>
      <c r="G90" s="136">
        <f t="shared" ca="1" si="38"/>
        <v>3374.77</v>
      </c>
      <c r="H90" s="136">
        <f t="shared" ca="1" si="42"/>
        <v>-33.320000000000164</v>
      </c>
      <c r="I90" s="499">
        <f t="shared" ca="1" si="43"/>
        <v>-0.97767371166841732</v>
      </c>
      <c r="J90" s="136">
        <f t="shared" ca="1" si="41"/>
        <v>3374.77</v>
      </c>
      <c r="K90" s="136">
        <f t="shared" ca="1" si="39"/>
        <v>3480.2849999999999</v>
      </c>
      <c r="L90" s="136">
        <f t="shared" ca="1" si="44"/>
        <v>105.51499999999987</v>
      </c>
      <c r="M90" s="499">
        <f t="shared" ca="1" si="45"/>
        <v>3.1265834412419182</v>
      </c>
      <c r="N90" s="140" t="s">
        <v>406</v>
      </c>
      <c r="O90" s="256" t="s">
        <v>29</v>
      </c>
      <c r="P90" s="141" t="s">
        <v>7</v>
      </c>
      <c r="Q90" s="141" t="s">
        <v>199</v>
      </c>
      <c r="R90" s="141" t="s">
        <v>335</v>
      </c>
      <c r="S90" s="213">
        <f>S36*S52</f>
        <v>20356.298666666666</v>
      </c>
      <c r="T90" s="76"/>
      <c r="U90" s="153"/>
    </row>
    <row r="91" spans="1:21" s="135" customFormat="1">
      <c r="A91" s="220" t="s">
        <v>200</v>
      </c>
      <c r="B91" s="220" t="s">
        <v>525</v>
      </c>
      <c r="C91" s="319">
        <v>75</v>
      </c>
      <c r="D91" s="136">
        <v>700</v>
      </c>
      <c r="E91" s="136">
        <f t="shared" si="40"/>
        <v>52500</v>
      </c>
      <c r="F91" s="136">
        <f t="shared" si="37"/>
        <v>4587.09</v>
      </c>
      <c r="G91" s="136">
        <f t="shared" ca="1" si="38"/>
        <v>4558.57</v>
      </c>
      <c r="H91" s="136">
        <f t="shared" ca="1" si="42"/>
        <v>-28.520000000000437</v>
      </c>
      <c r="I91" s="499">
        <f t="shared" ca="1" si="43"/>
        <v>-0.62174494069225672</v>
      </c>
      <c r="J91" s="136">
        <f t="shared" ca="1" si="41"/>
        <v>4558.57</v>
      </c>
      <c r="K91" s="136">
        <f t="shared" ca="1" si="39"/>
        <v>4695.4350000000004</v>
      </c>
      <c r="L91" s="136">
        <f t="shared" ca="1" si="44"/>
        <v>136.86500000000069</v>
      </c>
      <c r="M91" s="499">
        <f t="shared" ca="1" si="45"/>
        <v>3.0023669703437856</v>
      </c>
      <c r="N91" s="97" t="s">
        <v>406</v>
      </c>
      <c r="O91" s="85" t="s">
        <v>29</v>
      </c>
      <c r="P91" s="143" t="s">
        <v>7</v>
      </c>
      <c r="Q91" s="143" t="s">
        <v>200</v>
      </c>
      <c r="R91" s="143" t="s">
        <v>335</v>
      </c>
      <c r="S91" s="210">
        <f>S37*S54</f>
        <v>41396.18</v>
      </c>
      <c r="T91" s="76"/>
      <c r="U91" s="153"/>
    </row>
    <row r="92" spans="1:21" s="135" customFormat="1">
      <c r="A92" s="220" t="s">
        <v>200</v>
      </c>
      <c r="B92" s="220" t="s">
        <v>525</v>
      </c>
      <c r="C92" s="319">
        <v>100</v>
      </c>
      <c r="D92" s="136">
        <v>300</v>
      </c>
      <c r="E92" s="136">
        <f t="shared" si="40"/>
        <v>30000</v>
      </c>
      <c r="F92" s="136">
        <f t="shared" si="37"/>
        <v>2939.84</v>
      </c>
      <c r="G92" s="136">
        <f t="shared" ca="1" si="38"/>
        <v>2904.1200000000003</v>
      </c>
      <c r="H92" s="136">
        <f t="shared" ca="1" si="42"/>
        <v>-35.7199999999998</v>
      </c>
      <c r="I92" s="499">
        <f t="shared" ca="1" si="43"/>
        <v>-1.2150321105910458</v>
      </c>
      <c r="J92" s="136">
        <f t="shared" ca="1" si="41"/>
        <v>2904.1200000000003</v>
      </c>
      <c r="K92" s="136">
        <f t="shared" ca="1" si="39"/>
        <v>3001.96</v>
      </c>
      <c r="L92" s="136">
        <f t="shared" ca="1" si="44"/>
        <v>97.839999999999691</v>
      </c>
      <c r="M92" s="499">
        <f t="shared" ca="1" si="45"/>
        <v>3.3690067903530045</v>
      </c>
      <c r="N92" s="97" t="s">
        <v>406</v>
      </c>
      <c r="O92" s="85" t="s">
        <v>29</v>
      </c>
      <c r="P92" s="143" t="s">
        <v>7</v>
      </c>
      <c r="Q92" s="143" t="s">
        <v>200</v>
      </c>
      <c r="R92" s="143" t="s">
        <v>336</v>
      </c>
      <c r="S92" s="210">
        <f>S38*S55</f>
        <v>176.4</v>
      </c>
      <c r="T92" s="76"/>
      <c r="U92" s="153"/>
    </row>
    <row r="93" spans="1:21" s="135" customFormat="1">
      <c r="A93" s="220" t="s">
        <v>200</v>
      </c>
      <c r="B93" s="220" t="s">
        <v>525</v>
      </c>
      <c r="C93" s="319">
        <v>100</v>
      </c>
      <c r="D93" s="136">
        <v>500</v>
      </c>
      <c r="E93" s="136">
        <f t="shared" si="40"/>
        <v>50000</v>
      </c>
      <c r="F93" s="136">
        <f t="shared" si="37"/>
        <v>4511.84</v>
      </c>
      <c r="G93" s="136">
        <f t="shared" ca="1" si="38"/>
        <v>4482.5200000000004</v>
      </c>
      <c r="H93" s="136">
        <f t="shared" ca="1" si="42"/>
        <v>-29.319999999999709</v>
      </c>
      <c r="I93" s="499">
        <f t="shared" ca="1" si="43"/>
        <v>-0.64984573921060385</v>
      </c>
      <c r="J93" s="136">
        <f t="shared" ca="1" si="41"/>
        <v>4482.5200000000004</v>
      </c>
      <c r="K93" s="136">
        <f t="shared" ca="1" si="39"/>
        <v>4622.16</v>
      </c>
      <c r="L93" s="136">
        <f t="shared" ca="1" si="44"/>
        <v>139.63999999999942</v>
      </c>
      <c r="M93" s="499">
        <f t="shared" ca="1" si="45"/>
        <v>3.1152119789760984</v>
      </c>
      <c r="N93" s="97" t="s">
        <v>406</v>
      </c>
      <c r="O93" s="85" t="s">
        <v>29</v>
      </c>
      <c r="P93" s="143" t="s">
        <v>7</v>
      </c>
      <c r="Q93" s="143" t="s">
        <v>195</v>
      </c>
      <c r="R93" s="143" t="s">
        <v>281</v>
      </c>
      <c r="S93" s="210">
        <f>S39*S56</f>
        <v>52588.87</v>
      </c>
      <c r="T93" s="76"/>
      <c r="U93" s="153"/>
    </row>
    <row r="94" spans="1:21" s="135" customFormat="1">
      <c r="A94" s="220" t="s">
        <v>200</v>
      </c>
      <c r="B94" s="220" t="s">
        <v>525</v>
      </c>
      <c r="C94" s="319">
        <v>100</v>
      </c>
      <c r="D94" s="136">
        <v>700</v>
      </c>
      <c r="E94" s="136">
        <f t="shared" si="40"/>
        <v>70000</v>
      </c>
      <c r="F94" s="136">
        <f t="shared" si="37"/>
        <v>6083.84</v>
      </c>
      <c r="G94" s="136">
        <f t="shared" ca="1" si="38"/>
        <v>6060.92</v>
      </c>
      <c r="H94" s="136">
        <f t="shared" ca="1" si="42"/>
        <v>-22.920000000000073</v>
      </c>
      <c r="I94" s="499">
        <f t="shared" ca="1" si="43"/>
        <v>-0.3767357458447308</v>
      </c>
      <c r="J94" s="136">
        <f t="shared" ca="1" si="41"/>
        <v>6060.92</v>
      </c>
      <c r="K94" s="136">
        <f t="shared" ca="1" si="39"/>
        <v>6242.36</v>
      </c>
      <c r="L94" s="136">
        <f t="shared" ca="1" si="44"/>
        <v>181.4399999999996</v>
      </c>
      <c r="M94" s="499">
        <f t="shared" ca="1" si="45"/>
        <v>2.9936049312645538</v>
      </c>
      <c r="N94" s="97" t="s">
        <v>406</v>
      </c>
      <c r="O94" s="85" t="s">
        <v>29</v>
      </c>
      <c r="P94" s="143" t="s">
        <v>7</v>
      </c>
      <c r="Q94" s="143" t="s">
        <v>195</v>
      </c>
      <c r="R94" s="143" t="s">
        <v>283</v>
      </c>
      <c r="S94" s="210">
        <f>S40*S57</f>
        <v>698.87635616438354</v>
      </c>
      <c r="T94" s="76"/>
      <c r="U94" s="153"/>
    </row>
    <row r="95" spans="1:21" s="135" customFormat="1">
      <c r="A95" s="393" t="s">
        <v>517</v>
      </c>
      <c r="B95" s="345"/>
      <c r="C95" s="345"/>
      <c r="D95" s="345"/>
      <c r="E95" s="345"/>
      <c r="F95" s="345"/>
      <c r="G95" s="345"/>
      <c r="H95" s="345"/>
      <c r="I95" s="510"/>
      <c r="J95" s="345"/>
      <c r="K95" s="345"/>
      <c r="L95" s="345"/>
      <c r="M95" s="513"/>
      <c r="N95" s="97" t="s">
        <v>406</v>
      </c>
      <c r="O95" s="85" t="s">
        <v>29</v>
      </c>
      <c r="P95" s="143" t="s">
        <v>7</v>
      </c>
      <c r="Q95" s="143" t="s">
        <v>195</v>
      </c>
      <c r="R95" s="143" t="s">
        <v>202</v>
      </c>
      <c r="S95" s="210">
        <f>S41*S58</f>
        <v>125179.59</v>
      </c>
      <c r="T95" s="76"/>
      <c r="U95" s="153"/>
    </row>
    <row r="96" spans="1:21" s="135" customFormat="1">
      <c r="A96" s="384" t="s">
        <v>518</v>
      </c>
      <c r="B96" s="138"/>
      <c r="C96" s="138"/>
      <c r="D96" s="138"/>
      <c r="E96" s="138"/>
      <c r="F96" s="138"/>
      <c r="G96" s="138"/>
      <c r="H96" s="138"/>
      <c r="I96" s="511"/>
      <c r="J96" s="138"/>
      <c r="K96" s="138"/>
      <c r="L96" s="138"/>
      <c r="M96" s="514"/>
      <c r="N96" s="97" t="s">
        <v>406</v>
      </c>
      <c r="O96" s="85" t="s">
        <v>29</v>
      </c>
      <c r="P96" s="143" t="s">
        <v>7</v>
      </c>
      <c r="Q96" s="143" t="s">
        <v>195</v>
      </c>
      <c r="R96" s="143" t="s">
        <v>197</v>
      </c>
      <c r="S96" s="210">
        <f>(S42+S43)*S59</f>
        <v>349666.46675750561</v>
      </c>
      <c r="T96" s="76"/>
      <c r="U96" s="153"/>
    </row>
    <row r="97" spans="1:25" s="135" customFormat="1">
      <c r="A97" s="330" t="s">
        <v>523</v>
      </c>
      <c r="B97" s="346"/>
      <c r="C97" s="346"/>
      <c r="D97" s="346"/>
      <c r="E97" s="346"/>
      <c r="F97" s="346"/>
      <c r="G97" s="346"/>
      <c r="H97" s="346"/>
      <c r="I97" s="512"/>
      <c r="J97" s="346"/>
      <c r="K97" s="346"/>
      <c r="L97" s="346"/>
      <c r="M97" s="515"/>
      <c r="N97" s="97" t="s">
        <v>406</v>
      </c>
      <c r="O97" s="85" t="s">
        <v>29</v>
      </c>
      <c r="P97" s="143" t="s">
        <v>7</v>
      </c>
      <c r="Q97" s="143" t="s">
        <v>195</v>
      </c>
      <c r="R97" s="143" t="s">
        <v>198</v>
      </c>
      <c r="S97" s="210">
        <f>(S44+S45)*S60</f>
        <v>728944.62783588108</v>
      </c>
      <c r="T97" s="76"/>
      <c r="U97" s="153"/>
    </row>
    <row r="98" spans="1:25" s="135" customFormat="1">
      <c r="A98" s="220" t="s">
        <v>200</v>
      </c>
      <c r="B98" s="220" t="s">
        <v>526</v>
      </c>
      <c r="C98" s="319">
        <v>15</v>
      </c>
      <c r="D98" s="136">
        <v>300</v>
      </c>
      <c r="E98" s="136">
        <f>C98*D98</f>
        <v>4500</v>
      </c>
      <c r="F98" s="136">
        <f t="shared" ref="F98:F112" si="46">SUMIFS(S$52:S$55,Q$52:Q$55,A98,R$52:R$55,"Bill")+(S$56+S$58)*C98+S$59*1000+IF(E98&lt;=9000,S$60*(E98-1000),S$60*8000+S$61*(E98-9000))</f>
        <v>499.84499999999997</v>
      </c>
      <c r="G98" s="136">
        <f t="shared" ref="G98:G112" ca="1" si="47">SUMIFS(S$115:S$118,Q$115:Q$118,A98,R$115:R$118,"Bill")+(S$119+S$121)*C98+IF(B98="Summer",S$122,IF(B98="Winter",S$123,AF$123))*1000+IF(B98="Summer",S$124,IF(B98="Winter",S$125,AF$125))*(E98-1000)</f>
        <v>494.61650537698716</v>
      </c>
      <c r="H98" s="136">
        <f t="shared" ref="H98:H112" ca="1" si="48">G98-F98</f>
        <v>-5.2284946230128071</v>
      </c>
      <c r="I98" s="499">
        <f t="shared" ref="I98:I112" ca="1" si="49">H98/F98*100</f>
        <v>-1.0460231917920171</v>
      </c>
      <c r="J98" s="136">
        <f ca="1">G98</f>
        <v>494.61650537698716</v>
      </c>
      <c r="K98" s="136">
        <f t="shared" ref="K98:K112" ca="1" si="50">SUMIFS(S$192:S$195,Q$192:Q$195,A98,R$192:R$195,"Bill")+(S$196+S$198)*C98+IF(B98="Summer",S$199,IF(B98="Winter",S$200,AF$200))*1000+IF(B98="Summer",S$201,IF(B98="Winter",S$202,AF$202))*(E98-1000)</f>
        <v>527.16602504345383</v>
      </c>
      <c r="L98" s="136">
        <f t="shared" ref="L98:L112" ca="1" si="51">K98-J98</f>
        <v>32.549519666466665</v>
      </c>
      <c r="M98" s="499">
        <f t="shared" ref="M98:M112" ca="1" si="52">L98/J98*100</f>
        <v>6.5807588935306649</v>
      </c>
      <c r="N98" s="97" t="s">
        <v>406</v>
      </c>
      <c r="O98" s="85" t="s">
        <v>29</v>
      </c>
      <c r="P98" s="143" t="s">
        <v>7</v>
      </c>
      <c r="Q98" s="143" t="s">
        <v>195</v>
      </c>
      <c r="R98" s="143" t="s">
        <v>282</v>
      </c>
      <c r="S98" s="210">
        <f>(S46+S47)*S61</f>
        <v>272568.06219331891</v>
      </c>
      <c r="T98" s="76"/>
      <c r="U98" s="153"/>
      <c r="V98" s="324"/>
      <c r="W98" s="335"/>
      <c r="X98" s="335"/>
      <c r="Y98" s="335"/>
    </row>
    <row r="99" spans="1:25" s="135" customFormat="1">
      <c r="A99" s="220" t="s">
        <v>200</v>
      </c>
      <c r="B99" s="220" t="s">
        <v>526</v>
      </c>
      <c r="C99" s="319">
        <v>15</v>
      </c>
      <c r="D99" s="136">
        <v>500</v>
      </c>
      <c r="E99" s="136">
        <f t="shared" ref="E99:E112" si="53">C99*D99</f>
        <v>7500</v>
      </c>
      <c r="F99" s="136">
        <f t="shared" si="46"/>
        <v>751.27499999999998</v>
      </c>
      <c r="G99" s="136">
        <f t="shared" ca="1" si="47"/>
        <v>741.51205960313575</v>
      </c>
      <c r="H99" s="136">
        <f t="shared" ca="1" si="48"/>
        <v>-9.7629403968642237</v>
      </c>
      <c r="I99" s="499">
        <f t="shared" ca="1" si="49"/>
        <v>-1.2995162086937839</v>
      </c>
      <c r="J99" s="136">
        <f t="shared" ref="J99:J112" ca="1" si="54">G99</f>
        <v>741.51205960313575</v>
      </c>
      <c r="K99" s="136">
        <f t="shared" ca="1" si="50"/>
        <v>790.47160134161197</v>
      </c>
      <c r="L99" s="136">
        <f t="shared" ca="1" si="51"/>
        <v>48.959541738476219</v>
      </c>
      <c r="M99" s="499">
        <f t="shared" ca="1" si="52"/>
        <v>6.6026629107933621</v>
      </c>
      <c r="N99" s="97" t="s">
        <v>406</v>
      </c>
      <c r="O99" s="85" t="s">
        <v>29</v>
      </c>
      <c r="P99" s="143" t="s">
        <v>7</v>
      </c>
      <c r="Q99" s="143" t="s">
        <v>195</v>
      </c>
      <c r="R99" s="143" t="s">
        <v>201</v>
      </c>
      <c r="S99" s="210">
        <f>S48*S62</f>
        <v>8380.4699999999993</v>
      </c>
      <c r="T99" s="76"/>
      <c r="U99" s="153"/>
      <c r="V99" s="324"/>
      <c r="W99" s="335"/>
      <c r="X99" s="138"/>
      <c r="Y99" s="138"/>
    </row>
    <row r="100" spans="1:25" s="135" customFormat="1">
      <c r="A100" s="220" t="s">
        <v>200</v>
      </c>
      <c r="B100" s="220" t="s">
        <v>526</v>
      </c>
      <c r="C100" s="319">
        <v>15</v>
      </c>
      <c r="D100" s="136">
        <v>700</v>
      </c>
      <c r="E100" s="136">
        <f t="shared" si="53"/>
        <v>10500</v>
      </c>
      <c r="F100" s="136">
        <f t="shared" si="46"/>
        <v>994.89</v>
      </c>
      <c r="G100" s="136">
        <f t="shared" ca="1" si="47"/>
        <v>988.40761382928429</v>
      </c>
      <c r="H100" s="136">
        <f t="shared" ca="1" si="48"/>
        <v>-6.4823861707156993</v>
      </c>
      <c r="I100" s="499">
        <f t="shared" ca="1" si="49"/>
        <v>-0.65156813021697868</v>
      </c>
      <c r="J100" s="136">
        <f t="shared" ca="1" si="54"/>
        <v>988.40761382928429</v>
      </c>
      <c r="K100" s="136">
        <f t="shared" ca="1" si="50"/>
        <v>1053.7771776397701</v>
      </c>
      <c r="L100" s="136">
        <f t="shared" ca="1" si="51"/>
        <v>65.369563810485829</v>
      </c>
      <c r="M100" s="499">
        <f t="shared" ca="1" si="52"/>
        <v>6.613624065200324</v>
      </c>
      <c r="N100" s="97" t="s">
        <v>406</v>
      </c>
      <c r="O100" s="85" t="s">
        <v>29</v>
      </c>
      <c r="P100" s="143" t="s">
        <v>7</v>
      </c>
      <c r="Q100" s="143" t="s">
        <v>195</v>
      </c>
      <c r="R100" s="166" t="s">
        <v>367</v>
      </c>
      <c r="S100" s="210">
        <f>S49*S63</f>
        <v>-119.42</v>
      </c>
      <c r="T100" s="76"/>
      <c r="W100" s="429"/>
      <c r="X100" s="157"/>
      <c r="Y100" s="153"/>
    </row>
    <row r="101" spans="1:25" s="135" customFormat="1">
      <c r="A101" s="220" t="s">
        <v>200</v>
      </c>
      <c r="B101" s="220" t="s">
        <v>526</v>
      </c>
      <c r="C101" s="319">
        <v>25</v>
      </c>
      <c r="D101" s="136">
        <v>300</v>
      </c>
      <c r="E101" s="136">
        <f t="shared" si="53"/>
        <v>7500</v>
      </c>
      <c r="F101" s="136">
        <f t="shared" si="46"/>
        <v>799.77499999999998</v>
      </c>
      <c r="G101" s="136">
        <f t="shared" ca="1" si="47"/>
        <v>790.01205960313575</v>
      </c>
      <c r="H101" s="136">
        <f t="shared" ca="1" si="48"/>
        <v>-9.7629403968642237</v>
      </c>
      <c r="I101" s="499">
        <f t="shared" ca="1" si="49"/>
        <v>-1.2207108745414927</v>
      </c>
      <c r="J101" s="136">
        <f t="shared" ca="1" si="54"/>
        <v>790.01205960313575</v>
      </c>
      <c r="K101" s="136">
        <f t="shared" ca="1" si="50"/>
        <v>842.17160134161202</v>
      </c>
      <c r="L101" s="136">
        <f t="shared" ca="1" si="51"/>
        <v>52.159541738476264</v>
      </c>
      <c r="M101" s="499">
        <f t="shared" ca="1" si="52"/>
        <v>6.6023728504446781</v>
      </c>
      <c r="N101" s="97" t="s">
        <v>406</v>
      </c>
      <c r="O101" s="85" t="s">
        <v>29</v>
      </c>
      <c r="P101" s="143" t="s">
        <v>7</v>
      </c>
      <c r="Q101" s="143" t="s">
        <v>195</v>
      </c>
      <c r="R101" s="166" t="s">
        <v>358</v>
      </c>
      <c r="S101" s="210">
        <f>S50*S64</f>
        <v>-146.76</v>
      </c>
      <c r="T101" s="76"/>
      <c r="W101" s="2"/>
      <c r="X101" s="138"/>
      <c r="Y101" s="138"/>
    </row>
    <row r="102" spans="1:25" s="135" customFormat="1">
      <c r="A102" s="220" t="s">
        <v>200</v>
      </c>
      <c r="B102" s="220" t="s">
        <v>526</v>
      </c>
      <c r="C102" s="319">
        <v>25</v>
      </c>
      <c r="D102" s="136">
        <v>500</v>
      </c>
      <c r="E102" s="136">
        <f t="shared" si="53"/>
        <v>12500</v>
      </c>
      <c r="F102" s="136">
        <f t="shared" si="46"/>
        <v>1200.5900000000001</v>
      </c>
      <c r="G102" s="136">
        <f t="shared" ca="1" si="47"/>
        <v>1201.5046499800501</v>
      </c>
      <c r="H102" s="136">
        <f t="shared" ca="1" si="48"/>
        <v>0.91464998004994413</v>
      </c>
      <c r="I102" s="499">
        <f t="shared" ca="1" si="49"/>
        <v>7.6183374844863275E-2</v>
      </c>
      <c r="J102" s="136">
        <f t="shared" ca="1" si="54"/>
        <v>1201.5046499800501</v>
      </c>
      <c r="K102" s="136">
        <f t="shared" ca="1" si="50"/>
        <v>1281.0142285052088</v>
      </c>
      <c r="L102" s="136">
        <f t="shared" ca="1" si="51"/>
        <v>79.509578525158759</v>
      </c>
      <c r="M102" s="499">
        <f t="shared" ca="1" si="52"/>
        <v>6.6175006918599069</v>
      </c>
      <c r="N102" s="97" t="s">
        <v>406</v>
      </c>
      <c r="O102" s="85" t="s">
        <v>29</v>
      </c>
      <c r="P102" s="143" t="s">
        <v>7</v>
      </c>
      <c r="Q102" s="143" t="s">
        <v>195</v>
      </c>
      <c r="R102" s="166" t="s">
        <v>368</v>
      </c>
      <c r="S102" s="210">
        <f>S51*S65</f>
        <v>1556</v>
      </c>
      <c r="T102" s="76"/>
    </row>
    <row r="103" spans="1:25" s="135" customFormat="1">
      <c r="A103" s="220" t="s">
        <v>200</v>
      </c>
      <c r="B103" s="220" t="s">
        <v>526</v>
      </c>
      <c r="C103" s="319">
        <v>25</v>
      </c>
      <c r="D103" s="136">
        <v>700</v>
      </c>
      <c r="E103" s="136">
        <f t="shared" si="53"/>
        <v>17500</v>
      </c>
      <c r="F103" s="136">
        <f t="shared" si="46"/>
        <v>1593.59</v>
      </c>
      <c r="G103" s="136">
        <f t="shared" ca="1" si="47"/>
        <v>1612.9972403569641</v>
      </c>
      <c r="H103" s="136">
        <f t="shared" ca="1" si="48"/>
        <v>19.407240356964166</v>
      </c>
      <c r="I103" s="499">
        <f t="shared" ca="1" si="49"/>
        <v>1.217831459595264</v>
      </c>
      <c r="J103" s="136">
        <f t="shared" ca="1" si="54"/>
        <v>1612.9972403569641</v>
      </c>
      <c r="K103" s="136">
        <f t="shared" ca="1" si="50"/>
        <v>1719.8568556688058</v>
      </c>
      <c r="L103" s="136">
        <f t="shared" ca="1" si="51"/>
        <v>106.85961531184171</v>
      </c>
      <c r="M103" s="499">
        <f t="shared" ca="1" si="52"/>
        <v>6.6249099898145616</v>
      </c>
      <c r="N103" s="145" t="s">
        <v>406</v>
      </c>
      <c r="O103" s="257" t="s">
        <v>29</v>
      </c>
      <c r="P103" s="147" t="s">
        <v>7</v>
      </c>
      <c r="Q103" s="147" t="s">
        <v>195</v>
      </c>
      <c r="R103" s="209" t="s">
        <v>168</v>
      </c>
      <c r="S103" s="211">
        <f>Unbilled!E7</f>
        <v>30849.452456491777</v>
      </c>
      <c r="T103" s="76"/>
    </row>
    <row r="104" spans="1:25">
      <c r="A104" s="220" t="s">
        <v>200</v>
      </c>
      <c r="B104" s="220" t="s">
        <v>526</v>
      </c>
      <c r="C104" s="319">
        <v>50</v>
      </c>
      <c r="D104" s="136">
        <v>300</v>
      </c>
      <c r="E104" s="136">
        <f t="shared" si="53"/>
        <v>15000</v>
      </c>
      <c r="F104" s="136">
        <f t="shared" si="46"/>
        <v>1518.34</v>
      </c>
      <c r="G104" s="136">
        <f t="shared" ca="1" si="47"/>
        <v>1528.5009451685073</v>
      </c>
      <c r="H104" s="136">
        <f t="shared" ca="1" si="48"/>
        <v>10.160945168507396</v>
      </c>
      <c r="I104" s="499">
        <f t="shared" ca="1" si="49"/>
        <v>0.66921408699681206</v>
      </c>
      <c r="J104" s="136">
        <f t="shared" ca="1" si="54"/>
        <v>1528.5009451685073</v>
      </c>
      <c r="K104" s="136">
        <f t="shared" ca="1" si="50"/>
        <v>1629.6855420870074</v>
      </c>
      <c r="L104" s="136">
        <f t="shared" ca="1" si="51"/>
        <v>101.18459691850012</v>
      </c>
      <c r="M104" s="499">
        <f t="shared" ca="1" si="52"/>
        <v>6.6198583153211716</v>
      </c>
      <c r="N104" s="301" t="s">
        <v>536</v>
      </c>
      <c r="O104" s="256" t="s">
        <v>29</v>
      </c>
      <c r="P104" s="212" t="s">
        <v>195</v>
      </c>
      <c r="Q104" s="212" t="s">
        <v>195</v>
      </c>
      <c r="R104" s="212" t="s">
        <v>195</v>
      </c>
      <c r="S104" s="213">
        <f ca="1">'Cost of Service and Proposed $'!M123</f>
        <v>3077009.2043812028</v>
      </c>
      <c r="U104" s="76"/>
    </row>
    <row r="105" spans="1:25">
      <c r="A105" s="220" t="s">
        <v>200</v>
      </c>
      <c r="B105" s="220" t="s">
        <v>526</v>
      </c>
      <c r="C105" s="319">
        <v>50</v>
      </c>
      <c r="D105" s="136">
        <v>500</v>
      </c>
      <c r="E105" s="136">
        <f t="shared" si="53"/>
        <v>25000</v>
      </c>
      <c r="F105" s="136">
        <f t="shared" si="46"/>
        <v>2304.34</v>
      </c>
      <c r="G105" s="136">
        <f t="shared" ca="1" si="47"/>
        <v>2351.4861259223358</v>
      </c>
      <c r="H105" s="136">
        <f t="shared" ca="1" si="48"/>
        <v>47.146125922335614</v>
      </c>
      <c r="I105" s="499">
        <f t="shared" ca="1" si="49"/>
        <v>2.0459709037006522</v>
      </c>
      <c r="J105" s="136">
        <f t="shared" ca="1" si="54"/>
        <v>2351.4861259223358</v>
      </c>
      <c r="K105" s="136">
        <f t="shared" ca="1" si="50"/>
        <v>2507.3707964142013</v>
      </c>
      <c r="L105" s="136">
        <f t="shared" ca="1" si="51"/>
        <v>155.88467049186556</v>
      </c>
      <c r="M105" s="499">
        <f t="shared" ca="1" si="52"/>
        <v>6.6291979686132363</v>
      </c>
      <c r="N105" s="302" t="s">
        <v>625</v>
      </c>
      <c r="O105" s="257" t="s">
        <v>29</v>
      </c>
      <c r="P105" s="209" t="s">
        <v>195</v>
      </c>
      <c r="Q105" s="209" t="s">
        <v>195</v>
      </c>
      <c r="R105" s="209" t="s">
        <v>195</v>
      </c>
      <c r="S105" s="211">
        <f ca="1">'Cost of Service and Proposed $'!M128-'Cost of Service and Proposed $'!M123</f>
        <v>54822787.718057379</v>
      </c>
      <c r="U105" s="76"/>
    </row>
    <row r="106" spans="1:25">
      <c r="A106" s="220" t="s">
        <v>200</v>
      </c>
      <c r="B106" s="220" t="s">
        <v>526</v>
      </c>
      <c r="C106" s="319">
        <v>50</v>
      </c>
      <c r="D106" s="136">
        <v>700</v>
      </c>
      <c r="E106" s="136">
        <f t="shared" si="53"/>
        <v>35000</v>
      </c>
      <c r="F106" s="136">
        <f t="shared" si="46"/>
        <v>3090.34</v>
      </c>
      <c r="G106" s="136">
        <f t="shared" ca="1" si="47"/>
        <v>3174.4713066761642</v>
      </c>
      <c r="H106" s="136">
        <f t="shared" ca="1" si="48"/>
        <v>84.131306676164058</v>
      </c>
      <c r="I106" s="499">
        <f t="shared" ca="1" si="49"/>
        <v>2.7223964572236081</v>
      </c>
      <c r="J106" s="136">
        <f t="shared" ca="1" si="54"/>
        <v>3174.4713066761642</v>
      </c>
      <c r="K106" s="136">
        <f t="shared" ca="1" si="50"/>
        <v>3385.0560507413948</v>
      </c>
      <c r="L106" s="136">
        <f t="shared" ca="1" si="51"/>
        <v>210.58474406523055</v>
      </c>
      <c r="M106" s="499">
        <f t="shared" ca="1" si="52"/>
        <v>6.6336949911109349</v>
      </c>
      <c r="N106" s="320" t="s">
        <v>534</v>
      </c>
      <c r="O106" s="323" t="s">
        <v>29</v>
      </c>
      <c r="P106" s="212" t="s">
        <v>195</v>
      </c>
      <c r="Q106" s="212" t="s">
        <v>195</v>
      </c>
      <c r="R106" s="212" t="s">
        <v>335</v>
      </c>
      <c r="S106" s="213">
        <f t="shared" ref="S106:S114" ca="1" si="55">(T106*(U106-V106)+V106*100)/100</f>
        <v>2823363.4114157879</v>
      </c>
      <c r="T106" s="577">
        <v>10</v>
      </c>
      <c r="U106" s="153">
        <f ca="1">S104*(1-SUM(U110:U114)/SUM(S104:S105))</f>
        <v>3026215.4263007892</v>
      </c>
      <c r="V106" s="135" cm="1">
        <f t="array" aca="1" ref="V106" ca="1">SUM(SUMIFS(S$66:S$103,R$66:R$103,{"Bill","Annual Bill"}))/SUM(SUMIFS(S$66:S$103,R$66:R$103,{"Bill","Annual Bill","Load Size kW","Annual Load Size kW","kW","kWh*"}))*(SUM(S104:S105)-SUM(V110:V114))</f>
        <v>2800824.2986507881</v>
      </c>
      <c r="W106" s="135"/>
    </row>
    <row r="107" spans="1:25">
      <c r="A107" s="220" t="s">
        <v>200</v>
      </c>
      <c r="B107" s="220" t="s">
        <v>526</v>
      </c>
      <c r="C107" s="319">
        <v>75</v>
      </c>
      <c r="D107" s="136">
        <v>300</v>
      </c>
      <c r="E107" s="136">
        <f t="shared" si="53"/>
        <v>22500</v>
      </c>
      <c r="F107" s="136">
        <f t="shared" si="46"/>
        <v>2229.09</v>
      </c>
      <c r="G107" s="136">
        <f t="shared" ca="1" si="47"/>
        <v>2266.9898307338785</v>
      </c>
      <c r="H107" s="136">
        <f t="shared" ca="1" si="48"/>
        <v>37.899830733878389</v>
      </c>
      <c r="I107" s="499">
        <f t="shared" ca="1" si="49"/>
        <v>1.7002377981094701</v>
      </c>
      <c r="J107" s="136">
        <f t="shared" ca="1" si="54"/>
        <v>2266.9898307338785</v>
      </c>
      <c r="K107" s="136">
        <f t="shared" ca="1" si="50"/>
        <v>2417.1994828324027</v>
      </c>
      <c r="L107" s="136">
        <f t="shared" ca="1" si="51"/>
        <v>150.2096520985242</v>
      </c>
      <c r="M107" s="499">
        <f t="shared" ca="1" si="52"/>
        <v>6.6259517383850701</v>
      </c>
      <c r="N107" s="321" t="s">
        <v>534</v>
      </c>
      <c r="O107" s="294" t="s">
        <v>29</v>
      </c>
      <c r="P107" s="208" t="s">
        <v>195</v>
      </c>
      <c r="Q107" s="208" t="s">
        <v>195</v>
      </c>
      <c r="R107" s="208" t="s">
        <v>281</v>
      </c>
      <c r="S107" s="210">
        <f t="shared" ca="1" si="55"/>
        <v>1337788.9438998753</v>
      </c>
      <c r="T107" s="325">
        <f>T$106</f>
        <v>10</v>
      </c>
      <c r="U107" s="153" cm="1">
        <f t="array" aca="1" ref="U107" ca="1">S105*SUM(SUMIFS(S$66:S$103,R$66:R$103,{"Load Size kW","Annual Load Size kW"}))/SUM(SUMIFS(S$66:S$103,R$66:R$103,{"Load Size kW","Annual Load Size kW","kW","kWh*"}))*(1-SUM(U110:U114)/SUM(S104:S105))</f>
        <v>1332774.7178281934</v>
      </c>
      <c r="V107" s="135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1338346.0801300621</v>
      </c>
    </row>
    <row r="108" spans="1:25">
      <c r="A108" s="220" t="s">
        <v>200</v>
      </c>
      <c r="B108" s="220" t="s">
        <v>526</v>
      </c>
      <c r="C108" s="319">
        <v>75</v>
      </c>
      <c r="D108" s="136">
        <v>500</v>
      </c>
      <c r="E108" s="136">
        <f t="shared" si="53"/>
        <v>37500</v>
      </c>
      <c r="F108" s="136">
        <f t="shared" si="46"/>
        <v>3408.09</v>
      </c>
      <c r="G108" s="136">
        <f t="shared" ca="1" si="47"/>
        <v>3501.467601864621</v>
      </c>
      <c r="H108" s="136">
        <f t="shared" ca="1" si="48"/>
        <v>93.377601864620829</v>
      </c>
      <c r="I108" s="499">
        <f t="shared" ca="1" si="49"/>
        <v>2.7398807503505136</v>
      </c>
      <c r="J108" s="136">
        <f t="shared" ca="1" si="54"/>
        <v>3501.467601864621</v>
      </c>
      <c r="K108" s="136">
        <f t="shared" ca="1" si="50"/>
        <v>3733.7273643231938</v>
      </c>
      <c r="L108" s="136">
        <f t="shared" ca="1" si="51"/>
        <v>232.25976245857282</v>
      </c>
      <c r="M108" s="499">
        <f t="shared" ca="1" si="52"/>
        <v>6.6332118090965215</v>
      </c>
      <c r="N108" s="321" t="s">
        <v>534</v>
      </c>
      <c r="O108" s="294" t="s">
        <v>29</v>
      </c>
      <c r="P108" s="208" t="s">
        <v>195</v>
      </c>
      <c r="Q108" s="208" t="s">
        <v>195</v>
      </c>
      <c r="R108" s="208" t="s">
        <v>202</v>
      </c>
      <c r="S108" s="210">
        <f t="shared" ca="1" si="55"/>
        <v>2898806.5670915609</v>
      </c>
      <c r="T108" s="325">
        <f t="shared" ref="T108:T114" si="56">T$106</f>
        <v>10</v>
      </c>
      <c r="U108" s="153" cm="1">
        <f t="array" aca="1" ref="U108" ca="1">S105*SUM(SUMIFS(S$66:S$103,R$66:R$103,{"kW"}))/SUM(SUMIFS(S$66:S$103,R$66:R$103,{"Load Size kW","Annual Load Size kW","kW","kWh*"}))*(1-SUM(U110:U114)/SUM(S104:S105))</f>
        <v>2887941.4216351337</v>
      </c>
      <c r="V108" s="135" cm="1">
        <f t="array" aca="1" ref="V108" ca="1">SUM(SUMIFS(S$66:S$103,R$66:R$103,{"kW"}))/SUM(SUMIFS(S$66:S$103,R$66:R$103,{"Bill","Annual Bill","Load Size kW","Annual Load Size kW","kW","kWh*"}))*(SUM(S104:S105)-SUM(V110:V114))</f>
        <v>2900013.8054756089</v>
      </c>
    </row>
    <row r="109" spans="1:25">
      <c r="A109" s="220" t="s">
        <v>200</v>
      </c>
      <c r="B109" s="220" t="s">
        <v>526</v>
      </c>
      <c r="C109" s="319">
        <v>75</v>
      </c>
      <c r="D109" s="136">
        <v>700</v>
      </c>
      <c r="E109" s="136">
        <f t="shared" si="53"/>
        <v>52500</v>
      </c>
      <c r="F109" s="136">
        <f t="shared" si="46"/>
        <v>4587.09</v>
      </c>
      <c r="G109" s="136">
        <f t="shared" ca="1" si="47"/>
        <v>4735.9453729953639</v>
      </c>
      <c r="H109" s="136">
        <f t="shared" ca="1" si="48"/>
        <v>148.85537299536372</v>
      </c>
      <c r="I109" s="499">
        <f t="shared" ca="1" si="49"/>
        <v>3.245093795747712</v>
      </c>
      <c r="J109" s="136">
        <f t="shared" ca="1" si="54"/>
        <v>4735.9453729953639</v>
      </c>
      <c r="K109" s="136">
        <f t="shared" ca="1" si="50"/>
        <v>5050.2552458139844</v>
      </c>
      <c r="L109" s="136">
        <f t="shared" ca="1" si="51"/>
        <v>314.30987281862053</v>
      </c>
      <c r="M109" s="499">
        <f t="shared" ca="1" si="52"/>
        <v>6.6366870405818803</v>
      </c>
      <c r="N109" s="321" t="s">
        <v>534</v>
      </c>
      <c r="O109" s="294" t="s">
        <v>29</v>
      </c>
      <c r="P109" s="208" t="s">
        <v>195</v>
      </c>
      <c r="Q109" s="208" t="s">
        <v>195</v>
      </c>
      <c r="R109" s="208" t="s">
        <v>6</v>
      </c>
      <c r="S109" s="210">
        <f t="shared" ca="1" si="55"/>
        <v>49884056.187096938</v>
      </c>
      <c r="T109" s="325">
        <f t="shared" si="56"/>
        <v>10</v>
      </c>
      <c r="U109" s="153" cm="1">
        <f t="array" aca="1" ref="U109" ca="1">S105*SUM(SUMIFS(S$66:S$103,R$66:R$103,{"kWh*"}))/SUM(SUMIFS(S$66:S$103,R$66:R$103,{"Load Size kW","Annual Load Size kW","kW","kWh*"}))*(1-SUM(U110:U114)/SUM(S104:S105))</f>
        <v>49697083.543740049</v>
      </c>
      <c r="V109" s="135" cm="1">
        <f t="array" aca="1" ref="V109" ca="1">SUM(SUMIFS(S$66:S$103,R$66:R$103,{"kWh*"}))/SUM(SUMIFS(S$66:S$103,R$66:R$103,{"Bill","Annual Bill","Load Size kW","Annual Load Size kW","kW","kWh*"}))*(SUM(S104:S105)-SUM(V110:V114))</f>
        <v>49904830.925247706</v>
      </c>
      <c r="W109" s="336"/>
      <c r="X109" s="399"/>
    </row>
    <row r="110" spans="1:25">
      <c r="A110" s="220" t="s">
        <v>200</v>
      </c>
      <c r="B110" s="220" t="s">
        <v>526</v>
      </c>
      <c r="C110" s="319">
        <v>100</v>
      </c>
      <c r="D110" s="136">
        <v>300</v>
      </c>
      <c r="E110" s="136">
        <f t="shared" si="53"/>
        <v>30000</v>
      </c>
      <c r="F110" s="136">
        <f t="shared" si="46"/>
        <v>2939.84</v>
      </c>
      <c r="G110" s="136">
        <f t="shared" ca="1" si="47"/>
        <v>3005.4787162992498</v>
      </c>
      <c r="H110" s="136">
        <f t="shared" ca="1" si="48"/>
        <v>65.638716299249609</v>
      </c>
      <c r="I110" s="499">
        <f t="shared" ca="1" si="49"/>
        <v>2.2327309070986723</v>
      </c>
      <c r="J110" s="136">
        <f t="shared" ca="1" si="54"/>
        <v>3005.4787162992498</v>
      </c>
      <c r="K110" s="136">
        <f t="shared" ca="1" si="50"/>
        <v>3204.7134235777985</v>
      </c>
      <c r="L110" s="136">
        <f t="shared" ca="1" si="51"/>
        <v>199.23470727854874</v>
      </c>
      <c r="M110" s="499">
        <f t="shared" ca="1" si="52"/>
        <v>6.629050679948695</v>
      </c>
      <c r="N110" s="321" t="s">
        <v>534</v>
      </c>
      <c r="O110" s="294" t="s">
        <v>29</v>
      </c>
      <c r="P110" s="208" t="s">
        <v>195</v>
      </c>
      <c r="Q110" s="208" t="s">
        <v>195</v>
      </c>
      <c r="R110" s="143" t="s">
        <v>201</v>
      </c>
      <c r="S110" s="210">
        <f t="shared" si="55"/>
        <v>71615.829999999987</v>
      </c>
      <c r="T110" s="325">
        <f t="shared" si="56"/>
        <v>10</v>
      </c>
      <c r="U110" s="153">
        <f>SUMIFS(S$66:S$103,R$66:R$103,R110)</f>
        <v>71615.829999999987</v>
      </c>
      <c r="V110" s="135">
        <f>SUMIFS(S$66:S$103,R$66:R$103,R110)</f>
        <v>71615.829999999987</v>
      </c>
      <c r="W110" s="336"/>
      <c r="X110" s="399"/>
    </row>
    <row r="111" spans="1:25">
      <c r="A111" s="220" t="s">
        <v>200</v>
      </c>
      <c r="B111" s="220" t="s">
        <v>526</v>
      </c>
      <c r="C111" s="319">
        <v>100</v>
      </c>
      <c r="D111" s="136">
        <v>500</v>
      </c>
      <c r="E111" s="136">
        <f t="shared" si="53"/>
        <v>50000</v>
      </c>
      <c r="F111" s="136">
        <f t="shared" si="46"/>
        <v>4511.84</v>
      </c>
      <c r="G111" s="136">
        <f t="shared" ca="1" si="47"/>
        <v>4651.4490778069066</v>
      </c>
      <c r="H111" s="136">
        <f t="shared" ca="1" si="48"/>
        <v>139.6090778069065</v>
      </c>
      <c r="I111" s="499">
        <f t="shared" ca="1" si="49"/>
        <v>3.0942825500661923</v>
      </c>
      <c r="J111" s="136">
        <f t="shared" ca="1" si="54"/>
        <v>4651.4490778069066</v>
      </c>
      <c r="K111" s="136">
        <f t="shared" ca="1" si="50"/>
        <v>4960.0839322321863</v>
      </c>
      <c r="L111" s="136">
        <f t="shared" ca="1" si="51"/>
        <v>308.63485442527963</v>
      </c>
      <c r="M111" s="499">
        <f t="shared" ca="1" si="52"/>
        <v>6.635240959593534</v>
      </c>
      <c r="N111" s="321" t="s">
        <v>534</v>
      </c>
      <c r="O111" s="294" t="s">
        <v>29</v>
      </c>
      <c r="P111" s="208" t="s">
        <v>195</v>
      </c>
      <c r="Q111" s="208" t="s">
        <v>195</v>
      </c>
      <c r="R111" s="166" t="s">
        <v>367</v>
      </c>
      <c r="S111" s="210">
        <f t="shared" si="55"/>
        <v>-1163.3600000000001</v>
      </c>
      <c r="T111" s="325">
        <f t="shared" si="56"/>
        <v>10</v>
      </c>
      <c r="U111" s="153">
        <f t="shared" ref="U111:U114" si="57">SUMIFS(S$66:S$103,R$66:R$103,R111)</f>
        <v>-1163.3600000000001</v>
      </c>
      <c r="V111" s="135">
        <f>SUMIFS(S$66:S$103,R$66:R$103,R111)</f>
        <v>-1163.3600000000001</v>
      </c>
      <c r="W111" s="336"/>
      <c r="X111" s="399"/>
    </row>
    <row r="112" spans="1:25">
      <c r="A112" s="220" t="s">
        <v>200</v>
      </c>
      <c r="B112" s="220" t="s">
        <v>526</v>
      </c>
      <c r="C112" s="319">
        <v>100</v>
      </c>
      <c r="D112" s="136">
        <v>700</v>
      </c>
      <c r="E112" s="136">
        <f t="shared" si="53"/>
        <v>70000</v>
      </c>
      <c r="F112" s="136">
        <f t="shared" si="46"/>
        <v>6083.84</v>
      </c>
      <c r="G112" s="136">
        <f t="shared" ca="1" si="47"/>
        <v>6297.4194393145635</v>
      </c>
      <c r="H112" s="136">
        <f t="shared" ca="1" si="48"/>
        <v>213.57943931456339</v>
      </c>
      <c r="I112" s="499">
        <f t="shared" ca="1" si="49"/>
        <v>3.5106025029350438</v>
      </c>
      <c r="J112" s="136">
        <f t="shared" ca="1" si="54"/>
        <v>6297.4194393145635</v>
      </c>
      <c r="K112" s="136">
        <f t="shared" ca="1" si="50"/>
        <v>6715.454440886574</v>
      </c>
      <c r="L112" s="136">
        <f t="shared" ca="1" si="51"/>
        <v>418.03500157201051</v>
      </c>
      <c r="M112" s="499">
        <f t="shared" ca="1" si="52"/>
        <v>6.6381953052425402</v>
      </c>
      <c r="N112" s="321" t="s">
        <v>534</v>
      </c>
      <c r="O112" s="294" t="s">
        <v>29</v>
      </c>
      <c r="P112" s="208" t="s">
        <v>195</v>
      </c>
      <c r="Q112" s="208" t="s">
        <v>195</v>
      </c>
      <c r="R112" s="166" t="s">
        <v>358</v>
      </c>
      <c r="S112" s="210">
        <f t="shared" si="55"/>
        <v>-1276.75</v>
      </c>
      <c r="T112" s="325">
        <f t="shared" si="56"/>
        <v>10</v>
      </c>
      <c r="U112" s="153">
        <f t="shared" si="57"/>
        <v>-1276.75</v>
      </c>
      <c r="V112" s="135">
        <f>SUMIFS(S$66:S$103,R$66:R$103,R112)</f>
        <v>-1276.75</v>
      </c>
      <c r="W112" s="336"/>
      <c r="X112" s="399"/>
    </row>
    <row r="113" spans="1:32">
      <c r="A113" s="393" t="s">
        <v>517</v>
      </c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12"/>
      <c r="N113" s="321" t="s">
        <v>534</v>
      </c>
      <c r="O113" s="294" t="s">
        <v>29</v>
      </c>
      <c r="P113" s="208" t="s">
        <v>195</v>
      </c>
      <c r="Q113" s="208" t="s">
        <v>195</v>
      </c>
      <c r="R113" s="166" t="s">
        <v>368</v>
      </c>
      <c r="S113" s="210">
        <f t="shared" si="55"/>
        <v>9480</v>
      </c>
      <c r="T113" s="325">
        <f t="shared" si="56"/>
        <v>10</v>
      </c>
      <c r="U113" s="153">
        <f t="shared" si="57"/>
        <v>9480</v>
      </c>
      <c r="V113" s="135">
        <f>SUMIFS(S$66:S$103,R$66:R$103,R113)</f>
        <v>9480</v>
      </c>
      <c r="W113" s="336"/>
      <c r="X113" s="399"/>
    </row>
    <row r="114" spans="1:32">
      <c r="A114" s="384" t="s">
        <v>518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267"/>
      <c r="N114" s="322" t="s">
        <v>534</v>
      </c>
      <c r="O114" s="298" t="s">
        <v>29</v>
      </c>
      <c r="P114" s="209" t="s">
        <v>195</v>
      </c>
      <c r="Q114" s="209" t="s">
        <v>195</v>
      </c>
      <c r="R114" s="209" t="s">
        <v>168</v>
      </c>
      <c r="S114" s="211">
        <f t="shared" si="55"/>
        <v>877126.09293441684</v>
      </c>
      <c r="T114" s="325">
        <f t="shared" si="56"/>
        <v>10</v>
      </c>
      <c r="U114" s="153">
        <f t="shared" si="57"/>
        <v>877126.09293441684</v>
      </c>
      <c r="V114" s="135">
        <f>SUMIFS(S$66:S$103,R$66:R$103,R114)</f>
        <v>877126.09293441684</v>
      </c>
      <c r="W114" s="336"/>
      <c r="X114" s="399"/>
    </row>
    <row r="115" spans="1:32">
      <c r="A115" s="330" t="s">
        <v>523</v>
      </c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13"/>
      <c r="N115" s="212" t="s">
        <v>505</v>
      </c>
      <c r="O115" s="212" t="s">
        <v>403</v>
      </c>
      <c r="P115" s="212" t="s">
        <v>195</v>
      </c>
      <c r="Q115" s="141" t="s">
        <v>199</v>
      </c>
      <c r="R115" s="529" t="s">
        <v>335</v>
      </c>
      <c r="S115" s="315">
        <f t="shared" ref="S115:S125" ca="1" si="58">ROUND(T115/100*W115*X115/Y115/Z115+AB115,U115)*AA115</f>
        <v>9.94</v>
      </c>
      <c r="T115" s="325">
        <f>100+Summary!$Q$9</f>
        <v>100.176</v>
      </c>
      <c r="U115" s="153">
        <v>2</v>
      </c>
      <c r="V115" s="270">
        <f ca="1">W115*X115/Y115/Z115*AA115+AB115</f>
        <v>9.9211549527918592</v>
      </c>
      <c r="W115" s="2">
        <f ca="1">S$106</f>
        <v>2823363.4114157879</v>
      </c>
      <c r="X115" s="135">
        <f>SUMIFS(S$66:S$103,Q$66:Q$103,Q115,R$66:R$103,R115)+SUMIFS(S$66:S$103,Q$66:Q$103,Q116,R$66:R$103,R116)</f>
        <v>1763403.7624748859</v>
      </c>
      <c r="Y115" s="135" cm="1">
        <f t="array" ref="Y115">SUM(SUMIFS(S$66:S$103,R$66:R$103,{"Bill","Annual Bill"}))</f>
        <v>2805959.9279543376</v>
      </c>
      <c r="Z115" s="135">
        <f>SUMIFS(S$8:S$51,Q$8:Q$51,Q115,R$8:R$51,R115)*AA115+SUMIFS(S$8:S$51,Q$8:Q$51,Q116,R$8:R$51,R116)*AA116</f>
        <v>178844.19497716898</v>
      </c>
      <c r="AA115" s="135">
        <v>1</v>
      </c>
      <c r="AB115" s="135"/>
      <c r="AD115" s="135"/>
    </row>
    <row r="116" spans="1:32">
      <c r="C116"/>
      <c r="D116"/>
      <c r="E116"/>
      <c r="F116"/>
      <c r="G116"/>
      <c r="H116"/>
      <c r="I116"/>
      <c r="J116"/>
      <c r="K116"/>
      <c r="L116"/>
      <c r="M116"/>
      <c r="N116" s="208" t="s">
        <v>505</v>
      </c>
      <c r="O116" s="208" t="s">
        <v>403</v>
      </c>
      <c r="P116" s="208" t="s">
        <v>195</v>
      </c>
      <c r="Q116" s="143" t="s">
        <v>199</v>
      </c>
      <c r="R116" s="530" t="s">
        <v>336</v>
      </c>
      <c r="S116" s="316">
        <f t="shared" ca="1" si="58"/>
        <v>119.28</v>
      </c>
      <c r="T116" s="325">
        <f>100+Summary!$Q$9</f>
        <v>100.176</v>
      </c>
      <c r="U116" s="153">
        <v>2</v>
      </c>
      <c r="V116" s="270">
        <f t="shared" ref="V116:V132" ca="1" si="59">W116*X116/Y116/Z116*AA116+AB116</f>
        <v>119.05385943350231</v>
      </c>
      <c r="W116" s="2">
        <f ca="1">S$106</f>
        <v>2823363.4114157879</v>
      </c>
      <c r="X116" s="135">
        <f>SUMIFS(S$66:S$103,Q$66:Q$103,Q115,R$66:R$103,R115)+SUMIFS(S$66:S$103,Q$66:Q$103,Q116,R$66:R$103,R116)</f>
        <v>1763403.7624748859</v>
      </c>
      <c r="Y116" s="135" cm="1">
        <f t="array" ref="Y116">SUM(SUMIFS(S$66:S$103,R$66:R$103,{"Bill","Annual Bill"}))</f>
        <v>2805959.9279543376</v>
      </c>
      <c r="Z116" s="135">
        <f>SUMIFS(S$8:S$51,Q$8:Q$51,Q115,R$8:R$51,R115)*AA115+SUMIFS(S$8:S$51,Q$8:Q$51,Q116,R$8:R$51,R116)*AA116</f>
        <v>178844.19497716898</v>
      </c>
      <c r="AA116" s="135">
        <v>12</v>
      </c>
      <c r="AB116" s="135"/>
      <c r="AD116" s="135"/>
    </row>
    <row r="117" spans="1:32">
      <c r="C117"/>
      <c r="D117"/>
      <c r="E117"/>
      <c r="F117"/>
      <c r="G117"/>
      <c r="H117"/>
      <c r="I117"/>
      <c r="J117"/>
      <c r="K117"/>
      <c r="L117"/>
      <c r="M117"/>
      <c r="N117" s="208" t="s">
        <v>505</v>
      </c>
      <c r="O117" s="208" t="s">
        <v>403</v>
      </c>
      <c r="P117" s="208" t="s">
        <v>195</v>
      </c>
      <c r="Q117" s="143" t="s">
        <v>200</v>
      </c>
      <c r="R117" s="530" t="s">
        <v>335</v>
      </c>
      <c r="S117" s="316">
        <f t="shared" ca="1" si="58"/>
        <v>14.82</v>
      </c>
      <c r="T117" s="325">
        <f>100+Summary!$Q$9</f>
        <v>100.176</v>
      </c>
      <c r="U117" s="153">
        <v>2</v>
      </c>
      <c r="V117" s="270">
        <f t="shared" ca="1" si="59"/>
        <v>14.791174219679545</v>
      </c>
      <c r="W117" s="2">
        <f ca="1">S$106</f>
        <v>2823363.4114157879</v>
      </c>
      <c r="X117" s="135">
        <f>SUMIFS(S$66:S$103,Q$66:Q$103,Q117,R$66:R$103,R117)+SUMIFS(S$66:S$103,Q$66:Q$103,Q118,R$66:R$103,R118)</f>
        <v>1042556.1654794519</v>
      </c>
      <c r="Y117" s="135" cm="1">
        <f t="array" ref="Y117">SUM(SUMIFS(S$66:S$103,R$66:R$103,{"Bill","Annual Bill"}))</f>
        <v>2805959.9279543376</v>
      </c>
      <c r="Z117" s="135">
        <f>SUMIFS(S$8:S$51,Q$8:Q$51,Q117,R$8:R$51,R117)*AA117+SUMIFS(S$8:S$51,Q$8:Q$51,Q118,R$8:R$51,R118)*AA118</f>
        <v>70922.188127853879</v>
      </c>
      <c r="AA117" s="135">
        <v>1</v>
      </c>
      <c r="AB117" s="135"/>
      <c r="AD117" s="135"/>
    </row>
    <row r="118" spans="1:32">
      <c r="C118"/>
      <c r="D118"/>
      <c r="E118"/>
      <c r="F118"/>
      <c r="G118"/>
      <c r="H118"/>
      <c r="I118"/>
      <c r="J118"/>
      <c r="K118"/>
      <c r="L118"/>
      <c r="M118"/>
      <c r="N118" s="208" t="s">
        <v>505</v>
      </c>
      <c r="O118" s="208" t="s">
        <v>403</v>
      </c>
      <c r="P118" s="208" t="s">
        <v>195</v>
      </c>
      <c r="Q118" s="143" t="s">
        <v>200</v>
      </c>
      <c r="R118" s="530" t="s">
        <v>336</v>
      </c>
      <c r="S118" s="316">
        <f t="shared" ca="1" si="58"/>
        <v>177.84</v>
      </c>
      <c r="T118" s="325">
        <f>100+Summary!$Q$9</f>
        <v>100.176</v>
      </c>
      <c r="U118" s="153">
        <v>2</v>
      </c>
      <c r="V118" s="270">
        <f t="shared" ca="1" si="59"/>
        <v>177.49409063615454</v>
      </c>
      <c r="W118" s="2">
        <f ca="1">S$106</f>
        <v>2823363.4114157879</v>
      </c>
      <c r="X118" s="135">
        <f>SUMIFS(S$66:S$103,Q$66:Q$103,Q117,R$66:R$103,R117)+SUMIFS(S$66:S$103,Q$66:Q$103,Q118,R$66:R$103,R118)</f>
        <v>1042556.1654794519</v>
      </c>
      <c r="Y118" s="135" cm="1">
        <f t="array" ref="Y118">SUM(SUMIFS(S$66:S$103,R$66:R$103,{"Bill","Annual Bill"}))</f>
        <v>2805959.9279543376</v>
      </c>
      <c r="Z118" s="135">
        <f>SUMIFS(S$8:S$51,Q$8:Q$51,Q117,R$8:R$51,R117)*AA117+SUMIFS(S$8:S$51,Q$8:Q$51,Q118,R$8:R$51,R118)*AA118</f>
        <v>70922.188127853879</v>
      </c>
      <c r="AA118" s="135">
        <v>12</v>
      </c>
      <c r="AB118" s="135"/>
      <c r="AD118" s="135"/>
    </row>
    <row r="119" spans="1:32">
      <c r="C119"/>
      <c r="D119"/>
      <c r="E119"/>
      <c r="F119"/>
      <c r="G119"/>
      <c r="H119"/>
      <c r="I119"/>
      <c r="J119"/>
      <c r="K119"/>
      <c r="L119"/>
      <c r="M119"/>
      <c r="N119" s="208" t="s">
        <v>505</v>
      </c>
      <c r="O119" s="208" t="s">
        <v>403</v>
      </c>
      <c r="P119" s="208" t="s">
        <v>195</v>
      </c>
      <c r="Q119" s="143" t="s">
        <v>195</v>
      </c>
      <c r="R119" s="530" t="s">
        <v>281</v>
      </c>
      <c r="S119" s="316">
        <f t="shared" ca="1" si="58"/>
        <v>1.04</v>
      </c>
      <c r="T119" s="325">
        <f>100+Summary!$Q$9</f>
        <v>100.176</v>
      </c>
      <c r="U119" s="153">
        <v>2</v>
      </c>
      <c r="V119" s="270">
        <f t="shared" ca="1" si="59"/>
        <v>1.037664385950952</v>
      </c>
      <c r="W119" s="2">
        <f ca="1">S$107</f>
        <v>1337788.9438998753</v>
      </c>
      <c r="X119" s="135">
        <v>1</v>
      </c>
      <c r="Y119" s="135">
        <v>1</v>
      </c>
      <c r="Z119" s="135">
        <f>SUMIFS(S$8:S$51,R$8:R$51,R119)*AA119+SUMIFS(S$8:S$51,R$8:R$51,R120)*AA120</f>
        <v>1289230.8553828592</v>
      </c>
      <c r="AA119" s="135">
        <v>1</v>
      </c>
      <c r="AB119" s="135"/>
      <c r="AD119" s="135"/>
    </row>
    <row r="120" spans="1:32">
      <c r="C120"/>
      <c r="D120"/>
      <c r="E120"/>
      <c r="F120"/>
      <c r="G120"/>
      <c r="H120"/>
      <c r="I120"/>
      <c r="J120"/>
      <c r="K120"/>
      <c r="L120"/>
      <c r="M120"/>
      <c r="N120" s="208" t="s">
        <v>505</v>
      </c>
      <c r="O120" s="208" t="s">
        <v>403</v>
      </c>
      <c r="P120" s="208" t="s">
        <v>195</v>
      </c>
      <c r="Q120" s="143" t="s">
        <v>195</v>
      </c>
      <c r="R120" s="530" t="s">
        <v>283</v>
      </c>
      <c r="S120" s="316">
        <f t="shared" ca="1" si="58"/>
        <v>12.48</v>
      </c>
      <c r="T120" s="325">
        <f>100+Summary!$Q$9</f>
        <v>100.176</v>
      </c>
      <c r="U120" s="153">
        <v>2</v>
      </c>
      <c r="V120" s="270">
        <f t="shared" ca="1" si="59"/>
        <v>12.451972631411424</v>
      </c>
      <c r="W120" s="2">
        <f ca="1">S$107</f>
        <v>1337788.9438998753</v>
      </c>
      <c r="X120" s="135">
        <v>1</v>
      </c>
      <c r="Y120" s="135">
        <v>1</v>
      </c>
      <c r="Z120" s="135">
        <f>SUMIFS(S$8:S$51,R$8:R$51,R119)*AA119+SUMIFS(S$8:S$51,R$8:R$51,R120)*AA120</f>
        <v>1289230.8553828592</v>
      </c>
      <c r="AA120" s="135">
        <v>12</v>
      </c>
      <c r="AB120" s="135"/>
      <c r="AD120" s="135"/>
    </row>
    <row r="121" spans="1:32">
      <c r="C121"/>
      <c r="D121"/>
      <c r="E121"/>
      <c r="F121"/>
      <c r="G121"/>
      <c r="H121"/>
      <c r="I121"/>
      <c r="J121"/>
      <c r="K121"/>
      <c r="L121"/>
      <c r="M121"/>
      <c r="N121" s="208" t="s">
        <v>505</v>
      </c>
      <c r="O121" s="208" t="s">
        <v>403</v>
      </c>
      <c r="P121" s="208" t="s">
        <v>195</v>
      </c>
      <c r="Q121" s="143" t="s">
        <v>195</v>
      </c>
      <c r="R121" s="530" t="s">
        <v>202</v>
      </c>
      <c r="S121" s="316">
        <f t="shared" ca="1" si="58"/>
        <v>3.81</v>
      </c>
      <c r="T121" s="325">
        <f>100+Summary!$Q$9</f>
        <v>100.176</v>
      </c>
      <c r="U121" s="153">
        <v>2</v>
      </c>
      <c r="V121" s="270">
        <f t="shared" ca="1" si="59"/>
        <v>3.8014435677626208</v>
      </c>
      <c r="W121" s="2">
        <f ca="1">S108</f>
        <v>2898806.5670915609</v>
      </c>
      <c r="X121" s="135">
        <v>1</v>
      </c>
      <c r="Y121" s="135">
        <v>1</v>
      </c>
      <c r="Z121" s="135">
        <f>SUMIFS(S$8:S$51,R$8:R$51,R121)</f>
        <v>762554.14960629912</v>
      </c>
      <c r="AA121" s="135">
        <v>1</v>
      </c>
      <c r="AB121" s="135"/>
      <c r="AC121" s="135"/>
      <c r="AD121" s="135"/>
    </row>
    <row r="122" spans="1:32">
      <c r="C122"/>
      <c r="D122"/>
      <c r="E122"/>
      <c r="F122"/>
      <c r="G122"/>
      <c r="H122"/>
      <c r="I122"/>
      <c r="J122"/>
      <c r="K122"/>
      <c r="L122"/>
      <c r="M122"/>
      <c r="N122" s="208" t="s">
        <v>505</v>
      </c>
      <c r="O122" s="208" t="s">
        <v>403</v>
      </c>
      <c r="P122" s="208" t="s">
        <v>195</v>
      </c>
      <c r="Q122" s="143" t="s">
        <v>195</v>
      </c>
      <c r="R122" s="530" t="s">
        <v>396</v>
      </c>
      <c r="S122" s="316">
        <f t="shared" ca="1" si="58"/>
        <v>0.12523000000000001</v>
      </c>
      <c r="T122" s="325">
        <f>100+Summary!$Q$9</f>
        <v>100.176</v>
      </c>
      <c r="U122" s="153">
        <v>5</v>
      </c>
      <c r="V122" s="270">
        <f t="shared" ca="1" si="59"/>
        <v>0.12501916899857099</v>
      </c>
      <c r="W122" s="2">
        <f ca="1">S$109</f>
        <v>49884056.187096938</v>
      </c>
      <c r="X122" s="135">
        <f>SUMIFS(S$66:S$103,R$66:R$103,"kWh First Block*")</f>
        <v>16843540.947404664</v>
      </c>
      <c r="Y122" s="135">
        <f>SUMIFS(S$66:S$103,R$66:R$103,"kWh*")</f>
        <v>49996337.0979883</v>
      </c>
      <c r="Z122" s="2" cm="1">
        <f t="array" ref="Z122">SUM(SUMIFS(S$8:S$51,R$8:R$51,{"kWh First Block*"}))</f>
        <v>141471030.9709782</v>
      </c>
      <c r="AA122" s="135">
        <v>1</v>
      </c>
      <c r="AB122" s="303">
        <f>AC122/AD122*AE122</f>
        <v>6.2265518915322442E-3</v>
      </c>
      <c r="AC122" s="2">
        <f>SUMIFS(S$8:S$51,R$8:R$51,"*(October - May)")</f>
        <v>352686815.57061332</v>
      </c>
      <c r="AD122" s="135">
        <f>SUMIFS(S$8:S$51,R$8:R$51,"kWh*")</f>
        <v>544109630.43028224</v>
      </c>
      <c r="AE122" s="303">
        <f>'Sch.16,17,19'!AG$38</f>
        <v>9.6060490468724904E-3</v>
      </c>
    </row>
    <row r="123" spans="1:32">
      <c r="C123"/>
      <c r="D123"/>
      <c r="E123"/>
      <c r="F123"/>
      <c r="G123"/>
      <c r="H123"/>
      <c r="I123"/>
      <c r="J123"/>
      <c r="K123"/>
      <c r="L123"/>
      <c r="M123"/>
      <c r="N123" s="208" t="s">
        <v>505</v>
      </c>
      <c r="O123" s="208" t="s">
        <v>403</v>
      </c>
      <c r="P123" s="208" t="s">
        <v>195</v>
      </c>
      <c r="Q123" s="143" t="s">
        <v>195</v>
      </c>
      <c r="R123" s="530" t="s">
        <v>394</v>
      </c>
      <c r="S123" s="316">
        <f t="shared" ca="1" si="58"/>
        <v>0.11562</v>
      </c>
      <c r="T123" s="325">
        <f>100+Summary!$Q$9</f>
        <v>100.176</v>
      </c>
      <c r="U123" s="153">
        <v>5</v>
      </c>
      <c r="V123" s="270">
        <f t="shared" ca="1" si="59"/>
        <v>0.11541311995169851</v>
      </c>
      <c r="W123" s="2">
        <f ca="1">S$109</f>
        <v>49884056.187096938</v>
      </c>
      <c r="X123" s="135">
        <f>SUMIFS(S$66:S$103,R$66:R$103,"kWh First Block*")</f>
        <v>16843540.947404664</v>
      </c>
      <c r="Y123" s="135">
        <f>SUMIFS(S$66:S$103,R$66:R$103,"kWh*")</f>
        <v>49996337.0979883</v>
      </c>
      <c r="Z123" s="2" cm="1">
        <f t="array" ref="Z123">SUM(SUMIFS(S$8:S$51,R$8:R$51,{"kWh First Block*"}))</f>
        <v>141471030.9709782</v>
      </c>
      <c r="AA123" s="135">
        <v>1</v>
      </c>
      <c r="AB123" s="303">
        <f t="shared" ref="AB123:AB125" si="60">AC123/AD123*AE123</f>
        <v>-3.3794971553402467E-3</v>
      </c>
      <c r="AC123" s="2">
        <f>SUMIFS(S$8:S$51,R$8:R$51,"*(June - September)")</f>
        <v>191422814.85966891</v>
      </c>
      <c r="AD123" s="135">
        <f t="shared" ref="AD123:AD125" si="61">SUMIFS(S$8:S$51,R$8:R$51,"kWh*")</f>
        <v>544109630.43028224</v>
      </c>
      <c r="AE123" s="303">
        <f>-'Sch.16,17,19'!AG$38</f>
        <v>-9.6060490468724904E-3</v>
      </c>
      <c r="AF123" s="303">
        <f ca="1">T123/100*W123*X123/Y123/Z123</f>
        <v>0.11900169211314714</v>
      </c>
    </row>
    <row r="124" spans="1:32">
      <c r="C124"/>
      <c r="D124"/>
      <c r="E124"/>
      <c r="F124"/>
      <c r="G124"/>
      <c r="H124"/>
      <c r="I124"/>
      <c r="J124"/>
      <c r="K124"/>
      <c r="L124"/>
      <c r="M124"/>
      <c r="N124" s="208" t="s">
        <v>505</v>
      </c>
      <c r="O124" s="208" t="s">
        <v>403</v>
      </c>
      <c r="P124" s="208" t="s">
        <v>195</v>
      </c>
      <c r="Q124" s="143" t="s">
        <v>195</v>
      </c>
      <c r="R124" s="530" t="s">
        <v>397</v>
      </c>
      <c r="S124" s="316">
        <f t="shared" ca="1" si="58"/>
        <v>8.8529999999999998E-2</v>
      </c>
      <c r="T124" s="325">
        <f>100+Summary!$Q$9</f>
        <v>100.176</v>
      </c>
      <c r="U124" s="153">
        <v>5</v>
      </c>
      <c r="V124" s="270">
        <f t="shared" ca="1" si="59"/>
        <v>8.8380479055107208E-2</v>
      </c>
      <c r="W124" s="2">
        <f ca="1">S$109</f>
        <v>49884056.187096938</v>
      </c>
      <c r="X124" s="135" cm="1">
        <f t="array" ref="X124">SUM(SUMIFS(S$66:S$103,R$66:R$103,{"kWh Second Block*","kWh Third Block*"}))</f>
        <v>33152796.150583629</v>
      </c>
      <c r="Y124" s="135">
        <f>SUMIFS(S$66:S$103,R$66:R$103,"kWh*")</f>
        <v>49996337.0979883</v>
      </c>
      <c r="Z124" s="2" cm="1">
        <f t="array" ref="Z124">SUM(SUMIFS(S$8:S$51,R$8:R$51,{"kWh Second Block*","kWh Third Block*"}))</f>
        <v>402638599.45930403</v>
      </c>
      <c r="AA124" s="135">
        <v>1</v>
      </c>
      <c r="AB124" s="303">
        <f t="shared" si="60"/>
        <v>6.2265518915322442E-3</v>
      </c>
      <c r="AC124" s="2">
        <f>SUMIFS(S$8:S$51,R$8:R$51,"*(October - May)")</f>
        <v>352686815.57061332</v>
      </c>
      <c r="AD124" s="135">
        <f t="shared" si="61"/>
        <v>544109630.43028224</v>
      </c>
      <c r="AE124" s="303">
        <f>'Sch.16,17,19'!AG$38</f>
        <v>9.6060490468724904E-3</v>
      </c>
    </row>
    <row r="125" spans="1:32">
      <c r="C125"/>
      <c r="D125"/>
      <c r="E125"/>
      <c r="F125"/>
      <c r="G125"/>
      <c r="H125"/>
      <c r="I125"/>
      <c r="J125"/>
      <c r="K125"/>
      <c r="L125"/>
      <c r="M125"/>
      <c r="N125" s="208" t="s">
        <v>505</v>
      </c>
      <c r="O125" s="208" t="s">
        <v>403</v>
      </c>
      <c r="P125" s="208" t="s">
        <v>195</v>
      </c>
      <c r="Q125" s="143" t="s">
        <v>195</v>
      </c>
      <c r="R125" s="530" t="s">
        <v>395</v>
      </c>
      <c r="S125" s="316">
        <f t="shared" ca="1" si="58"/>
        <v>7.8920000000000004E-2</v>
      </c>
      <c r="T125" s="325">
        <f>100+Summary!$Q$9</f>
        <v>100.176</v>
      </c>
      <c r="U125" s="153">
        <v>5</v>
      </c>
      <c r="V125" s="270">
        <f t="shared" ca="1" si="59"/>
        <v>7.8774430008234711E-2</v>
      </c>
      <c r="W125" s="2">
        <f ca="1">S$109</f>
        <v>49884056.187096938</v>
      </c>
      <c r="X125" s="135" cm="1">
        <f t="array" ref="X125">SUM(SUMIFS(S$66:S$103,R$66:R$103,{"kWh Second Block*","kWh Third Block*"}))</f>
        <v>33152796.150583629</v>
      </c>
      <c r="Y125" s="135">
        <f>SUMIFS(S$66:S$103,R$66:R$103,"kWh*")</f>
        <v>49996337.0979883</v>
      </c>
      <c r="Z125" s="2" cm="1">
        <f t="array" ref="Z125">SUM(SUMIFS(S$8:S$51,R$8:R$51,{"kWh Second Block*","kWh Third Block*"}))</f>
        <v>402638599.45930403</v>
      </c>
      <c r="AA125" s="135">
        <v>1</v>
      </c>
      <c r="AB125" s="303">
        <f t="shared" si="60"/>
        <v>-3.3794971553402467E-3</v>
      </c>
      <c r="AC125" s="2">
        <f>SUMIFS(S$8:S$51,R$8:R$51,"*(June - September)")</f>
        <v>191422814.85966891</v>
      </c>
      <c r="AD125" s="135">
        <f t="shared" si="61"/>
        <v>544109630.43028224</v>
      </c>
      <c r="AE125" s="303">
        <f>-'Sch.16,17,19'!AG$38</f>
        <v>-9.6060490468724904E-3</v>
      </c>
      <c r="AF125" s="303">
        <f ca="1">T125/100*W125*X125/Y125/Z125</f>
        <v>8.2298518075382854E-2</v>
      </c>
    </row>
    <row r="126" spans="1:32">
      <c r="C126"/>
      <c r="D126"/>
      <c r="E126"/>
      <c r="F126"/>
      <c r="G126"/>
      <c r="H126"/>
      <c r="I126"/>
      <c r="J126"/>
      <c r="K126"/>
      <c r="L126"/>
      <c r="M126"/>
      <c r="N126" s="208" t="s">
        <v>505</v>
      </c>
      <c r="O126" s="208" t="s">
        <v>403</v>
      </c>
      <c r="P126" s="208" t="s">
        <v>195</v>
      </c>
      <c r="Q126" s="143" t="s">
        <v>195</v>
      </c>
      <c r="R126" s="531" t="s">
        <v>579</v>
      </c>
      <c r="S126" s="316">
        <f>ROUND(W138*(1-X138/100),U126)</f>
        <v>3.0599999999999999E-2</v>
      </c>
      <c r="T126" s="325"/>
      <c r="U126" s="153">
        <v>5</v>
      </c>
      <c r="V126" s="270"/>
      <c r="W126" s="2"/>
      <c r="X126" s="135"/>
      <c r="Y126" s="135"/>
      <c r="Z126" s="2"/>
      <c r="AA126" s="135"/>
      <c r="AB126" s="303"/>
      <c r="AD126" s="135"/>
      <c r="AE126" s="303"/>
      <c r="AF126" s="303"/>
    </row>
    <row r="127" spans="1:32">
      <c r="C127"/>
      <c r="D127"/>
      <c r="E127"/>
      <c r="F127"/>
      <c r="G127"/>
      <c r="H127"/>
      <c r="I127"/>
      <c r="J127"/>
      <c r="K127"/>
      <c r="L127"/>
      <c r="M127"/>
      <c r="N127" s="208" t="s">
        <v>505</v>
      </c>
      <c r="O127" s="208" t="s">
        <v>403</v>
      </c>
      <c r="P127" s="208" t="s">
        <v>195</v>
      </c>
      <c r="Q127" s="143" t="s">
        <v>195</v>
      </c>
      <c r="R127" s="531" t="s">
        <v>580</v>
      </c>
      <c r="S127" s="316">
        <f>ROUND(W138*(-X138/100),U127)</f>
        <v>-2.2450000000000001E-2</v>
      </c>
      <c r="T127" s="325"/>
      <c r="U127" s="153">
        <v>5</v>
      </c>
      <c r="V127" s="270"/>
      <c r="W127" s="2"/>
      <c r="X127" s="135"/>
      <c r="Y127" s="135"/>
      <c r="Z127" s="2"/>
      <c r="AA127" s="135"/>
      <c r="AB127" s="303"/>
      <c r="AD127" s="135"/>
      <c r="AE127" s="303"/>
      <c r="AF127" s="303"/>
    </row>
    <row r="128" spans="1:32">
      <c r="C128"/>
      <c r="D128"/>
      <c r="E128"/>
      <c r="F128"/>
      <c r="G128"/>
      <c r="H128"/>
      <c r="I128"/>
      <c r="J128"/>
      <c r="K128"/>
      <c r="L128"/>
      <c r="M128"/>
      <c r="N128" s="208" t="s">
        <v>505</v>
      </c>
      <c r="O128" s="208" t="s">
        <v>403</v>
      </c>
      <c r="P128" s="208" t="s">
        <v>195</v>
      </c>
      <c r="Q128" s="143" t="s">
        <v>195</v>
      </c>
      <c r="R128" s="531" t="s">
        <v>581</v>
      </c>
      <c r="S128" s="316">
        <v>2</v>
      </c>
      <c r="T128" s="325"/>
      <c r="V128" s="270"/>
      <c r="W128" s="2"/>
      <c r="X128" s="135"/>
      <c r="Y128" s="135"/>
      <c r="Z128" s="2"/>
      <c r="AA128" s="135"/>
      <c r="AB128" s="303"/>
      <c r="AD128" s="135"/>
      <c r="AE128" s="303"/>
      <c r="AF128" s="303"/>
    </row>
    <row r="129" spans="3:30">
      <c r="C129"/>
      <c r="D129"/>
      <c r="E129"/>
      <c r="F129"/>
      <c r="G129"/>
      <c r="H129"/>
      <c r="I129"/>
      <c r="J129"/>
      <c r="K129"/>
      <c r="L129"/>
      <c r="M129"/>
      <c r="N129" s="208" t="s">
        <v>505</v>
      </c>
      <c r="O129" s="208" t="s">
        <v>403</v>
      </c>
      <c r="P129" s="208" t="s">
        <v>195</v>
      </c>
      <c r="Q129" s="143" t="s">
        <v>195</v>
      </c>
      <c r="R129" s="530" t="s">
        <v>201</v>
      </c>
      <c r="S129" s="316">
        <f t="shared" ref="S129" si="62">ROUND(T129/100*W129*X129/Y129/Z129+AB129,U129)*AA129</f>
        <v>0.57999999999999996</v>
      </c>
      <c r="T129" s="325">
        <f>100+Summary!$Q$9</f>
        <v>100.176</v>
      </c>
      <c r="U129" s="153">
        <v>2</v>
      </c>
      <c r="V129" s="270">
        <f t="shared" si="59"/>
        <v>0.57999999999999996</v>
      </c>
      <c r="W129" s="2">
        <f>S110</f>
        <v>71615.829999999987</v>
      </c>
      <c r="X129" s="135">
        <v>1</v>
      </c>
      <c r="Y129" s="135">
        <v>1</v>
      </c>
      <c r="Z129" s="135">
        <f>SUMIFS(S$8:S$51,R$8:R$51,R129)</f>
        <v>123475.56896551723</v>
      </c>
      <c r="AA129" s="135">
        <v>1</v>
      </c>
      <c r="AB129" s="135"/>
      <c r="AD129" s="135"/>
    </row>
    <row r="130" spans="3:30">
      <c r="C130"/>
      <c r="D130"/>
      <c r="E130"/>
      <c r="F130"/>
      <c r="G130"/>
      <c r="H130"/>
      <c r="I130"/>
      <c r="J130"/>
      <c r="K130"/>
      <c r="L130"/>
      <c r="M130"/>
      <c r="N130" s="208" t="s">
        <v>505</v>
      </c>
      <c r="O130" s="208" t="s">
        <v>403</v>
      </c>
      <c r="P130" s="208" t="s">
        <v>195</v>
      </c>
      <c r="Q130" s="143" t="s">
        <v>195</v>
      </c>
      <c r="R130" s="619" t="s">
        <v>367</v>
      </c>
      <c r="S130" s="316">
        <f t="shared" ref="S130:S132" si="63">ROUND(T130/100*W130*X130/Y130/Z130+AB130,U130)*AA130</f>
        <v>-0.01</v>
      </c>
      <c r="T130" s="577">
        <v>100</v>
      </c>
      <c r="U130" s="153">
        <v>2</v>
      </c>
      <c r="V130" s="270">
        <f t="shared" si="59"/>
        <v>-1.0000000000000002E-2</v>
      </c>
      <c r="W130" s="2">
        <f>S111</f>
        <v>-1163.3600000000001</v>
      </c>
      <c r="X130" s="135">
        <v>1</v>
      </c>
      <c r="Y130" s="135">
        <v>1</v>
      </c>
      <c r="Z130" s="135">
        <f>SUMIFS(S$8:S$51,R$8:R$51,R130)</f>
        <v>116336</v>
      </c>
      <c r="AA130" s="135">
        <v>1</v>
      </c>
      <c r="AB130" s="135"/>
      <c r="AD130" s="135"/>
    </row>
    <row r="131" spans="3:30">
      <c r="C131"/>
      <c r="D131"/>
      <c r="E131"/>
      <c r="F131"/>
      <c r="G131"/>
      <c r="H131"/>
      <c r="I131"/>
      <c r="J131"/>
      <c r="K131"/>
      <c r="L131"/>
      <c r="M131"/>
      <c r="N131" s="208" t="s">
        <v>505</v>
      </c>
      <c r="O131" s="208" t="s">
        <v>403</v>
      </c>
      <c r="P131" s="208" t="s">
        <v>195</v>
      </c>
      <c r="Q131" s="143" t="s">
        <v>195</v>
      </c>
      <c r="R131" s="619" t="s">
        <v>358</v>
      </c>
      <c r="S131" s="316">
        <f t="shared" si="63"/>
        <v>-0.3</v>
      </c>
      <c r="T131" s="577">
        <v>100</v>
      </c>
      <c r="U131" s="153">
        <v>2</v>
      </c>
      <c r="V131" s="270">
        <f t="shared" si="59"/>
        <v>-0.30000000000000004</v>
      </c>
      <c r="W131" s="2">
        <f>S112</f>
        <v>-1276.75</v>
      </c>
      <c r="X131" s="135">
        <v>1</v>
      </c>
      <c r="Y131" s="135">
        <v>1</v>
      </c>
      <c r="Z131" s="135">
        <f>SUMIFS(S$8:S$51,R$8:R$51,R131)</f>
        <v>4255.833333333333</v>
      </c>
      <c r="AA131" s="135">
        <v>1</v>
      </c>
      <c r="AB131" s="135"/>
      <c r="AD131" s="135"/>
    </row>
    <row r="132" spans="3:30">
      <c r="C132"/>
      <c r="D132"/>
      <c r="E132"/>
      <c r="F132"/>
      <c r="G132"/>
      <c r="H132"/>
      <c r="I132"/>
      <c r="J132"/>
      <c r="K132"/>
      <c r="L132"/>
      <c r="M132"/>
      <c r="N132" s="209" t="s">
        <v>505</v>
      </c>
      <c r="O132" s="209" t="s">
        <v>403</v>
      </c>
      <c r="P132" s="209" t="s">
        <v>195</v>
      </c>
      <c r="Q132" s="146" t="s">
        <v>195</v>
      </c>
      <c r="R132" s="620" t="s">
        <v>368</v>
      </c>
      <c r="S132" s="317">
        <f t="shared" si="63"/>
        <v>60</v>
      </c>
      <c r="T132" s="577">
        <v>100</v>
      </c>
      <c r="U132" s="153">
        <v>2</v>
      </c>
      <c r="V132" s="270">
        <f t="shared" si="59"/>
        <v>60</v>
      </c>
      <c r="W132" s="2">
        <f>S113</f>
        <v>9480</v>
      </c>
      <c r="X132" s="135">
        <v>1</v>
      </c>
      <c r="Y132" s="135">
        <v>1</v>
      </c>
      <c r="Z132" s="135">
        <f>SUMIFS(S$8:S$51,R$8:R$51,R132)</f>
        <v>158</v>
      </c>
      <c r="AA132" s="135">
        <v>1</v>
      </c>
      <c r="AB132" s="135"/>
      <c r="AD132" s="135"/>
    </row>
    <row r="133" spans="3:30">
      <c r="C133"/>
      <c r="D133"/>
      <c r="E133"/>
      <c r="F133"/>
      <c r="G133"/>
      <c r="H133"/>
      <c r="I133"/>
      <c r="J133"/>
      <c r="K133"/>
      <c r="L133"/>
      <c r="M133"/>
      <c r="N133" s="212" t="s">
        <v>505</v>
      </c>
      <c r="O133" s="212" t="s">
        <v>29</v>
      </c>
      <c r="P133" s="139" t="s">
        <v>4</v>
      </c>
      <c r="Q133" s="141" t="s">
        <v>199</v>
      </c>
      <c r="R133" s="141" t="s">
        <v>335</v>
      </c>
      <c r="S133" s="213">
        <f t="shared" ref="S133:S180" ca="1" si="64">IF(R133="Unbilled",SUMIFS(S$66:S$103,P$66:P$103,P133,R$66:R$103,R133),SUMIFS(S$115:S$132,Q$115:Q$132,Q133,R$115:R$132,R133)*U133)</f>
        <v>390257.32199999999</v>
      </c>
      <c r="T133" s="2">
        <f t="shared" ref="T133:T180" ca="1" si="65">IF(R133="Unbilled",SUMIFS(S$66:S$103,P$66:P$103,P133,R$66:R$103,R133),SUMIFS(V$115:V$132,Q$115:Q$132,Q133,R$115:R$132,R133)*U133)</f>
        <v>389517.44094804703</v>
      </c>
      <c r="U133" s="135">
        <f t="shared" ref="U133:U141" si="66">SUMIFS(S$8:S$51,P$8:P$51,P133,Q$8:Q$51,Q133,R$8:R$51,R133)</f>
        <v>39261.300000000003</v>
      </c>
      <c r="X133" s="135"/>
    </row>
    <row r="134" spans="3:30">
      <c r="C134"/>
      <c r="D134"/>
      <c r="E134"/>
      <c r="F134"/>
      <c r="G134"/>
      <c r="H134"/>
      <c r="I134"/>
      <c r="J134"/>
      <c r="K134"/>
      <c r="L134"/>
      <c r="M134"/>
      <c r="N134" s="208" t="s">
        <v>505</v>
      </c>
      <c r="O134" s="208" t="s">
        <v>29</v>
      </c>
      <c r="P134" s="95" t="s">
        <v>4</v>
      </c>
      <c r="Q134" s="143" t="s">
        <v>199</v>
      </c>
      <c r="R134" s="143" t="s">
        <v>336</v>
      </c>
      <c r="S134" s="210">
        <f t="shared" ca="1" si="64"/>
        <v>0</v>
      </c>
      <c r="T134" s="2">
        <f t="shared" ca="1" si="65"/>
        <v>0</v>
      </c>
      <c r="U134" s="135">
        <f t="shared" si="66"/>
        <v>0</v>
      </c>
      <c r="W134" s="217" t="s">
        <v>584</v>
      </c>
      <c r="X134" s="371"/>
    </row>
    <row r="135" spans="3:30">
      <c r="C135"/>
      <c r="D135"/>
      <c r="E135"/>
      <c r="F135"/>
      <c r="G135"/>
      <c r="H135"/>
      <c r="I135"/>
      <c r="J135"/>
      <c r="K135"/>
      <c r="L135"/>
      <c r="M135"/>
      <c r="N135" s="208" t="s">
        <v>505</v>
      </c>
      <c r="O135" s="208" t="s">
        <v>29</v>
      </c>
      <c r="P135" s="95" t="s">
        <v>4</v>
      </c>
      <c r="Q135" s="143" t="s">
        <v>200</v>
      </c>
      <c r="R135" s="143" t="s">
        <v>335</v>
      </c>
      <c r="S135" s="210">
        <f t="shared" ca="1" si="64"/>
        <v>40275.820000000007</v>
      </c>
      <c r="T135" s="2">
        <f t="shared" ca="1" si="65"/>
        <v>40197.481137682451</v>
      </c>
      <c r="U135" s="135">
        <f t="shared" si="66"/>
        <v>2717.666666666667</v>
      </c>
      <c r="W135" s="533" t="s">
        <v>618</v>
      </c>
      <c r="X135" s="427"/>
    </row>
    <row r="136" spans="3:30">
      <c r="C136"/>
      <c r="D136"/>
      <c r="E136"/>
      <c r="F136"/>
      <c r="G136"/>
      <c r="H136"/>
      <c r="I136"/>
      <c r="J136"/>
      <c r="K136"/>
      <c r="L136"/>
      <c r="M136"/>
      <c r="N136" s="208" t="s">
        <v>505</v>
      </c>
      <c r="O136" s="208" t="s">
        <v>29</v>
      </c>
      <c r="P136" s="95" t="s">
        <v>4</v>
      </c>
      <c r="Q136" s="143" t="s">
        <v>200</v>
      </c>
      <c r="R136" s="143" t="s">
        <v>336</v>
      </c>
      <c r="S136" s="210">
        <f t="shared" ca="1" si="64"/>
        <v>0</v>
      </c>
      <c r="T136" s="2">
        <f t="shared" ca="1" si="65"/>
        <v>0</v>
      </c>
      <c r="U136" s="135">
        <f t="shared" si="66"/>
        <v>0</v>
      </c>
      <c r="W136" s="618" t="s">
        <v>609</v>
      </c>
      <c r="X136" s="618" t="s">
        <v>494</v>
      </c>
    </row>
    <row r="137" spans="3:30">
      <c r="C137"/>
      <c r="D137"/>
      <c r="E137"/>
      <c r="F137"/>
      <c r="G137"/>
      <c r="H137"/>
      <c r="I137"/>
      <c r="J137"/>
      <c r="K137"/>
      <c r="L137"/>
      <c r="M137"/>
      <c r="N137" s="208" t="s">
        <v>505</v>
      </c>
      <c r="O137" s="208" t="s">
        <v>29</v>
      </c>
      <c r="P137" s="95" t="s">
        <v>4</v>
      </c>
      <c r="Q137" s="143" t="s">
        <v>195</v>
      </c>
      <c r="R137" s="143" t="s">
        <v>281</v>
      </c>
      <c r="S137" s="210">
        <f t="shared" ca="1" si="64"/>
        <v>25535.041333333338</v>
      </c>
      <c r="T137" s="2">
        <f t="shared" ca="1" si="65"/>
        <v>25477.695178255304</v>
      </c>
      <c r="U137" s="135">
        <f t="shared" si="66"/>
        <v>24552.924358974364</v>
      </c>
      <c r="W137" s="541" t="s">
        <v>582</v>
      </c>
      <c r="X137" s="541" t="s">
        <v>492</v>
      </c>
    </row>
    <row r="138" spans="3:30">
      <c r="C138"/>
      <c r="D138"/>
      <c r="E138"/>
      <c r="F138"/>
      <c r="G138"/>
      <c r="H138"/>
      <c r="I138"/>
      <c r="J138"/>
      <c r="K138"/>
      <c r="L138"/>
      <c r="M138"/>
      <c r="N138" s="208" t="s">
        <v>505</v>
      </c>
      <c r="O138" s="208" t="s">
        <v>29</v>
      </c>
      <c r="P138" s="95" t="s">
        <v>4</v>
      </c>
      <c r="Q138" s="143" t="s">
        <v>195</v>
      </c>
      <c r="R138" s="143" t="s">
        <v>283</v>
      </c>
      <c r="S138" s="210">
        <f t="shared" ca="1" si="64"/>
        <v>0</v>
      </c>
      <c r="T138" s="2">
        <f t="shared" ca="1" si="65"/>
        <v>0</v>
      </c>
      <c r="U138" s="135">
        <f t="shared" si="66"/>
        <v>0</v>
      </c>
      <c r="W138" s="413">
        <f>'Sch.16,17,19'!Q25-'Sch.16,17,19'!Q26</f>
        <v>5.305E-2</v>
      </c>
      <c r="X138" s="329">
        <f>'Sch.16,17,19'!W28</f>
        <v>42.314263710172199</v>
      </c>
    </row>
    <row r="139" spans="3:30">
      <c r="C139"/>
      <c r="D139"/>
      <c r="E139"/>
      <c r="F139"/>
      <c r="G139"/>
      <c r="H139"/>
      <c r="I139"/>
      <c r="J139"/>
      <c r="K139"/>
      <c r="L139"/>
      <c r="M139"/>
      <c r="N139" s="208" t="s">
        <v>505</v>
      </c>
      <c r="O139" s="208" t="s">
        <v>29</v>
      </c>
      <c r="P139" s="95" t="s">
        <v>4</v>
      </c>
      <c r="Q139" s="143" t="s">
        <v>195</v>
      </c>
      <c r="R139" s="143" t="s">
        <v>202</v>
      </c>
      <c r="S139" s="210">
        <f t="shared" ca="1" si="64"/>
        <v>55302.650000000009</v>
      </c>
      <c r="T139" s="2">
        <f t="shared" ca="1" si="65"/>
        <v>55178.452263183077</v>
      </c>
      <c r="U139" s="135">
        <f t="shared" si="66"/>
        <v>14515.131233595803</v>
      </c>
    </row>
    <row r="140" spans="3:30">
      <c r="C140"/>
      <c r="D140"/>
      <c r="E140"/>
      <c r="F140"/>
      <c r="G140"/>
      <c r="H140"/>
      <c r="I140"/>
      <c r="J140"/>
      <c r="K140"/>
      <c r="L140"/>
      <c r="M140"/>
      <c r="N140" s="208" t="s">
        <v>505</v>
      </c>
      <c r="O140" s="208" t="s">
        <v>29</v>
      </c>
      <c r="P140" s="95" t="s">
        <v>4</v>
      </c>
      <c r="Q140" s="143" t="s">
        <v>195</v>
      </c>
      <c r="R140" s="143" t="s">
        <v>396</v>
      </c>
      <c r="S140" s="210">
        <f t="shared" ca="1" si="64"/>
        <v>569023.60951864952</v>
      </c>
      <c r="T140" s="2">
        <f t="shared" ca="1" si="65"/>
        <v>568065.62966213294</v>
      </c>
      <c r="U140" s="135">
        <f t="shared" si="66"/>
        <v>4543828.2322019441</v>
      </c>
    </row>
    <row r="141" spans="3:30">
      <c r="C141"/>
      <c r="D141"/>
      <c r="E141"/>
      <c r="F141"/>
      <c r="G141"/>
      <c r="H141"/>
      <c r="I141"/>
      <c r="J141"/>
      <c r="K141"/>
      <c r="L141"/>
      <c r="M141"/>
      <c r="N141" s="208" t="s">
        <v>505</v>
      </c>
      <c r="O141" s="208" t="s">
        <v>29</v>
      </c>
      <c r="P141" s="95" t="s">
        <v>4</v>
      </c>
      <c r="Q141" s="143" t="s">
        <v>195</v>
      </c>
      <c r="R141" s="143" t="s">
        <v>394</v>
      </c>
      <c r="S141" s="210">
        <f t="shared" ca="1" si="64"/>
        <v>1043228.1625521956</v>
      </c>
      <c r="T141" s="2">
        <f t="shared" ca="1" si="65"/>
        <v>1041361.5037331481</v>
      </c>
      <c r="U141" s="135">
        <f t="shared" si="66"/>
        <v>9022904.0179224666</v>
      </c>
      <c r="X141" s="135"/>
    </row>
    <row r="142" spans="3:30">
      <c r="C142"/>
      <c r="D142"/>
      <c r="E142"/>
      <c r="F142"/>
      <c r="G142"/>
      <c r="H142"/>
      <c r="I142"/>
      <c r="J142"/>
      <c r="K142"/>
      <c r="L142"/>
      <c r="M142"/>
      <c r="N142" s="208" t="s">
        <v>505</v>
      </c>
      <c r="O142" s="208" t="s">
        <v>29</v>
      </c>
      <c r="P142" s="95" t="s">
        <v>4</v>
      </c>
      <c r="Q142" s="143" t="s">
        <v>195</v>
      </c>
      <c r="R142" s="143" t="s">
        <v>397</v>
      </c>
      <c r="S142" s="210">
        <f t="shared" ca="1" si="64"/>
        <v>239847.57008490615</v>
      </c>
      <c r="T142" s="2">
        <f t="shared" ca="1" si="65"/>
        <v>239442.48440424047</v>
      </c>
      <c r="U142" s="135">
        <f>SUMIFS(S$8:S$51,P$8:P$51,P142,Q$8:Q$51,Q142,R$8:R$51,R142)+S16</f>
        <v>2709223.6539580501</v>
      </c>
      <c r="X142" s="135"/>
    </row>
    <row r="143" spans="3:30">
      <c r="C143"/>
      <c r="D143"/>
      <c r="E143"/>
      <c r="F143"/>
      <c r="G143"/>
      <c r="H143"/>
      <c r="I143"/>
      <c r="J143"/>
      <c r="K143"/>
      <c r="L143"/>
      <c r="M143"/>
      <c r="N143" s="208" t="s">
        <v>505</v>
      </c>
      <c r="O143" s="208" t="s">
        <v>29</v>
      </c>
      <c r="P143" s="95" t="s">
        <v>4</v>
      </c>
      <c r="Q143" s="143" t="s">
        <v>195</v>
      </c>
      <c r="R143" s="143" t="s">
        <v>395</v>
      </c>
      <c r="S143" s="210">
        <f t="shared" ca="1" si="64"/>
        <v>420519.13789776486</v>
      </c>
      <c r="T143" s="2">
        <f t="shared" ca="1" si="65"/>
        <v>419743.47941523918</v>
      </c>
      <c r="U143" s="135">
        <f>SUMIFS(S$8:S$51,P$8:P$51,P143,Q$8:Q$51,Q143,R$8:R$51,R143)+S17</f>
        <v>5328422.9333219063</v>
      </c>
      <c r="X143" s="135"/>
    </row>
    <row r="144" spans="3:30">
      <c r="C144"/>
      <c r="D144"/>
      <c r="E144"/>
      <c r="F144"/>
      <c r="G144"/>
      <c r="H144"/>
      <c r="I144"/>
      <c r="J144"/>
      <c r="K144"/>
      <c r="L144"/>
      <c r="M144"/>
      <c r="N144" s="208" t="s">
        <v>505</v>
      </c>
      <c r="O144" s="208" t="s">
        <v>29</v>
      </c>
      <c r="P144" s="95" t="s">
        <v>4</v>
      </c>
      <c r="Q144" s="143" t="s">
        <v>195</v>
      </c>
      <c r="R144" s="143" t="s">
        <v>201</v>
      </c>
      <c r="S144" s="210">
        <f t="shared" si="64"/>
        <v>65.539999999999992</v>
      </c>
      <c r="T144" s="2">
        <f t="shared" si="65"/>
        <v>65.539999999999992</v>
      </c>
      <c r="U144" s="135">
        <f>SUMIFS(S$8:S$51,P$8:P$51,P144,Q$8:Q$51,Q144,R$8:R$51,R144)</f>
        <v>113</v>
      </c>
      <c r="X144" s="135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 s="208" t="s">
        <v>505</v>
      </c>
      <c r="O145" s="208" t="s">
        <v>29</v>
      </c>
      <c r="P145" s="95" t="s">
        <v>4</v>
      </c>
      <c r="Q145" s="143" t="s">
        <v>195</v>
      </c>
      <c r="R145" s="166" t="s">
        <v>367</v>
      </c>
      <c r="S145" s="210">
        <f t="shared" si="64"/>
        <v>0</v>
      </c>
      <c r="T145" s="2">
        <f t="shared" si="65"/>
        <v>0</v>
      </c>
      <c r="U145" s="135">
        <f>SUMIFS(S$8:S$51,P$8:P$51,P145,Q$8:Q$51,Q145,R$8:R$51,R145)</f>
        <v>0</v>
      </c>
      <c r="X145" s="303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 s="208" t="s">
        <v>505</v>
      </c>
      <c r="O146" s="208" t="s">
        <v>29</v>
      </c>
      <c r="P146" s="95" t="s">
        <v>4</v>
      </c>
      <c r="Q146" s="143" t="s">
        <v>195</v>
      </c>
      <c r="R146" s="166" t="s">
        <v>358</v>
      </c>
      <c r="S146" s="210">
        <f t="shared" si="64"/>
        <v>0</v>
      </c>
      <c r="T146" s="2">
        <f t="shared" si="65"/>
        <v>0</v>
      </c>
      <c r="U146" s="135">
        <f>SUMIFS(S$8:S$51,P$8:P$51,P146,Q$8:Q$51,Q146,R$8:R$51,R146)</f>
        <v>0</v>
      </c>
      <c r="X146" s="135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 s="208" t="s">
        <v>505</v>
      </c>
      <c r="O147" s="208" t="s">
        <v>29</v>
      </c>
      <c r="P147" s="95" t="s">
        <v>4</v>
      </c>
      <c r="Q147" s="143" t="s">
        <v>195</v>
      </c>
      <c r="R147" s="166" t="s">
        <v>368</v>
      </c>
      <c r="S147" s="210">
        <f t="shared" si="64"/>
        <v>0</v>
      </c>
      <c r="T147" s="2">
        <f t="shared" si="65"/>
        <v>0</v>
      </c>
      <c r="U147" s="135">
        <f>SUMIFS(S$8:S$51,P$8:P$51,P147,Q$8:Q$51,Q147,R$8:R$51,R147)</f>
        <v>0</v>
      </c>
      <c r="X147" s="135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 s="209" t="s">
        <v>505</v>
      </c>
      <c r="O148" s="209" t="s">
        <v>29</v>
      </c>
      <c r="P148" s="147" t="s">
        <v>4</v>
      </c>
      <c r="Q148" s="146" t="s">
        <v>195</v>
      </c>
      <c r="R148" s="417" t="s">
        <v>168</v>
      </c>
      <c r="S148" s="211">
        <f t="shared" si="64"/>
        <v>92749.030275302401</v>
      </c>
      <c r="T148" s="2">
        <f t="shared" si="65"/>
        <v>92749.030275302401</v>
      </c>
      <c r="U148" s="135"/>
      <c r="X148" s="135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 s="212" t="s">
        <v>505</v>
      </c>
      <c r="O149" s="212" t="s">
        <v>29</v>
      </c>
      <c r="P149" s="141" t="s">
        <v>5</v>
      </c>
      <c r="Q149" s="141" t="s">
        <v>199</v>
      </c>
      <c r="R149" s="141" t="s">
        <v>335</v>
      </c>
      <c r="S149" s="213">
        <f t="shared" ca="1" si="64"/>
        <v>1366618.7920000001</v>
      </c>
      <c r="T149" s="2">
        <f t="shared" ca="1" si="65"/>
        <v>1364027.846763504</v>
      </c>
      <c r="U149" s="135">
        <f t="shared" ref="U149:U157" si="67">SUMIFS(S$8:S$51,P$8:P$51,P149,Q$8:Q$51,Q149,R$8:R$51,R149)</f>
        <v>137486.80000000002</v>
      </c>
      <c r="X149" s="135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 s="208" t="s">
        <v>505</v>
      </c>
      <c r="O150" s="208" t="s">
        <v>29</v>
      </c>
      <c r="P150" s="143" t="s">
        <v>5</v>
      </c>
      <c r="Q150" s="143" t="s">
        <v>199</v>
      </c>
      <c r="R150" s="143" t="s">
        <v>336</v>
      </c>
      <c r="S150" s="210">
        <f t="shared" ca="1" si="64"/>
        <v>313.72273972602738</v>
      </c>
      <c r="T150" s="2">
        <f t="shared" ca="1" si="65"/>
        <v>313.12795905797867</v>
      </c>
      <c r="U150" s="135">
        <f t="shared" si="67"/>
        <v>2.6301369863013697</v>
      </c>
      <c r="X150" s="135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 s="208" t="s">
        <v>505</v>
      </c>
      <c r="O151" s="208" t="s">
        <v>29</v>
      </c>
      <c r="P151" s="143" t="s">
        <v>5</v>
      </c>
      <c r="Q151" s="143" t="s">
        <v>200</v>
      </c>
      <c r="R151" s="143" t="s">
        <v>335</v>
      </c>
      <c r="S151" s="210">
        <f t="shared" ca="1" si="64"/>
        <v>957591.33599999989</v>
      </c>
      <c r="T151" s="2">
        <f t="shared" ca="1" si="65"/>
        <v>955728.76396974968</v>
      </c>
      <c r="U151" s="135">
        <f t="shared" si="67"/>
        <v>64614.799999999988</v>
      </c>
      <c r="X151" s="135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 s="208" t="s">
        <v>505</v>
      </c>
      <c r="O152" s="208" t="s">
        <v>29</v>
      </c>
      <c r="P152" s="143" t="s">
        <v>5</v>
      </c>
      <c r="Q152" s="143" t="s">
        <v>200</v>
      </c>
      <c r="R152" s="143" t="s">
        <v>336</v>
      </c>
      <c r="S152" s="210">
        <f t="shared" ca="1" si="64"/>
        <v>11287.724054794518</v>
      </c>
      <c r="T152" s="2">
        <f t="shared" ca="1" si="65"/>
        <v>11265.768761007646</v>
      </c>
      <c r="U152" s="135">
        <f t="shared" si="67"/>
        <v>63.471232876712314</v>
      </c>
      <c r="X152" s="135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 s="208" t="s">
        <v>505</v>
      </c>
      <c r="O153" s="208" t="s">
        <v>29</v>
      </c>
      <c r="P153" s="143" t="s">
        <v>5</v>
      </c>
      <c r="Q153" s="143" t="s">
        <v>195</v>
      </c>
      <c r="R153" s="143" t="s">
        <v>281</v>
      </c>
      <c r="S153" s="210">
        <f t="shared" ca="1" si="64"/>
        <v>1235393.8873333335</v>
      </c>
      <c r="T153" s="2">
        <f t="shared" ca="1" si="65"/>
        <v>1232619.4610647145</v>
      </c>
      <c r="U153" s="135">
        <f t="shared" si="67"/>
        <v>1187878.7378205128</v>
      </c>
      <c r="X153" s="135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 s="208" t="s">
        <v>505</v>
      </c>
      <c r="O154" s="208" t="s">
        <v>29</v>
      </c>
      <c r="P154" s="143" t="s">
        <v>5</v>
      </c>
      <c r="Q154" s="143" t="s">
        <v>195</v>
      </c>
      <c r="R154" s="143" t="s">
        <v>283</v>
      </c>
      <c r="S154" s="210">
        <f t="shared" ca="1" si="64"/>
        <v>26583.414575342464</v>
      </c>
      <c r="T154" s="2">
        <f t="shared" ca="1" si="65"/>
        <v>26523.714001733002</v>
      </c>
      <c r="U154" s="135">
        <f t="shared" si="67"/>
        <v>2130.0812961011588</v>
      </c>
      <c r="X154" s="135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 s="208" t="s">
        <v>505</v>
      </c>
      <c r="O155" s="208" t="s">
        <v>29</v>
      </c>
      <c r="P155" s="143" t="s">
        <v>5</v>
      </c>
      <c r="Q155" s="143" t="s">
        <v>195</v>
      </c>
      <c r="R155" s="143" t="s">
        <v>202</v>
      </c>
      <c r="S155" s="210">
        <f t="shared" ca="1" si="64"/>
        <v>2724849.07</v>
      </c>
      <c r="T155" s="2">
        <f t="shared" ca="1" si="65"/>
        <v>2718729.6509909341</v>
      </c>
      <c r="U155" s="135">
        <f t="shared" si="67"/>
        <v>715183.48293963249</v>
      </c>
      <c r="X155" s="135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 s="208" t="s">
        <v>505</v>
      </c>
      <c r="O156" s="208" t="s">
        <v>29</v>
      </c>
      <c r="P156" s="143" t="s">
        <v>5</v>
      </c>
      <c r="Q156" s="143" t="s">
        <v>195</v>
      </c>
      <c r="R156" s="143" t="s">
        <v>396</v>
      </c>
      <c r="S156" s="210">
        <f t="shared" ca="1" si="64"/>
        <v>5092496.0903189806</v>
      </c>
      <c r="T156" s="2">
        <f t="shared" ca="1" si="65"/>
        <v>5083922.6171057299</v>
      </c>
      <c r="U156" s="135">
        <f t="shared" si="67"/>
        <v>40665144.85601677</v>
      </c>
      <c r="X156" s="135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 s="208" t="s">
        <v>505</v>
      </c>
      <c r="O157" s="208" t="s">
        <v>29</v>
      </c>
      <c r="P157" s="143" t="s">
        <v>5</v>
      </c>
      <c r="Q157" s="143" t="s">
        <v>195</v>
      </c>
      <c r="R157" s="143" t="s">
        <v>394</v>
      </c>
      <c r="S157" s="210">
        <f t="shared" ca="1" si="64"/>
        <v>9747027.4146155789</v>
      </c>
      <c r="T157" s="2">
        <f t="shared" ca="1" si="65"/>
        <v>9729586.9587919172</v>
      </c>
      <c r="U157" s="135">
        <f t="shared" si="67"/>
        <v>84302260.980933905</v>
      </c>
      <c r="X157" s="135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 s="208" t="s">
        <v>505</v>
      </c>
      <c r="O158" s="208" t="s">
        <v>29</v>
      </c>
      <c r="P158" s="143" t="s">
        <v>5</v>
      </c>
      <c r="Q158" s="143" t="s">
        <v>195</v>
      </c>
      <c r="R158" s="143" t="s">
        <v>397</v>
      </c>
      <c r="S158" s="210">
        <f t="shared" ca="1" si="64"/>
        <v>12266884.412729127</v>
      </c>
      <c r="T158" s="2">
        <f t="shared" ca="1" si="65"/>
        <v>12246166.507518668</v>
      </c>
      <c r="U158" s="135">
        <f>SUMIFS(S$8:S$51,P$8:P$51,P158,Q$8:Q$51,Q158,R$8:R$51,R158)+S30</f>
        <v>138561893.28735036</v>
      </c>
      <c r="X158" s="135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 s="208" t="s">
        <v>505</v>
      </c>
      <c r="O159" s="208" t="s">
        <v>29</v>
      </c>
      <c r="P159" s="143" t="s">
        <v>5</v>
      </c>
      <c r="Q159" s="143" t="s">
        <v>195</v>
      </c>
      <c r="R159" s="143" t="s">
        <v>395</v>
      </c>
      <c r="S159" s="210">
        <f t="shared" ca="1" si="64"/>
        <v>19246511.392878208</v>
      </c>
      <c r="T159" s="2">
        <f t="shared" ca="1" si="65"/>
        <v>19211010.702242479</v>
      </c>
      <c r="U159" s="135">
        <f>SUMIFS(S$8:S$51,P$8:P$51,P159,Q$8:Q$51,Q159,R$8:R$51,R159)+S31</f>
        <v>243873687.18801582</v>
      </c>
      <c r="X159" s="135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 s="208" t="s">
        <v>505</v>
      </c>
      <c r="O160" s="208" t="s">
        <v>29</v>
      </c>
      <c r="P160" s="143" t="s">
        <v>5</v>
      </c>
      <c r="Q160" s="143" t="s">
        <v>195</v>
      </c>
      <c r="R160" s="143" t="s">
        <v>201</v>
      </c>
      <c r="S160" s="210">
        <f t="shared" si="64"/>
        <v>63169.819999999992</v>
      </c>
      <c r="T160" s="2">
        <f t="shared" si="65"/>
        <v>63169.819999999992</v>
      </c>
      <c r="U160" s="135">
        <f>SUMIFS(S$8:S$51,P$8:P$51,P160,Q$8:Q$51,Q160,R$8:R$51,R160)</f>
        <v>108913.48275862068</v>
      </c>
      <c r="X160" s="135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 s="208" t="s">
        <v>505</v>
      </c>
      <c r="O161" s="208" t="s">
        <v>29</v>
      </c>
      <c r="P161" s="143" t="s">
        <v>5</v>
      </c>
      <c r="Q161" s="143" t="s">
        <v>195</v>
      </c>
      <c r="R161" s="166" t="s">
        <v>367</v>
      </c>
      <c r="S161" s="210">
        <f t="shared" si="64"/>
        <v>-1043.94</v>
      </c>
      <c r="T161" s="2">
        <f t="shared" si="65"/>
        <v>-1043.9400000000003</v>
      </c>
      <c r="U161" s="135">
        <f>SUMIFS(S$8:S$51,P$8:P$51,P161,Q$8:Q$51,Q161,R$8:R$51,R161)</f>
        <v>104394</v>
      </c>
      <c r="X161" s="135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 s="208" t="s">
        <v>505</v>
      </c>
      <c r="O162" s="208" t="s">
        <v>29</v>
      </c>
      <c r="P162" s="143" t="s">
        <v>5</v>
      </c>
      <c r="Q162" s="143" t="s">
        <v>195</v>
      </c>
      <c r="R162" s="166" t="s">
        <v>358</v>
      </c>
      <c r="S162" s="210">
        <f t="shared" si="64"/>
        <v>-1129.99</v>
      </c>
      <c r="T162" s="2">
        <f t="shared" si="65"/>
        <v>-1129.9900000000002</v>
      </c>
      <c r="U162" s="135">
        <f>SUMIFS(S$8:S$51,P$8:P$51,P162,Q$8:Q$51,Q162,R$8:R$51,R162)</f>
        <v>3766.6333333333332</v>
      </c>
      <c r="X162" s="135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 s="208" t="s">
        <v>505</v>
      </c>
      <c r="O163" s="208" t="s">
        <v>29</v>
      </c>
      <c r="P163" s="143" t="s">
        <v>5</v>
      </c>
      <c r="Q163" s="143" t="s">
        <v>195</v>
      </c>
      <c r="R163" s="166" t="s">
        <v>368</v>
      </c>
      <c r="S163" s="210">
        <f t="shared" si="64"/>
        <v>7924</v>
      </c>
      <c r="T163" s="2">
        <f t="shared" si="65"/>
        <v>7924</v>
      </c>
      <c r="U163" s="135">
        <f>SUMIFS(S$8:S$51,P$8:P$51,P163,Q$8:Q$51,Q163,R$8:R$51,R163)</f>
        <v>132.06666666666666</v>
      </c>
      <c r="X163" s="135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 s="209" t="s">
        <v>505</v>
      </c>
      <c r="O164" s="209" t="s">
        <v>29</v>
      </c>
      <c r="P164" s="146" t="s">
        <v>5</v>
      </c>
      <c r="Q164" s="146" t="s">
        <v>195</v>
      </c>
      <c r="R164" s="417" t="s">
        <v>168</v>
      </c>
      <c r="S164" s="211">
        <f t="shared" si="64"/>
        <v>753527.61020262272</v>
      </c>
      <c r="T164" s="2">
        <f t="shared" si="65"/>
        <v>753527.61020262272</v>
      </c>
      <c r="U164" s="135"/>
      <c r="X164" s="135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 s="212" t="s">
        <v>505</v>
      </c>
      <c r="O165" s="212" t="s">
        <v>29</v>
      </c>
      <c r="P165" s="141" t="s">
        <v>7</v>
      </c>
      <c r="Q165" s="141" t="s">
        <v>199</v>
      </c>
      <c r="R165" s="141" t="s">
        <v>335</v>
      </c>
      <c r="S165" s="213">
        <f t="shared" ca="1" si="64"/>
        <v>20521.461333333333</v>
      </c>
      <c r="T165" s="2">
        <f t="shared" ca="1" si="65"/>
        <v>20482.555105203886</v>
      </c>
      <c r="U165" s="135">
        <f t="shared" ref="U165:U173" si="68">SUMIFS(S$8:S$51,P$8:P$51,P165,Q$8:Q$51,Q165,R$8:R$51,R165)</f>
        <v>2064.5333333333333</v>
      </c>
      <c r="X165" s="135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 s="208" t="s">
        <v>505</v>
      </c>
      <c r="O166" s="208" t="s">
        <v>29</v>
      </c>
      <c r="P166" s="143" t="s">
        <v>7</v>
      </c>
      <c r="Q166" s="143" t="s">
        <v>199</v>
      </c>
      <c r="R166" s="143" t="s">
        <v>336</v>
      </c>
      <c r="S166" s="210">
        <f t="shared" ca="1" si="64"/>
        <v>0</v>
      </c>
      <c r="T166" s="2">
        <f t="shared" ca="1" si="65"/>
        <v>0</v>
      </c>
      <c r="U166" s="135">
        <f t="shared" si="68"/>
        <v>0</v>
      </c>
      <c r="X166" s="135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 s="208" t="s">
        <v>505</v>
      </c>
      <c r="O167" s="208" t="s">
        <v>29</v>
      </c>
      <c r="P167" s="143" t="s">
        <v>7</v>
      </c>
      <c r="Q167" s="143" t="s">
        <v>200</v>
      </c>
      <c r="R167" s="143" t="s">
        <v>335</v>
      </c>
      <c r="S167" s="210">
        <f t="shared" ca="1" si="64"/>
        <v>41734.108</v>
      </c>
      <c r="T167" s="2">
        <f t="shared" ca="1" si="65"/>
        <v>41652.932680898914</v>
      </c>
      <c r="U167" s="135">
        <f t="shared" si="68"/>
        <v>2816.0666666666666</v>
      </c>
      <c r="X167" s="135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 s="208" t="s">
        <v>505</v>
      </c>
      <c r="O168" s="208" t="s">
        <v>29</v>
      </c>
      <c r="P168" s="143" t="s">
        <v>7</v>
      </c>
      <c r="Q168" s="143" t="s">
        <v>200</v>
      </c>
      <c r="R168" s="143" t="s">
        <v>336</v>
      </c>
      <c r="S168" s="210">
        <f t="shared" ca="1" si="64"/>
        <v>177.84</v>
      </c>
      <c r="T168" s="2">
        <f t="shared" ca="1" si="65"/>
        <v>177.49409063615454</v>
      </c>
      <c r="U168" s="135">
        <f t="shared" si="68"/>
        <v>1</v>
      </c>
      <c r="X168" s="135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 s="208" t="s">
        <v>505</v>
      </c>
      <c r="O169" s="208" t="s">
        <v>29</v>
      </c>
      <c r="P169" s="143" t="s">
        <v>7</v>
      </c>
      <c r="Q169" s="143" t="s">
        <v>195</v>
      </c>
      <c r="R169" s="143" t="s">
        <v>281</v>
      </c>
      <c r="S169" s="210">
        <f t="shared" ca="1" si="64"/>
        <v>52588.87</v>
      </c>
      <c r="T169" s="2">
        <f t="shared" ca="1" si="65"/>
        <v>52470.766823465812</v>
      </c>
      <c r="U169" s="135">
        <f t="shared" si="68"/>
        <v>50566.221153846156</v>
      </c>
      <c r="X169" s="135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 s="208" t="s">
        <v>505</v>
      </c>
      <c r="O170" s="208" t="s">
        <v>29</v>
      </c>
      <c r="P170" s="143" t="s">
        <v>7</v>
      </c>
      <c r="Q170" s="143" t="s">
        <v>195</v>
      </c>
      <c r="R170" s="143" t="s">
        <v>283</v>
      </c>
      <c r="S170" s="210">
        <f t="shared" ca="1" si="64"/>
        <v>698.87635616438354</v>
      </c>
      <c r="T170" s="2">
        <f t="shared" ca="1" si="65"/>
        <v>697.30683170668635</v>
      </c>
      <c r="U170" s="135">
        <f t="shared" si="68"/>
        <v>55.99970802599227</v>
      </c>
      <c r="X170" s="135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 s="208" t="s">
        <v>505</v>
      </c>
      <c r="O171" s="208" t="s">
        <v>29</v>
      </c>
      <c r="P171" s="143" t="s">
        <v>7</v>
      </c>
      <c r="Q171" s="143" t="s">
        <v>195</v>
      </c>
      <c r="R171" s="143" t="s">
        <v>202</v>
      </c>
      <c r="S171" s="210">
        <f t="shared" ca="1" si="64"/>
        <v>125179.59</v>
      </c>
      <c r="T171" s="2">
        <f t="shared" ca="1" si="65"/>
        <v>124898.46383744411</v>
      </c>
      <c r="U171" s="135">
        <f t="shared" si="68"/>
        <v>32855.535433070865</v>
      </c>
      <c r="X171" s="135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 s="208" t="s">
        <v>505</v>
      </c>
      <c r="O172" s="208" t="s">
        <v>29</v>
      </c>
      <c r="P172" s="143" t="s">
        <v>7</v>
      </c>
      <c r="Q172" s="143" t="s">
        <v>195</v>
      </c>
      <c r="R172" s="143" t="s">
        <v>396</v>
      </c>
      <c r="S172" s="210">
        <f t="shared" ca="1" si="64"/>
        <v>123184.55486702597</v>
      </c>
      <c r="T172" s="2">
        <f t="shared" ca="1" si="65"/>
        <v>122977.16747532108</v>
      </c>
      <c r="U172" s="135">
        <f t="shared" si="68"/>
        <v>983666.49258984241</v>
      </c>
      <c r="X172" s="135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 s="208" t="s">
        <v>505</v>
      </c>
      <c r="O173" s="208" t="s">
        <v>29</v>
      </c>
      <c r="P173" s="143" t="s">
        <v>7</v>
      </c>
      <c r="Q173" s="143" t="s">
        <v>195</v>
      </c>
      <c r="R173" s="143" t="s">
        <v>394</v>
      </c>
      <c r="S173" s="210">
        <f t="shared" ca="1" si="64"/>
        <v>225832.03536364128</v>
      </c>
      <c r="T173" s="2">
        <f t="shared" ca="1" si="65"/>
        <v>225427.95179346262</v>
      </c>
      <c r="U173" s="135">
        <f t="shared" si="68"/>
        <v>1953226.3913132786</v>
      </c>
      <c r="X173" s="135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 s="208" t="s">
        <v>505</v>
      </c>
      <c r="O174" s="208" t="s">
        <v>29</v>
      </c>
      <c r="P174" s="143" t="s">
        <v>7</v>
      </c>
      <c r="Q174" s="143" t="s">
        <v>195</v>
      </c>
      <c r="R174" s="143" t="s">
        <v>397</v>
      </c>
      <c r="S174" s="210">
        <f t="shared" ca="1" si="64"/>
        <v>350495.43462347501</v>
      </c>
      <c r="T174" s="2">
        <f t="shared" ca="1" si="65"/>
        <v>349903.47247995861</v>
      </c>
      <c r="U174" s="135">
        <f>SUMIFS(S$8:S$51,P$8:P$51,P174,Q$8:Q$51,Q174,R$8:R$51,R174)+S46</f>
        <v>3959058.3375519603</v>
      </c>
      <c r="X174" s="135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 s="208" t="s">
        <v>505</v>
      </c>
      <c r="O175" s="208" t="s">
        <v>29</v>
      </c>
      <c r="P175" s="143" t="s">
        <v>7</v>
      </c>
      <c r="Q175" s="143" t="s">
        <v>195</v>
      </c>
      <c r="R175" s="143" t="s">
        <v>395</v>
      </c>
      <c r="S175" s="210">
        <f t="shared" ca="1" si="64"/>
        <v>647642.30554463936</v>
      </c>
      <c r="T175" s="2">
        <f t="shared" ca="1" si="65"/>
        <v>646447.71247463196</v>
      </c>
      <c r="U175" s="135">
        <f>SUMIFS(S$8:S$51,P$8:P$51,P175,Q$8:Q$51,Q175,R$8:R$51,R175)+S47</f>
        <v>8206314.0591059215</v>
      </c>
      <c r="X175" s="135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 s="208" t="s">
        <v>505</v>
      </c>
      <c r="O176" s="208" t="s">
        <v>29</v>
      </c>
      <c r="P176" s="143" t="s">
        <v>7</v>
      </c>
      <c r="Q176" s="143" t="s">
        <v>195</v>
      </c>
      <c r="R176" s="143" t="s">
        <v>201</v>
      </c>
      <c r="S176" s="210">
        <f t="shared" si="64"/>
        <v>8380.4699999999993</v>
      </c>
      <c r="T176" s="2">
        <f t="shared" si="65"/>
        <v>8380.4699999999993</v>
      </c>
      <c r="U176" s="135">
        <f>SUMIFS(S$8:S$51,P$8:P$51,P176,Q$8:Q$51,Q176,R$8:R$51,R176)</f>
        <v>14449.086206896553</v>
      </c>
      <c r="X176" s="135"/>
    </row>
    <row r="177" spans="3:27">
      <c r="C177"/>
      <c r="D177"/>
      <c r="E177"/>
      <c r="F177"/>
      <c r="G177"/>
      <c r="H177"/>
      <c r="I177"/>
      <c r="J177"/>
      <c r="K177"/>
      <c r="L177"/>
      <c r="M177"/>
      <c r="N177" s="208" t="s">
        <v>505</v>
      </c>
      <c r="O177" s="208" t="s">
        <v>29</v>
      </c>
      <c r="P177" s="143" t="s">
        <v>7</v>
      </c>
      <c r="Q177" s="143" t="s">
        <v>195</v>
      </c>
      <c r="R177" s="166" t="s">
        <v>367</v>
      </c>
      <c r="S177" s="210">
        <f t="shared" si="64"/>
        <v>-119.42</v>
      </c>
      <c r="T177" s="2">
        <f t="shared" si="65"/>
        <v>-119.42000000000003</v>
      </c>
      <c r="U177" s="135">
        <f>SUMIFS(S$8:S$51,P$8:P$51,P177,Q$8:Q$51,Q177,R$8:R$51,R177)</f>
        <v>11942</v>
      </c>
      <c r="X177" s="135"/>
    </row>
    <row r="178" spans="3:27">
      <c r="C178"/>
      <c r="D178"/>
      <c r="E178"/>
      <c r="F178"/>
      <c r="G178"/>
      <c r="H178"/>
      <c r="I178"/>
      <c r="J178"/>
      <c r="K178"/>
      <c r="L178"/>
      <c r="M178"/>
      <c r="N178" s="208" t="s">
        <v>505</v>
      </c>
      <c r="O178" s="208" t="s">
        <v>29</v>
      </c>
      <c r="P178" s="143" t="s">
        <v>7</v>
      </c>
      <c r="Q178" s="143" t="s">
        <v>195</v>
      </c>
      <c r="R178" s="166" t="s">
        <v>358</v>
      </c>
      <c r="S178" s="210">
        <f t="shared" si="64"/>
        <v>-146.76</v>
      </c>
      <c r="T178" s="2">
        <f t="shared" si="65"/>
        <v>-146.76000000000002</v>
      </c>
      <c r="U178" s="135">
        <f>SUMIFS(S$8:S$51,P$8:P$51,P178,Q$8:Q$51,Q178,R$8:R$51,R178)</f>
        <v>489.2</v>
      </c>
      <c r="X178" s="135"/>
    </row>
    <row r="179" spans="3:27">
      <c r="C179"/>
      <c r="D179"/>
      <c r="E179"/>
      <c r="F179"/>
      <c r="G179"/>
      <c r="H179"/>
      <c r="I179"/>
      <c r="J179"/>
      <c r="K179"/>
      <c r="L179"/>
      <c r="M179"/>
      <c r="N179" s="208" t="s">
        <v>505</v>
      </c>
      <c r="O179" s="208" t="s">
        <v>29</v>
      </c>
      <c r="P179" s="143" t="s">
        <v>7</v>
      </c>
      <c r="Q179" s="143" t="s">
        <v>195</v>
      </c>
      <c r="R179" s="166" t="s">
        <v>368</v>
      </c>
      <c r="S179" s="210">
        <f t="shared" si="64"/>
        <v>1556</v>
      </c>
      <c r="T179" s="2">
        <f t="shared" si="65"/>
        <v>1556</v>
      </c>
      <c r="U179" s="135">
        <f>SUMIFS(S$8:S$51,P$8:P$51,P179,Q$8:Q$51,Q179,R$8:R$51,R179)</f>
        <v>25.933333333333334</v>
      </c>
      <c r="X179" s="135"/>
    </row>
    <row r="180" spans="3:27">
      <c r="C180"/>
      <c r="D180"/>
      <c r="E180"/>
      <c r="F180"/>
      <c r="G180"/>
      <c r="H180"/>
      <c r="I180"/>
      <c r="J180"/>
      <c r="K180"/>
      <c r="L180"/>
      <c r="M180"/>
      <c r="N180" s="209" t="s">
        <v>505</v>
      </c>
      <c r="O180" s="209" t="s">
        <v>29</v>
      </c>
      <c r="P180" s="146" t="s">
        <v>7</v>
      </c>
      <c r="Q180" s="146" t="s">
        <v>195</v>
      </c>
      <c r="R180" s="417" t="s">
        <v>168</v>
      </c>
      <c r="S180" s="211">
        <f t="shared" si="64"/>
        <v>30849.452456491777</v>
      </c>
      <c r="T180" s="2">
        <f t="shared" si="65"/>
        <v>30849.452456491777</v>
      </c>
      <c r="U180" s="135">
        <f>SUMIFS(S$8:S$51,P$8:P$51,P180,Q$8:Q$51,Q180,R$8:R$51,R180)</f>
        <v>0</v>
      </c>
      <c r="X180" s="135"/>
    </row>
    <row r="181" spans="3:27">
      <c r="C181"/>
      <c r="D181"/>
      <c r="E181"/>
      <c r="F181"/>
      <c r="G181"/>
      <c r="H181"/>
      <c r="I181"/>
      <c r="J181"/>
      <c r="K181"/>
      <c r="L181"/>
      <c r="M181"/>
      <c r="N181" s="301" t="s">
        <v>540</v>
      </c>
      <c r="O181" s="256" t="s">
        <v>29</v>
      </c>
      <c r="P181" s="212" t="s">
        <v>195</v>
      </c>
      <c r="Q181" s="212" t="s">
        <v>195</v>
      </c>
      <c r="R181" s="212" t="s">
        <v>195</v>
      </c>
      <c r="S181" s="213">
        <f ca="1">'Cost of Service and Proposed $'!V123</f>
        <v>3276320.0067990818</v>
      </c>
      <c r="U181" s="76"/>
    </row>
    <row r="182" spans="3:27">
      <c r="C182"/>
      <c r="D182"/>
      <c r="E182"/>
      <c r="F182"/>
      <c r="G182"/>
      <c r="H182"/>
      <c r="I182"/>
      <c r="J182"/>
      <c r="K182"/>
      <c r="L182"/>
      <c r="M182"/>
      <c r="N182" s="302" t="s">
        <v>626</v>
      </c>
      <c r="O182" s="257" t="s">
        <v>29</v>
      </c>
      <c r="P182" s="209" t="s">
        <v>195</v>
      </c>
      <c r="Q182" s="209" t="s">
        <v>195</v>
      </c>
      <c r="R182" s="209" t="s">
        <v>195</v>
      </c>
      <c r="S182" s="211">
        <f ca="1">'Cost of Service and Proposed $'!V128-'Cost of Service and Proposed $'!V123</f>
        <v>58370507.281051755</v>
      </c>
      <c r="U182" s="76"/>
    </row>
    <row r="183" spans="3:27">
      <c r="C183"/>
      <c r="D183"/>
      <c r="E183"/>
      <c r="F183"/>
      <c r="G183"/>
      <c r="H183"/>
      <c r="I183"/>
      <c r="J183"/>
      <c r="K183"/>
      <c r="L183"/>
      <c r="M183"/>
      <c r="N183" s="320" t="s">
        <v>535</v>
      </c>
      <c r="O183" s="323" t="s">
        <v>29</v>
      </c>
      <c r="P183" s="212" t="s">
        <v>195</v>
      </c>
      <c r="Q183" s="212" t="s">
        <v>195</v>
      </c>
      <c r="R183" s="212" t="s">
        <v>335</v>
      </c>
      <c r="S183" s="213">
        <f ca="1">(T183*(U183-V183)+V183*100)/100</f>
        <v>3031050.9881440331</v>
      </c>
      <c r="T183" s="325">
        <f t="shared" ref="T183:T191" si="69">$T$106</f>
        <v>10</v>
      </c>
      <c r="U183" s="153">
        <f ca="1">S181*(1-SUM(U187:U191)/SUM(S181:S182))</f>
        <v>3225523.4416939565</v>
      </c>
      <c r="V183" s="135" cm="1">
        <f t="array" aca="1" ref="V183" ca="1">SUM(SUMIFS(S$133:S$180,R$133:R$180,{"Bill","Annual Bill"}))/SUM(SUMIFS(S$133:S$180,R$133:R$180,{"Bill","Annual Bill","Load Size kW","Annual Load Size kW","kW","kWh*"}))*(SUM(S181:S182)-SUM(V187:V191))</f>
        <v>3009442.9377495968</v>
      </c>
    </row>
    <row r="184" spans="3:27">
      <c r="C184"/>
      <c r="D184"/>
      <c r="E184"/>
      <c r="F184"/>
      <c r="G184"/>
      <c r="H184"/>
      <c r="I184"/>
      <c r="J184"/>
      <c r="K184"/>
      <c r="L184"/>
      <c r="M184"/>
      <c r="N184" s="321" t="s">
        <v>535</v>
      </c>
      <c r="O184" s="294" t="s">
        <v>29</v>
      </c>
      <c r="P184" s="208" t="s">
        <v>195</v>
      </c>
      <c r="Q184" s="208" t="s">
        <v>195</v>
      </c>
      <c r="R184" s="208" t="s">
        <v>281</v>
      </c>
      <c r="S184" s="210">
        <f t="shared" ref="S184:S191" ca="1" si="70">(T184*(U184-V184)+V184*100)/100</f>
        <v>1425898.2536707383</v>
      </c>
      <c r="T184" s="325">
        <f t="shared" si="69"/>
        <v>10</v>
      </c>
      <c r="U184" s="153" cm="1">
        <f t="array" aca="1" ref="U184" ca="1">S182*SUM(SUMIFS(S$133:S$180,R$133:R$180,{"Load Size kW","Annual Load Size kW"}))/SUM(SUMIFS(S$133:S$180,R$133:R$180,{"Load Size kW","Annual Load Size kW","kW","kWh*"}))*(1-SUM(U187:U191)/SUM(S181:S182))</f>
        <v>1421089.0625778134</v>
      </c>
      <c r="V184" s="135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1426432.608236619</v>
      </c>
    </row>
    <row r="185" spans="3:27">
      <c r="C185"/>
      <c r="D185"/>
      <c r="E185"/>
      <c r="F185"/>
      <c r="G185"/>
      <c r="H185"/>
      <c r="I185"/>
      <c r="J185"/>
      <c r="K185"/>
      <c r="L185"/>
      <c r="M185"/>
      <c r="N185" s="321" t="s">
        <v>535</v>
      </c>
      <c r="O185" s="294" t="s">
        <v>29</v>
      </c>
      <c r="P185" s="208" t="s">
        <v>195</v>
      </c>
      <c r="Q185" s="208" t="s">
        <v>195</v>
      </c>
      <c r="R185" s="208" t="s">
        <v>202</v>
      </c>
      <c r="S185" s="210">
        <f t="shared" ca="1" si="70"/>
        <v>3089727.4496047003</v>
      </c>
      <c r="T185" s="325">
        <f t="shared" si="69"/>
        <v>10</v>
      </c>
      <c r="U185" s="153" cm="1">
        <f t="array" aca="1" ref="U185" ca="1">S182*SUM(SUMIFS(S$133:S$180,R$133:R$180,{"kW"}))/SUM(SUMIFS(S$133:S$180,R$133:R$180,{"Load Size kW","Annual Load Size kW","kW","kWh*"}))*(1-SUM(U187:U191)/SUM(S181:S182))</f>
        <v>3079306.5870417836</v>
      </c>
      <c r="V185" s="135" cm="1">
        <f t="array" aca="1" ref="V185" ca="1">SUM(SUMIFS(S$133:S$180,R$133:R$180,{"kW"}))/SUM(SUMIFS(S$133:S$180,R$133:R$180,{"Bill","Annual Bill","Load Size kW","Annual Load Size kW","kW","kWh*"}))*(SUM(S181:S182)-SUM(V187:V191))</f>
        <v>3090885.323222802</v>
      </c>
    </row>
    <row r="186" spans="3:27">
      <c r="C186"/>
      <c r="D186"/>
      <c r="E186"/>
      <c r="F186"/>
      <c r="G186"/>
      <c r="H186"/>
      <c r="I186"/>
      <c r="J186"/>
      <c r="K186"/>
      <c r="L186"/>
      <c r="M186"/>
      <c r="N186" s="321" t="s">
        <v>535</v>
      </c>
      <c r="O186" s="294" t="s">
        <v>29</v>
      </c>
      <c r="P186" s="208" t="s">
        <v>195</v>
      </c>
      <c r="Q186" s="208" t="s">
        <v>195</v>
      </c>
      <c r="R186" s="208" t="s">
        <v>6</v>
      </c>
      <c r="S186" s="210">
        <f t="shared" ca="1" si="70"/>
        <v>53144368.783496954</v>
      </c>
      <c r="T186" s="325">
        <f t="shared" si="69"/>
        <v>10</v>
      </c>
      <c r="U186" s="153" cm="1">
        <f t="array" aca="1" ref="U186" ca="1">S182*SUM(SUMIFS(S$133:S$180,R$133:R$180,{"kWh*"}))/SUM(SUMIFS(S$133:S$180,R$133:R$180,{"Load Size kW","Annual Load Size kW","kW","kWh*"}))*(1-SUM(U187:U191)/SUM(S181:S182))</f>
        <v>52965126.383602872</v>
      </c>
      <c r="V186" s="135" cm="1">
        <f t="array" aca="1" ref="V186" ca="1">SUM(SUMIFS(S$133:S$180,R$133:R$180,{"kWh*"}))/SUM(SUMIFS(S$133:S$180,R$133:R$180,{"Bill","Annual Bill","Load Size kW","Annual Load Size kW","kW","kWh*"}))*(SUM(S181:S182)-SUM(V187:V191))</f>
        <v>53164284.605707407</v>
      </c>
    </row>
    <row r="187" spans="3:27">
      <c r="C187"/>
      <c r="D187"/>
      <c r="E187"/>
      <c r="F187"/>
      <c r="G187"/>
      <c r="H187"/>
      <c r="I187"/>
      <c r="J187"/>
      <c r="K187"/>
      <c r="L187"/>
      <c r="M187"/>
      <c r="N187" s="321" t="s">
        <v>535</v>
      </c>
      <c r="O187" s="294" t="s">
        <v>29</v>
      </c>
      <c r="P187" s="208" t="s">
        <v>195</v>
      </c>
      <c r="Q187" s="208" t="s">
        <v>195</v>
      </c>
      <c r="R187" s="143" t="s">
        <v>201</v>
      </c>
      <c r="S187" s="210">
        <f t="shared" si="70"/>
        <v>71615.829999999987</v>
      </c>
      <c r="T187" s="325">
        <f t="shared" si="69"/>
        <v>10</v>
      </c>
      <c r="U187" s="153">
        <f>SUMIFS(S$66:S$103,R$66:R$103,R187)</f>
        <v>71615.829999999987</v>
      </c>
      <c r="V187" s="135">
        <f>SUMIFS(S$66:S$103,R$66:R$103,R187)</f>
        <v>71615.829999999987</v>
      </c>
    </row>
    <row r="188" spans="3:27">
      <c r="C188"/>
      <c r="D188"/>
      <c r="E188"/>
      <c r="F188"/>
      <c r="G188"/>
      <c r="H188"/>
      <c r="I188"/>
      <c r="J188"/>
      <c r="K188"/>
      <c r="L188"/>
      <c r="M188"/>
      <c r="N188" s="321" t="s">
        <v>535</v>
      </c>
      <c r="O188" s="294" t="s">
        <v>29</v>
      </c>
      <c r="P188" s="208" t="s">
        <v>195</v>
      </c>
      <c r="Q188" s="208" t="s">
        <v>195</v>
      </c>
      <c r="R188" s="166" t="s">
        <v>367</v>
      </c>
      <c r="S188" s="210">
        <f t="shared" si="70"/>
        <v>-1163.3600000000001</v>
      </c>
      <c r="T188" s="325">
        <f t="shared" si="69"/>
        <v>10</v>
      </c>
      <c r="U188" s="153">
        <f>SUMIFS(S$66:S$103,R$66:R$103,R188)</f>
        <v>-1163.3600000000001</v>
      </c>
      <c r="V188" s="135">
        <f>SUMIFS(S$66:S$103,R$66:R$103,R188)</f>
        <v>-1163.3600000000001</v>
      </c>
    </row>
    <row r="189" spans="3:27">
      <c r="C189"/>
      <c r="D189"/>
      <c r="E189"/>
      <c r="F189"/>
      <c r="G189"/>
      <c r="H189"/>
      <c r="I189"/>
      <c r="J189"/>
      <c r="K189"/>
      <c r="L189"/>
      <c r="M189"/>
      <c r="N189" s="321" t="s">
        <v>535</v>
      </c>
      <c r="O189" s="294" t="s">
        <v>29</v>
      </c>
      <c r="P189" s="208" t="s">
        <v>195</v>
      </c>
      <c r="Q189" s="208" t="s">
        <v>195</v>
      </c>
      <c r="R189" s="166" t="s">
        <v>358</v>
      </c>
      <c r="S189" s="210">
        <f t="shared" si="70"/>
        <v>-1276.75</v>
      </c>
      <c r="T189" s="325">
        <f t="shared" si="69"/>
        <v>10</v>
      </c>
      <c r="U189" s="153">
        <f>SUMIFS(S$66:S$103,R$66:R$103,R189)</f>
        <v>-1276.75</v>
      </c>
      <c r="V189" s="135">
        <f>SUMIFS(S$66:S$103,R$66:R$103,R189)</f>
        <v>-1276.75</v>
      </c>
    </row>
    <row r="190" spans="3:27">
      <c r="C190"/>
      <c r="D190"/>
      <c r="E190"/>
      <c r="F190"/>
      <c r="G190"/>
      <c r="H190"/>
      <c r="I190"/>
      <c r="J190"/>
      <c r="K190"/>
      <c r="L190"/>
      <c r="M190"/>
      <c r="N190" s="321" t="s">
        <v>535</v>
      </c>
      <c r="O190" s="294" t="s">
        <v>29</v>
      </c>
      <c r="P190" s="208" t="s">
        <v>195</v>
      </c>
      <c r="Q190" s="208" t="s">
        <v>195</v>
      </c>
      <c r="R190" s="166" t="s">
        <v>368</v>
      </c>
      <c r="S190" s="210">
        <f t="shared" si="70"/>
        <v>9480</v>
      </c>
      <c r="T190" s="325">
        <f t="shared" si="69"/>
        <v>10</v>
      </c>
      <c r="U190" s="153">
        <f>SUMIFS(S$66:S$103,R$66:R$103,R190)</f>
        <v>9480</v>
      </c>
      <c r="V190" s="135">
        <f>SUMIFS(S$66:S$103,R$66:R$103,R190)</f>
        <v>9480</v>
      </c>
    </row>
    <row r="191" spans="3:27">
      <c r="C191"/>
      <c r="D191"/>
      <c r="E191"/>
      <c r="F191"/>
      <c r="G191"/>
      <c r="H191"/>
      <c r="I191"/>
      <c r="J191"/>
      <c r="K191"/>
      <c r="L191"/>
      <c r="M191"/>
      <c r="N191" s="322" t="s">
        <v>535</v>
      </c>
      <c r="O191" s="298" t="s">
        <v>29</v>
      </c>
      <c r="P191" s="209" t="s">
        <v>195</v>
      </c>
      <c r="Q191" s="209" t="s">
        <v>195</v>
      </c>
      <c r="R191" s="209" t="s">
        <v>168</v>
      </c>
      <c r="S191" s="211">
        <f t="shared" si="70"/>
        <v>877126.09293441684</v>
      </c>
      <c r="T191" s="325">
        <f t="shared" si="69"/>
        <v>10</v>
      </c>
      <c r="U191" s="153">
        <f>SUMIFS(S$66:S$103,R$66:R$103,R191)</f>
        <v>877126.09293441684</v>
      </c>
      <c r="V191" s="135">
        <f>SUMIFS(S$66:S$103,R$66:R$103,R191)</f>
        <v>877126.09293441684</v>
      </c>
    </row>
    <row r="192" spans="3:27">
      <c r="C192"/>
      <c r="D192"/>
      <c r="E192"/>
      <c r="F192"/>
      <c r="G192"/>
      <c r="H192"/>
      <c r="I192"/>
      <c r="J192"/>
      <c r="K192"/>
      <c r="L192"/>
      <c r="M192"/>
      <c r="N192" s="212" t="s">
        <v>506</v>
      </c>
      <c r="O192" s="212" t="s">
        <v>403</v>
      </c>
      <c r="P192" s="212" t="s">
        <v>195</v>
      </c>
      <c r="Q192" s="141" t="s">
        <v>199</v>
      </c>
      <c r="R192" s="529" t="s">
        <v>335</v>
      </c>
      <c r="S192" s="315">
        <f t="shared" ref="S192:S202" ca="1" si="71">ROUND(T192/100*W192*X192/Y192/Z192+AB192,U192)*AA192</f>
        <v>10.67</v>
      </c>
      <c r="T192" s="429">
        <f>100+Summary!$R$9</f>
        <v>100.175</v>
      </c>
      <c r="U192" s="153">
        <v>2</v>
      </c>
      <c r="V192" s="270">
        <f ca="1">W192*X192/Y192/Z192*AA192+AB192</f>
        <v>10.65076350240059</v>
      </c>
      <c r="W192" s="2">
        <f ca="1">S$183</f>
        <v>3031050.9881440331</v>
      </c>
      <c r="X192" s="135">
        <f ca="1">SUMIFS(S$133:S$180,Q$133:Q$180,Q192,R$133:R$180,R192)+SUMIFS(S$133:S$180,Q$133:Q$180,Q193,R$133:R$180,R193)</f>
        <v>1777711.2980730594</v>
      </c>
      <c r="Y192" s="135" cm="1">
        <f t="array" aca="1" ref="Y192" ca="1">SUM(SUMIFS(S$133:S$180,R$133:R$180,{"Bill","Annual Bill"}))</f>
        <v>2828778.126127854</v>
      </c>
      <c r="Z192" s="135">
        <f>SUMIFS(S$8:S$51,Q$8:Q$51,Q192,R$8:R$51,R192)*AA192+SUMIFS(S$8:S$51,Q$8:Q$51,Q193,R$8:R$51,R193)*AA193</f>
        <v>178844.19497716898</v>
      </c>
      <c r="AA192" s="135">
        <v>1</v>
      </c>
    </row>
    <row r="193" spans="3:32">
      <c r="C193"/>
      <c r="D193"/>
      <c r="E193"/>
      <c r="F193"/>
      <c r="G193"/>
      <c r="H193"/>
      <c r="I193"/>
      <c r="J193"/>
      <c r="K193"/>
      <c r="L193"/>
      <c r="M193"/>
      <c r="N193" s="208" t="s">
        <v>506</v>
      </c>
      <c r="O193" s="208" t="s">
        <v>403</v>
      </c>
      <c r="P193" s="208" t="s">
        <v>195</v>
      </c>
      <c r="Q193" s="143" t="s">
        <v>199</v>
      </c>
      <c r="R193" s="530" t="s">
        <v>336</v>
      </c>
      <c r="S193" s="316">
        <f t="shared" ca="1" si="71"/>
        <v>128.04</v>
      </c>
      <c r="T193" s="429">
        <f>100+Summary!$R$9</f>
        <v>100.175</v>
      </c>
      <c r="U193" s="153">
        <v>2</v>
      </c>
      <c r="V193" s="270">
        <f t="shared" ref="V193:V209" ca="1" si="72">W193*X193/Y193/Z193*AA193+AB193</f>
        <v>127.80916202880708</v>
      </c>
      <c r="W193" s="2">
        <f ca="1">S$183</f>
        <v>3031050.9881440331</v>
      </c>
      <c r="X193" s="135">
        <f ca="1">SUMIFS(S$133:S$180,Q$133:Q$180,Q192,R$133:R$180,R192)+SUMIFS(S$133:S$180,Q$133:Q$180,Q193,R$133:R$180,R193)</f>
        <v>1777711.2980730594</v>
      </c>
      <c r="Y193" s="135" cm="1">
        <f t="array" aca="1" ref="Y193" ca="1">SUM(SUMIFS(S$133:S$180,R$133:R$180,{"Bill","Annual Bill"}))</f>
        <v>2828778.126127854</v>
      </c>
      <c r="Z193" s="135">
        <f>SUMIFS(S$8:S$51,Q$8:Q$51,Q192,R$8:R$51,R192)*AA192+SUMIFS(S$8:S$51,Q$8:Q$51,Q193,R$8:R$51,R193)*AA193</f>
        <v>178844.19497716898</v>
      </c>
      <c r="AA193" s="135">
        <v>12</v>
      </c>
    </row>
    <row r="194" spans="3:32">
      <c r="C194"/>
      <c r="D194"/>
      <c r="E194"/>
      <c r="F194"/>
      <c r="G194"/>
      <c r="H194"/>
      <c r="I194"/>
      <c r="J194"/>
      <c r="K194"/>
      <c r="L194"/>
      <c r="M194"/>
      <c r="N194" s="208" t="s">
        <v>506</v>
      </c>
      <c r="O194" s="208" t="s">
        <v>403</v>
      </c>
      <c r="P194" s="208" t="s">
        <v>195</v>
      </c>
      <c r="Q194" s="143" t="s">
        <v>200</v>
      </c>
      <c r="R194" s="530" t="s">
        <v>335</v>
      </c>
      <c r="S194" s="316">
        <f t="shared" ca="1" si="71"/>
        <v>15.91</v>
      </c>
      <c r="T194" s="429">
        <f>100+Summary!$R$9</f>
        <v>100.175</v>
      </c>
      <c r="U194" s="153">
        <v>2</v>
      </c>
      <c r="V194" s="270">
        <f t="shared" ca="1" si="72"/>
        <v>15.879709769172717</v>
      </c>
      <c r="W194" s="2">
        <f ca="1">S$183</f>
        <v>3031050.9881440331</v>
      </c>
      <c r="X194" s="135">
        <f ca="1">SUMIFS(S$133:S$180,Q$133:Q$180,Q194,R$133:R$180,R194)+SUMIFS(S$133:S$180,Q$133:Q$180,Q195,R$133:R$180,R195)</f>
        <v>1051066.8280547946</v>
      </c>
      <c r="Y194" s="135" cm="1">
        <f t="array" aca="1" ref="Y194" ca="1">SUM(SUMIFS(S$133:S$180,R$133:R$180,{"Bill","Annual Bill"}))</f>
        <v>2828778.126127854</v>
      </c>
      <c r="Z194" s="135">
        <f>SUMIFS(S$8:S$51,Q$8:Q$51,Q194,R$8:R$51,R194)*AA194+SUMIFS(S$8:S$51,Q$8:Q$51,Q195,R$8:R$51,R195)*AA195</f>
        <v>70922.188127853879</v>
      </c>
      <c r="AA194" s="135">
        <v>1</v>
      </c>
    </row>
    <row r="195" spans="3:32">
      <c r="C195"/>
      <c r="D195"/>
      <c r="E195"/>
      <c r="F195"/>
      <c r="G195"/>
      <c r="H195"/>
      <c r="I195"/>
      <c r="J195"/>
      <c r="K195"/>
      <c r="L195"/>
      <c r="M195"/>
      <c r="N195" s="208" t="s">
        <v>506</v>
      </c>
      <c r="O195" s="208" t="s">
        <v>403</v>
      </c>
      <c r="P195" s="208" t="s">
        <v>195</v>
      </c>
      <c r="Q195" s="143" t="s">
        <v>200</v>
      </c>
      <c r="R195" s="530" t="s">
        <v>336</v>
      </c>
      <c r="S195" s="316">
        <f t="shared" ca="1" si="71"/>
        <v>190.92000000000002</v>
      </c>
      <c r="T195" s="429">
        <f>100+Summary!$R$9</f>
        <v>100.175</v>
      </c>
      <c r="U195" s="153">
        <v>2</v>
      </c>
      <c r="V195" s="270">
        <f t="shared" ca="1" si="72"/>
        <v>190.55651723007259</v>
      </c>
      <c r="W195" s="2">
        <f ca="1">S$183</f>
        <v>3031050.9881440331</v>
      </c>
      <c r="X195" s="135">
        <f ca="1">SUMIFS(S$133:S$180,Q$133:Q$180,Q194,R$133:R$180,R194)+SUMIFS(S$133:S$180,Q$133:Q$180,Q195,R$133:R$180,R195)</f>
        <v>1051066.8280547946</v>
      </c>
      <c r="Y195" s="135" cm="1">
        <f t="array" aca="1" ref="Y195" ca="1">SUM(SUMIFS(S$133:S$180,R$133:R$180,{"Bill","Annual Bill"}))</f>
        <v>2828778.126127854</v>
      </c>
      <c r="Z195" s="135">
        <f>SUMIFS(S$8:S$51,Q$8:Q$51,Q194,R$8:R$51,R194)*AA194+SUMIFS(S$8:S$51,Q$8:Q$51,Q195,R$8:R$51,R195)*AA195</f>
        <v>70922.188127853879</v>
      </c>
      <c r="AA195" s="135">
        <v>12</v>
      </c>
    </row>
    <row r="196" spans="3:32">
      <c r="C196"/>
      <c r="D196"/>
      <c r="E196"/>
      <c r="F196"/>
      <c r="G196"/>
      <c r="H196"/>
      <c r="I196"/>
      <c r="J196"/>
      <c r="K196"/>
      <c r="L196"/>
      <c r="M196"/>
      <c r="N196" s="208" t="s">
        <v>506</v>
      </c>
      <c r="O196" s="208" t="s">
        <v>403</v>
      </c>
      <c r="P196" s="208" t="s">
        <v>195</v>
      </c>
      <c r="Q196" s="143" t="s">
        <v>195</v>
      </c>
      <c r="R196" s="530" t="s">
        <v>281</v>
      </c>
      <c r="S196" s="316">
        <f t="shared" ca="1" si="71"/>
        <v>1.1100000000000001</v>
      </c>
      <c r="T196" s="429">
        <f>100+Summary!$R$9</f>
        <v>100.175</v>
      </c>
      <c r="U196" s="153">
        <v>2</v>
      </c>
      <c r="V196" s="270">
        <f t="shared" ca="1" si="72"/>
        <v>1.1060069247623563</v>
      </c>
      <c r="W196" s="2">
        <f ca="1">S$184</f>
        <v>1425898.2536707383</v>
      </c>
      <c r="X196" s="135">
        <v>1</v>
      </c>
      <c r="Y196" s="135">
        <v>1</v>
      </c>
      <c r="Z196" s="135">
        <f>SUMIFS(S$8:S$51,R$8:R$51,R196)*AA196+SUMIFS(S$8:S$51,R$8:R$51,R197)*AA197</f>
        <v>1289230.8553828592</v>
      </c>
      <c r="AA196" s="135">
        <v>1</v>
      </c>
    </row>
    <row r="197" spans="3:32">
      <c r="C197"/>
      <c r="D197"/>
      <c r="E197"/>
      <c r="F197"/>
      <c r="G197"/>
      <c r="H197"/>
      <c r="I197"/>
      <c r="J197"/>
      <c r="K197"/>
      <c r="L197"/>
      <c r="M197"/>
      <c r="N197" s="208" t="s">
        <v>506</v>
      </c>
      <c r="O197" s="208" t="s">
        <v>403</v>
      </c>
      <c r="P197" s="208" t="s">
        <v>195</v>
      </c>
      <c r="Q197" s="143" t="s">
        <v>195</v>
      </c>
      <c r="R197" s="530" t="s">
        <v>283</v>
      </c>
      <c r="S197" s="316">
        <f t="shared" ca="1" si="71"/>
        <v>13.32</v>
      </c>
      <c r="T197" s="429">
        <f>100+Summary!$R$9</f>
        <v>100.175</v>
      </c>
      <c r="U197" s="153">
        <v>2</v>
      </c>
      <c r="V197" s="270">
        <f t="shared" ca="1" si="72"/>
        <v>13.272083097148275</v>
      </c>
      <c r="W197" s="2">
        <f ca="1">S$184</f>
        <v>1425898.2536707383</v>
      </c>
      <c r="X197" s="135">
        <v>1</v>
      </c>
      <c r="Y197" s="135">
        <v>1</v>
      </c>
      <c r="Z197" s="135">
        <f>SUMIFS(S$8:S$51,R$8:R$51,R196)*AA196+SUMIFS(S$8:S$51,R$8:R$51,R197)*AA197</f>
        <v>1289230.8553828592</v>
      </c>
      <c r="AA197" s="135">
        <v>12</v>
      </c>
    </row>
    <row r="198" spans="3:32">
      <c r="C198"/>
      <c r="D198"/>
      <c r="E198"/>
      <c r="F198"/>
      <c r="G198"/>
      <c r="H198"/>
      <c r="I198"/>
      <c r="J198"/>
      <c r="K198"/>
      <c r="L198"/>
      <c r="M198"/>
      <c r="N198" s="208" t="s">
        <v>506</v>
      </c>
      <c r="O198" s="208" t="s">
        <v>403</v>
      </c>
      <c r="P198" s="208" t="s">
        <v>195</v>
      </c>
      <c r="Q198" s="143" t="s">
        <v>195</v>
      </c>
      <c r="R198" s="530" t="s">
        <v>202</v>
      </c>
      <c r="S198" s="316">
        <f t="shared" ca="1" si="71"/>
        <v>4.0599999999999996</v>
      </c>
      <c r="T198" s="429">
        <f>100+Summary!$R$9</f>
        <v>100.175</v>
      </c>
      <c r="U198" s="153">
        <v>2</v>
      </c>
      <c r="V198" s="270">
        <f t="shared" ca="1" si="72"/>
        <v>4.0518138301390181</v>
      </c>
      <c r="W198" s="2">
        <f ca="1">S$185</f>
        <v>3089727.4496047003</v>
      </c>
      <c r="X198" s="135">
        <v>1</v>
      </c>
      <c r="Y198" s="135">
        <v>1</v>
      </c>
      <c r="Z198" s="135">
        <f>SUMIFS(S$8:S$51,R$8:R$51,R198)</f>
        <v>762554.14960629912</v>
      </c>
      <c r="AA198" s="135">
        <v>1</v>
      </c>
      <c r="AB198" s="135"/>
    </row>
    <row r="199" spans="3:32">
      <c r="C199"/>
      <c r="D199"/>
      <c r="E199"/>
      <c r="F199"/>
      <c r="G199"/>
      <c r="H199"/>
      <c r="I199"/>
      <c r="J199"/>
      <c r="K199"/>
      <c r="L199"/>
      <c r="M199"/>
      <c r="N199" s="208" t="s">
        <v>506</v>
      </c>
      <c r="O199" s="208" t="s">
        <v>403</v>
      </c>
      <c r="P199" s="208" t="s">
        <v>195</v>
      </c>
      <c r="Q199" s="143" t="s">
        <v>195</v>
      </c>
      <c r="R199" s="530" t="s">
        <v>396</v>
      </c>
      <c r="S199" s="316">
        <f t="shared" ca="1" si="71"/>
        <v>0.13897000000000001</v>
      </c>
      <c r="T199" s="429">
        <f>100+Summary!$R$9</f>
        <v>100.175</v>
      </c>
      <c r="U199" s="153">
        <v>5</v>
      </c>
      <c r="V199" s="270">
        <f t="shared" ca="1" si="72"/>
        <v>0.13874827326540631</v>
      </c>
      <c r="W199" s="2">
        <f ca="1">S$186</f>
        <v>53144368.783496954</v>
      </c>
      <c r="X199" s="135">
        <f ca="1">SUMIFS(S$133:S$180,R$133:R$180,"kWh First Block*")</f>
        <v>16800791.86723607</v>
      </c>
      <c r="Y199" s="135">
        <f ca="1">SUMIFS(S$133:S$180,R$133:R$180,"kWh*")</f>
        <v>49972692.120994195</v>
      </c>
      <c r="Z199" s="2" cm="1">
        <f t="array" ref="Z199">SUM(SUMIFS(S$8:S$51,R$8:R$51,{"kWh First Block*"}))</f>
        <v>141471030.9709782</v>
      </c>
      <c r="AA199" s="135">
        <v>1</v>
      </c>
      <c r="AB199" s="303">
        <f>AC199/AD199*AE199</f>
        <v>1.2453103783064488E-2</v>
      </c>
      <c r="AC199" s="2">
        <f>SUMIFS(S$8:S$51,R$8:R$51,"*(October - May)")</f>
        <v>352686815.57061332</v>
      </c>
      <c r="AD199" s="135">
        <f>SUMIFS(S$8:S$51,R$8:R$51,"kWh*")</f>
        <v>544109630.43028224</v>
      </c>
      <c r="AE199" s="303">
        <f>'Sch.16,17,19'!AH$38</f>
        <v>1.9212098093744981E-2</v>
      </c>
    </row>
    <row r="200" spans="3:32">
      <c r="C200"/>
      <c r="D200"/>
      <c r="E200"/>
      <c r="F200"/>
      <c r="G200"/>
      <c r="H200"/>
      <c r="I200"/>
      <c r="J200"/>
      <c r="K200"/>
      <c r="L200"/>
      <c r="M200"/>
      <c r="N200" s="208" t="s">
        <v>506</v>
      </c>
      <c r="O200" s="208" t="s">
        <v>403</v>
      </c>
      <c r="P200" s="208" t="s">
        <v>195</v>
      </c>
      <c r="Q200" s="143" t="s">
        <v>195</v>
      </c>
      <c r="R200" s="530" t="s">
        <v>394</v>
      </c>
      <c r="S200" s="316">
        <f t="shared" ca="1" si="71"/>
        <v>0.11976000000000001</v>
      </c>
      <c r="T200" s="429">
        <f>100+Summary!$R$9</f>
        <v>100.175</v>
      </c>
      <c r="U200" s="153">
        <v>5</v>
      </c>
      <c r="V200" s="270">
        <f t="shared" ca="1" si="72"/>
        <v>0.11953617517166132</v>
      </c>
      <c r="W200" s="2">
        <f ca="1">S$186</f>
        <v>53144368.783496954</v>
      </c>
      <c r="X200" s="135">
        <f ca="1">SUMIFS(S$133:S$180,R$133:R$180,"kWh First Block*")</f>
        <v>16800791.86723607</v>
      </c>
      <c r="Y200" s="135">
        <f ca="1">SUMIFS(S$133:S$180,R$133:R$180,"kWh*")</f>
        <v>49972692.120994195</v>
      </c>
      <c r="Z200" s="2" cm="1">
        <f t="array" ref="Z200">SUM(SUMIFS(S$8:S$51,R$8:R$51,{"kWh First Block*"}))</f>
        <v>141471030.9709782</v>
      </c>
      <c r="AA200" s="135">
        <v>1</v>
      </c>
      <c r="AB200" s="303">
        <f t="shared" ref="AB200:AB202" si="73">AC200/AD200*AE200</f>
        <v>-6.7589943106804934E-3</v>
      </c>
      <c r="AC200" s="2">
        <f>SUMIFS(S$8:S$51,R$8:R$51,"*(June - September)")</f>
        <v>191422814.85966891</v>
      </c>
      <c r="AD200" s="135">
        <f t="shared" ref="AD200:AD202" si="74">SUMIFS(S$8:S$51,R$8:R$51,"kWh*")</f>
        <v>544109630.43028224</v>
      </c>
      <c r="AE200" s="303">
        <f>-'Sch.16,17,19'!AH$38</f>
        <v>-1.9212098093744981E-2</v>
      </c>
      <c r="AF200" s="303">
        <f ca="1">T200/100*W200*X200/Y200/Z200</f>
        <v>0.12651618602893594</v>
      </c>
    </row>
    <row r="201" spans="3:32">
      <c r="C201"/>
      <c r="D201"/>
      <c r="E201"/>
      <c r="F201"/>
      <c r="G201"/>
      <c r="H201"/>
      <c r="I201"/>
      <c r="J201"/>
      <c r="K201"/>
      <c r="L201"/>
      <c r="M201"/>
      <c r="N201" s="208" t="s">
        <v>506</v>
      </c>
      <c r="O201" s="208" t="s">
        <v>403</v>
      </c>
      <c r="P201" s="208" t="s">
        <v>195</v>
      </c>
      <c r="Q201" s="143" t="s">
        <v>195</v>
      </c>
      <c r="R201" s="530" t="s">
        <v>397</v>
      </c>
      <c r="S201" s="316">
        <f t="shared" ca="1" si="71"/>
        <v>0.10022</v>
      </c>
      <c r="T201" s="429">
        <f>100+Summary!$R$9</f>
        <v>100.175</v>
      </c>
      <c r="U201" s="153">
        <v>5</v>
      </c>
      <c r="V201" s="270">
        <f t="shared" ca="1" si="72"/>
        <v>0.10006830261782304</v>
      </c>
      <c r="W201" s="2">
        <f ca="1">S$186</f>
        <v>53144368.783496954</v>
      </c>
      <c r="X201" s="135" cm="1">
        <f t="array" aca="1" ref="X201" ca="1">SUM(SUMIFS(S$133:S$180,R$133:R$180,{"kWh Second Block*","kWh Third Block*"}))</f>
        <v>33171900.253758125</v>
      </c>
      <c r="Y201" s="135">
        <f ca="1">SUMIFS(S$133:S$180,R$133:R$180,"kWh*")</f>
        <v>49972692.120994195</v>
      </c>
      <c r="Z201" s="2" cm="1">
        <f t="array" ref="Z201">SUM(SUMIFS(S$8:S$51,R$8:R$51,{"kWh Second Block*","kWh Third Block*"}))</f>
        <v>402638599.45930403</v>
      </c>
      <c r="AA201" s="135">
        <v>1</v>
      </c>
      <c r="AB201" s="303">
        <f t="shared" si="73"/>
        <v>1.2453103783064488E-2</v>
      </c>
      <c r="AC201" s="2">
        <f>SUMIFS(S$8:S$51,R$8:R$51,"*(October - May)")</f>
        <v>352686815.57061332</v>
      </c>
      <c r="AD201" s="135">
        <f t="shared" si="74"/>
        <v>544109630.43028224</v>
      </c>
      <c r="AE201" s="303">
        <f>'Sch.16,17,19'!AH$38</f>
        <v>1.9212098093744981E-2</v>
      </c>
    </row>
    <row r="202" spans="3:32">
      <c r="C202"/>
      <c r="D202"/>
      <c r="E202"/>
      <c r="F202"/>
      <c r="G202"/>
      <c r="H202"/>
      <c r="I202"/>
      <c r="J202"/>
      <c r="K202"/>
      <c r="L202"/>
      <c r="M202"/>
      <c r="N202" s="208" t="s">
        <v>506</v>
      </c>
      <c r="O202" s="208" t="s">
        <v>403</v>
      </c>
      <c r="P202" s="208" t="s">
        <v>195</v>
      </c>
      <c r="Q202" s="143" t="s">
        <v>195</v>
      </c>
      <c r="R202" s="530" t="s">
        <v>395</v>
      </c>
      <c r="S202" s="316">
        <f t="shared" ca="1" si="71"/>
        <v>8.1009999999999999E-2</v>
      </c>
      <c r="T202" s="429">
        <f>100+Summary!$R$9</f>
        <v>100.175</v>
      </c>
      <c r="U202" s="153">
        <v>5</v>
      </c>
      <c r="V202" s="270">
        <f t="shared" ca="1" si="72"/>
        <v>8.085620452407806E-2</v>
      </c>
      <c r="W202" s="2">
        <f ca="1">S$186</f>
        <v>53144368.783496954</v>
      </c>
      <c r="X202" s="135" cm="1">
        <f t="array" aca="1" ref="X202" ca="1">SUM(SUMIFS(S$133:S$180,R$133:R$180,{"kWh Second Block*","kWh Third Block*"}))</f>
        <v>33171900.253758125</v>
      </c>
      <c r="Y202" s="135">
        <f ca="1">SUMIFS(S$133:S$180,R$133:R$180,"kWh*")</f>
        <v>49972692.120994195</v>
      </c>
      <c r="Z202" s="2" cm="1">
        <f t="array" ref="Z202">SUM(SUMIFS(S$8:S$51,R$8:R$51,{"kWh Second Block*","kWh Third Block*"}))</f>
        <v>402638599.45930403</v>
      </c>
      <c r="AA202" s="135">
        <v>1</v>
      </c>
      <c r="AB202" s="303">
        <f t="shared" si="73"/>
        <v>-6.7589943106804934E-3</v>
      </c>
      <c r="AC202" s="2">
        <f>SUMIFS(S$8:S$51,R$8:R$51,"*(June - September)")</f>
        <v>191422814.85966891</v>
      </c>
      <c r="AD202" s="135">
        <f t="shared" si="74"/>
        <v>544109630.43028224</v>
      </c>
      <c r="AE202" s="303">
        <f>-'Sch.16,17,19'!AH$38</f>
        <v>-1.9212098093744981E-2</v>
      </c>
      <c r="AF202" s="303">
        <f ca="1">T202/100*W202*X202/Y202/Z202</f>
        <v>8.7768525432719388E-2</v>
      </c>
    </row>
    <row r="203" spans="3:32">
      <c r="C203"/>
      <c r="D203"/>
      <c r="E203"/>
      <c r="F203"/>
      <c r="G203"/>
      <c r="H203"/>
      <c r="I203"/>
      <c r="J203"/>
      <c r="K203"/>
      <c r="L203"/>
      <c r="M203"/>
      <c r="N203" s="208" t="s">
        <v>506</v>
      </c>
      <c r="O203" s="208" t="s">
        <v>403</v>
      </c>
      <c r="P203" s="208" t="s">
        <v>195</v>
      </c>
      <c r="Q203" s="143" t="s">
        <v>195</v>
      </c>
      <c r="R203" s="531" t="s">
        <v>579</v>
      </c>
      <c r="S203" s="316">
        <f>ROUND(W138*(1-X138/100),U203)</f>
        <v>3.0599999999999999E-2</v>
      </c>
      <c r="T203" s="429"/>
      <c r="U203" s="153">
        <v>5</v>
      </c>
      <c r="V203" s="270"/>
      <c r="W203" s="2"/>
      <c r="X203" s="135"/>
      <c r="Y203" s="135"/>
      <c r="Z203" s="2"/>
      <c r="AA203" s="135"/>
      <c r="AB203" s="303"/>
      <c r="AC203" s="2"/>
      <c r="AD203" s="135"/>
      <c r="AE203" s="303"/>
      <c r="AF203" s="303"/>
    </row>
    <row r="204" spans="3:32">
      <c r="C204"/>
      <c r="D204"/>
      <c r="E204"/>
      <c r="F204"/>
      <c r="G204"/>
      <c r="H204"/>
      <c r="I204"/>
      <c r="J204"/>
      <c r="K204"/>
      <c r="L204"/>
      <c r="M204"/>
      <c r="N204" s="208" t="s">
        <v>506</v>
      </c>
      <c r="O204" s="208" t="s">
        <v>403</v>
      </c>
      <c r="P204" s="208" t="s">
        <v>195</v>
      </c>
      <c r="Q204" s="143" t="s">
        <v>195</v>
      </c>
      <c r="R204" s="531" t="s">
        <v>580</v>
      </c>
      <c r="S204" s="316">
        <f>ROUND(W138*(-X138/100),U204)</f>
        <v>-2.2450000000000001E-2</v>
      </c>
      <c r="T204" s="429"/>
      <c r="U204" s="153">
        <v>5</v>
      </c>
      <c r="V204" s="270"/>
      <c r="W204" s="2"/>
      <c r="X204" s="135"/>
      <c r="Y204" s="135"/>
      <c r="Z204" s="2"/>
      <c r="AA204" s="135"/>
      <c r="AB204" s="303"/>
      <c r="AC204" s="2"/>
      <c r="AD204" s="135"/>
      <c r="AE204" s="303"/>
      <c r="AF204" s="303"/>
    </row>
    <row r="205" spans="3:32">
      <c r="C205"/>
      <c r="D205"/>
      <c r="E205"/>
      <c r="F205"/>
      <c r="G205"/>
      <c r="H205"/>
      <c r="I205"/>
      <c r="J205"/>
      <c r="K205"/>
      <c r="L205"/>
      <c r="M205"/>
      <c r="N205" s="208" t="s">
        <v>506</v>
      </c>
      <c r="O205" s="208" t="s">
        <v>403</v>
      </c>
      <c r="P205" s="208" t="s">
        <v>195</v>
      </c>
      <c r="Q205" s="143" t="s">
        <v>195</v>
      </c>
      <c r="R205" s="531" t="s">
        <v>581</v>
      </c>
      <c r="S205" s="316">
        <v>2</v>
      </c>
      <c r="T205" s="429"/>
      <c r="V205" s="270"/>
      <c r="W205" s="2"/>
      <c r="X205" s="135"/>
      <c r="Y205" s="135"/>
      <c r="Z205" s="2"/>
      <c r="AA205" s="135"/>
      <c r="AB205" s="303"/>
      <c r="AC205" s="2"/>
      <c r="AD205" s="135"/>
      <c r="AE205" s="303"/>
      <c r="AF205" s="303"/>
    </row>
    <row r="206" spans="3:32">
      <c r="C206"/>
      <c r="D206"/>
      <c r="E206"/>
      <c r="F206"/>
      <c r="G206"/>
      <c r="H206"/>
      <c r="I206"/>
      <c r="J206"/>
      <c r="K206"/>
      <c r="L206"/>
      <c r="M206"/>
      <c r="N206" s="208" t="s">
        <v>506</v>
      </c>
      <c r="O206" s="208" t="s">
        <v>403</v>
      </c>
      <c r="P206" s="208" t="s">
        <v>195</v>
      </c>
      <c r="Q206" s="143" t="s">
        <v>195</v>
      </c>
      <c r="R206" s="530" t="s">
        <v>201</v>
      </c>
      <c r="S206" s="316">
        <f t="shared" ref="S206" si="75">ROUND(T206/100*W206*X206/Y206/Z206+AB206,U206)*AA206</f>
        <v>0.57999999999999996</v>
      </c>
      <c r="T206" s="429">
        <f>100+Summary!$R$9</f>
        <v>100.175</v>
      </c>
      <c r="U206" s="153">
        <v>2</v>
      </c>
      <c r="V206" s="270">
        <f t="shared" si="72"/>
        <v>0.57999999999999996</v>
      </c>
      <c r="W206" s="2">
        <f>S187</f>
        <v>71615.829999999987</v>
      </c>
      <c r="X206" s="135">
        <v>1</v>
      </c>
      <c r="Y206" s="135">
        <v>1</v>
      </c>
      <c r="Z206" s="135">
        <f>SUMIFS(S$8:S$51,R$8:R$51,R206)</f>
        <v>123475.56896551723</v>
      </c>
      <c r="AA206" s="135">
        <v>1</v>
      </c>
    </row>
    <row r="207" spans="3:32">
      <c r="C207"/>
      <c r="D207"/>
      <c r="E207"/>
      <c r="F207"/>
      <c r="G207"/>
      <c r="H207"/>
      <c r="I207"/>
      <c r="J207"/>
      <c r="K207"/>
      <c r="L207"/>
      <c r="M207"/>
      <c r="N207" s="208" t="s">
        <v>506</v>
      </c>
      <c r="O207" s="208" t="s">
        <v>403</v>
      </c>
      <c r="P207" s="208" t="s">
        <v>195</v>
      </c>
      <c r="Q207" s="143" t="s">
        <v>195</v>
      </c>
      <c r="R207" s="619" t="s">
        <v>367</v>
      </c>
      <c r="S207" s="316">
        <f t="shared" ref="S207:S209" si="76">ROUND(T207/100*W207*X207/Y207/Z207+AB207,U207)*AA207</f>
        <v>-0.01</v>
      </c>
      <c r="T207" s="577">
        <v>100</v>
      </c>
      <c r="U207" s="153">
        <v>2</v>
      </c>
      <c r="V207" s="270">
        <f t="shared" si="72"/>
        <v>-1.0000000000000002E-2</v>
      </c>
      <c r="W207" s="2">
        <f>S188</f>
        <v>-1163.3600000000001</v>
      </c>
      <c r="X207" s="135">
        <v>1</v>
      </c>
      <c r="Y207" s="135">
        <v>1</v>
      </c>
      <c r="Z207" s="135">
        <f>SUMIFS(S$8:S$51,R$8:R$51,R207)</f>
        <v>116336</v>
      </c>
      <c r="AA207" s="135">
        <v>1</v>
      </c>
    </row>
    <row r="208" spans="3:32">
      <c r="C208"/>
      <c r="D208"/>
      <c r="E208"/>
      <c r="F208"/>
      <c r="G208"/>
      <c r="H208"/>
      <c r="I208"/>
      <c r="J208"/>
      <c r="K208"/>
      <c r="L208"/>
      <c r="M208"/>
      <c r="N208" s="208" t="s">
        <v>506</v>
      </c>
      <c r="O208" s="208" t="s">
        <v>403</v>
      </c>
      <c r="P208" s="208" t="s">
        <v>195</v>
      </c>
      <c r="Q208" s="143" t="s">
        <v>195</v>
      </c>
      <c r="R208" s="619" t="s">
        <v>358</v>
      </c>
      <c r="S208" s="316">
        <f t="shared" si="76"/>
        <v>-0.3</v>
      </c>
      <c r="T208" s="577">
        <v>100</v>
      </c>
      <c r="U208" s="153">
        <v>2</v>
      </c>
      <c r="V208" s="270">
        <f t="shared" si="72"/>
        <v>-0.30000000000000004</v>
      </c>
      <c r="W208" s="2">
        <f>S189</f>
        <v>-1276.75</v>
      </c>
      <c r="X208" s="135">
        <v>1</v>
      </c>
      <c r="Y208" s="135">
        <v>1</v>
      </c>
      <c r="Z208" s="135">
        <f>SUMIFS(S$8:S$51,R$8:R$51,R208)</f>
        <v>4255.833333333333</v>
      </c>
      <c r="AA208" s="135">
        <v>1</v>
      </c>
    </row>
    <row r="209" spans="3:27">
      <c r="C209"/>
      <c r="D209"/>
      <c r="E209"/>
      <c r="F209"/>
      <c r="G209"/>
      <c r="H209"/>
      <c r="I209"/>
      <c r="J209"/>
      <c r="K209"/>
      <c r="L209"/>
      <c r="M209"/>
      <c r="N209" s="209" t="s">
        <v>506</v>
      </c>
      <c r="O209" s="209" t="s">
        <v>403</v>
      </c>
      <c r="P209" s="209" t="s">
        <v>195</v>
      </c>
      <c r="Q209" s="146" t="s">
        <v>195</v>
      </c>
      <c r="R209" s="620" t="s">
        <v>368</v>
      </c>
      <c r="S209" s="317">
        <f t="shared" si="76"/>
        <v>60</v>
      </c>
      <c r="T209" s="577">
        <v>100</v>
      </c>
      <c r="U209" s="153">
        <v>2</v>
      </c>
      <c r="V209" s="270">
        <f t="shared" si="72"/>
        <v>60</v>
      </c>
      <c r="W209" s="2">
        <f>S190</f>
        <v>9480</v>
      </c>
      <c r="X209" s="135">
        <v>1</v>
      </c>
      <c r="Y209" s="135">
        <v>1</v>
      </c>
      <c r="Z209" s="135">
        <f>SUMIFS(S$8:S$51,R$8:R$51,R209)</f>
        <v>158</v>
      </c>
      <c r="AA209" s="135">
        <v>1</v>
      </c>
    </row>
    <row r="210" spans="3:27">
      <c r="C210"/>
      <c r="D210"/>
      <c r="E210"/>
      <c r="F210"/>
      <c r="G210"/>
      <c r="H210"/>
      <c r="I210"/>
      <c r="J210"/>
      <c r="K210"/>
      <c r="L210"/>
      <c r="M210"/>
      <c r="N210" s="212" t="s">
        <v>506</v>
      </c>
      <c r="O210" s="212" t="s">
        <v>29</v>
      </c>
      <c r="P210" s="139" t="s">
        <v>4</v>
      </c>
      <c r="Q210" s="141" t="s">
        <v>199</v>
      </c>
      <c r="R210" s="529" t="s">
        <v>335</v>
      </c>
      <c r="S210" s="213">
        <f t="shared" ref="S210:S257" ca="1" si="77">IF(R210="Unbilled",SUMIFS(S$133:S$180,P$133:P$180,P210,R$133:R$180,R210),SUMIFS(S$192:S$209,Q$192:Q$209,Q210,R$192:R$209,R210)*U210)</f>
        <v>418918.07100000005</v>
      </c>
      <c r="T210" s="2">
        <f t="shared" ref="T210:T257" ca="1" si="78">IF(R210="Unbilled",SUMIFS(S$133:S$180,P$133:P$180,P210,R$133:R$180,R210),SUMIFS(V$192:V$209,Q$192:Q$209,Q210,R$192:R$209,R210)*U210)</f>
        <v>418162.82109680033</v>
      </c>
      <c r="U210" s="135">
        <f t="shared" ref="U210:U218" si="79">SUMIFS(S$8:S$51,P$8:P$51,P210,Q$8:Q$51,Q210,R$8:R$51,R210)</f>
        <v>39261.300000000003</v>
      </c>
    </row>
    <row r="211" spans="3:27">
      <c r="C211"/>
      <c r="D211"/>
      <c r="E211"/>
      <c r="F211"/>
      <c r="G211"/>
      <c r="H211"/>
      <c r="I211"/>
      <c r="J211"/>
      <c r="K211"/>
      <c r="L211"/>
      <c r="M211"/>
      <c r="N211" s="208" t="s">
        <v>506</v>
      </c>
      <c r="O211" s="208" t="s">
        <v>29</v>
      </c>
      <c r="P211" s="95" t="s">
        <v>4</v>
      </c>
      <c r="Q211" s="143" t="s">
        <v>199</v>
      </c>
      <c r="R211" s="530" t="s">
        <v>336</v>
      </c>
      <c r="S211" s="210">
        <f t="shared" ca="1" si="77"/>
        <v>0</v>
      </c>
      <c r="T211" s="2">
        <f t="shared" ca="1" si="78"/>
        <v>0</v>
      </c>
      <c r="U211" s="135">
        <f t="shared" si="79"/>
        <v>0</v>
      </c>
    </row>
    <row r="212" spans="3:27">
      <c r="C212"/>
      <c r="D212"/>
      <c r="E212"/>
      <c r="F212"/>
      <c r="G212"/>
      <c r="H212"/>
      <c r="I212"/>
      <c r="J212"/>
      <c r="K212"/>
      <c r="L212"/>
      <c r="M212"/>
      <c r="N212" s="208" t="s">
        <v>506</v>
      </c>
      <c r="O212" s="208" t="s">
        <v>29</v>
      </c>
      <c r="P212" s="95" t="s">
        <v>4</v>
      </c>
      <c r="Q212" s="143" t="s">
        <v>200</v>
      </c>
      <c r="R212" s="530" t="s">
        <v>335</v>
      </c>
      <c r="S212" s="210">
        <f t="shared" ca="1" si="77"/>
        <v>43238.076666666675</v>
      </c>
      <c r="T212" s="2">
        <f t="shared" ca="1" si="78"/>
        <v>43155.757916021721</v>
      </c>
      <c r="U212" s="135">
        <f t="shared" si="79"/>
        <v>2717.666666666667</v>
      </c>
    </row>
    <row r="213" spans="3:27">
      <c r="C213"/>
      <c r="D213"/>
      <c r="E213"/>
      <c r="F213"/>
      <c r="G213"/>
      <c r="H213"/>
      <c r="I213"/>
      <c r="J213"/>
      <c r="K213"/>
      <c r="L213"/>
      <c r="M213"/>
      <c r="N213" s="208" t="s">
        <v>506</v>
      </c>
      <c r="O213" s="208" t="s">
        <v>29</v>
      </c>
      <c r="P213" s="95" t="s">
        <v>4</v>
      </c>
      <c r="Q213" s="143" t="s">
        <v>200</v>
      </c>
      <c r="R213" s="530" t="s">
        <v>336</v>
      </c>
      <c r="S213" s="210">
        <f t="shared" ca="1" si="77"/>
        <v>0</v>
      </c>
      <c r="T213" s="2">
        <f t="shared" ca="1" si="78"/>
        <v>0</v>
      </c>
      <c r="U213" s="135">
        <f t="shared" si="79"/>
        <v>0</v>
      </c>
    </row>
    <row r="214" spans="3:27">
      <c r="C214"/>
      <c r="D214"/>
      <c r="E214"/>
      <c r="F214"/>
      <c r="G214"/>
      <c r="H214"/>
      <c r="I214"/>
      <c r="J214"/>
      <c r="K214"/>
      <c r="L214"/>
      <c r="M214"/>
      <c r="N214" s="208" t="s">
        <v>506</v>
      </c>
      <c r="O214" s="208" t="s">
        <v>29</v>
      </c>
      <c r="P214" s="95" t="s">
        <v>4</v>
      </c>
      <c r="Q214" s="143" t="s">
        <v>195</v>
      </c>
      <c r="R214" s="530" t="s">
        <v>281</v>
      </c>
      <c r="S214" s="210">
        <f t="shared" ca="1" si="77"/>
        <v>27253.746038461548</v>
      </c>
      <c r="T214" s="2">
        <f t="shared" ca="1" si="78"/>
        <v>27155.704364191984</v>
      </c>
      <c r="U214" s="135">
        <f t="shared" si="79"/>
        <v>24552.924358974364</v>
      </c>
    </row>
    <row r="215" spans="3:27">
      <c r="C215"/>
      <c r="D215"/>
      <c r="E215"/>
      <c r="F215"/>
      <c r="G215"/>
      <c r="H215"/>
      <c r="I215"/>
      <c r="J215"/>
      <c r="K215"/>
      <c r="L215"/>
      <c r="M215"/>
      <c r="N215" s="208" t="s">
        <v>506</v>
      </c>
      <c r="O215" s="208" t="s">
        <v>29</v>
      </c>
      <c r="P215" s="95" t="s">
        <v>4</v>
      </c>
      <c r="Q215" s="143" t="s">
        <v>195</v>
      </c>
      <c r="R215" s="530" t="s">
        <v>283</v>
      </c>
      <c r="S215" s="210">
        <f t="shared" ca="1" si="77"/>
        <v>0</v>
      </c>
      <c r="T215" s="2">
        <f t="shared" ca="1" si="78"/>
        <v>0</v>
      </c>
      <c r="U215" s="135">
        <f t="shared" si="79"/>
        <v>0</v>
      </c>
    </row>
    <row r="216" spans="3:27">
      <c r="C216"/>
      <c r="D216"/>
      <c r="E216"/>
      <c r="F216"/>
      <c r="G216"/>
      <c r="H216"/>
      <c r="I216"/>
      <c r="J216"/>
      <c r="K216"/>
      <c r="L216"/>
      <c r="M216"/>
      <c r="N216" s="208" t="s">
        <v>506</v>
      </c>
      <c r="O216" s="208" t="s">
        <v>29</v>
      </c>
      <c r="P216" s="95" t="s">
        <v>4</v>
      </c>
      <c r="Q216" s="143" t="s">
        <v>195</v>
      </c>
      <c r="R216" s="530" t="s">
        <v>202</v>
      </c>
      <c r="S216" s="210">
        <f t="shared" ca="1" si="77"/>
        <v>58931.432808398953</v>
      </c>
      <c r="T216" s="2">
        <f t="shared" ca="1" si="78"/>
        <v>58812.609478566301</v>
      </c>
      <c r="U216" s="135">
        <f t="shared" si="79"/>
        <v>14515.131233595803</v>
      </c>
    </row>
    <row r="217" spans="3:27">
      <c r="C217"/>
      <c r="D217"/>
      <c r="E217"/>
      <c r="F217"/>
      <c r="G217"/>
      <c r="H217"/>
      <c r="I217"/>
      <c r="J217"/>
      <c r="K217"/>
      <c r="L217"/>
      <c r="M217"/>
      <c r="N217" s="208" t="s">
        <v>506</v>
      </c>
      <c r="O217" s="208" t="s">
        <v>29</v>
      </c>
      <c r="P217" s="95" t="s">
        <v>4</v>
      </c>
      <c r="Q217" s="143" t="s">
        <v>195</v>
      </c>
      <c r="R217" s="530" t="s">
        <v>396</v>
      </c>
      <c r="S217" s="210">
        <f t="shared" ca="1" si="77"/>
        <v>631455.80942910421</v>
      </c>
      <c r="T217" s="2">
        <f t="shared" ca="1" si="78"/>
        <v>630448.32123262342</v>
      </c>
      <c r="U217" s="135">
        <f t="shared" si="79"/>
        <v>4543828.2322019441</v>
      </c>
    </row>
    <row r="218" spans="3:27">
      <c r="C218"/>
      <c r="D218"/>
      <c r="E218"/>
      <c r="F218"/>
      <c r="G218"/>
      <c r="H218"/>
      <c r="I218"/>
      <c r="J218"/>
      <c r="K218"/>
      <c r="L218"/>
      <c r="M218"/>
      <c r="N218" s="208" t="s">
        <v>506</v>
      </c>
      <c r="O218" s="208" t="s">
        <v>29</v>
      </c>
      <c r="P218" s="95" t="s">
        <v>4</v>
      </c>
      <c r="Q218" s="143" t="s">
        <v>195</v>
      </c>
      <c r="R218" s="530" t="s">
        <v>394</v>
      </c>
      <c r="S218" s="210">
        <f t="shared" ca="1" si="77"/>
        <v>1080582.9851863945</v>
      </c>
      <c r="T218" s="2">
        <f t="shared" ca="1" si="78"/>
        <v>1078563.4352434666</v>
      </c>
      <c r="U218" s="135">
        <f t="shared" si="79"/>
        <v>9022904.0179224666</v>
      </c>
    </row>
    <row r="219" spans="3:27">
      <c r="C219"/>
      <c r="D219"/>
      <c r="E219"/>
      <c r="F219"/>
      <c r="G219"/>
      <c r="H219"/>
      <c r="I219"/>
      <c r="J219"/>
      <c r="K219"/>
      <c r="L219"/>
      <c r="M219"/>
      <c r="N219" s="208" t="s">
        <v>506</v>
      </c>
      <c r="O219" s="208" t="s">
        <v>29</v>
      </c>
      <c r="P219" s="95" t="s">
        <v>4</v>
      </c>
      <c r="Q219" s="143" t="s">
        <v>195</v>
      </c>
      <c r="R219" s="530" t="s">
        <v>397</v>
      </c>
      <c r="S219" s="210">
        <f t="shared" ca="1" si="77"/>
        <v>271518.39459967578</v>
      </c>
      <c r="T219" s="2">
        <f t="shared" ca="1" si="78"/>
        <v>271107.41246363847</v>
      </c>
      <c r="U219" s="135">
        <f>SUMIFS(S$8:S$51,P$8:P$51,P219,Q$8:Q$51,Q219,R$8:R$51,R219)+S16</f>
        <v>2709223.6539580501</v>
      </c>
    </row>
    <row r="220" spans="3:27">
      <c r="C220"/>
      <c r="D220"/>
      <c r="E220"/>
      <c r="F220"/>
      <c r="G220"/>
      <c r="H220"/>
      <c r="I220"/>
      <c r="J220"/>
      <c r="K220"/>
      <c r="L220"/>
      <c r="M220"/>
      <c r="N220" s="208" t="s">
        <v>506</v>
      </c>
      <c r="O220" s="208" t="s">
        <v>29</v>
      </c>
      <c r="P220" s="95" t="s">
        <v>4</v>
      </c>
      <c r="Q220" s="143" t="s">
        <v>195</v>
      </c>
      <c r="R220" s="530" t="s">
        <v>395</v>
      </c>
      <c r="S220" s="210">
        <f t="shared" ca="1" si="77"/>
        <v>431655.54182840761</v>
      </c>
      <c r="T220" s="2">
        <f t="shared" ca="1" si="78"/>
        <v>430836.05448746402</v>
      </c>
      <c r="U220" s="135">
        <f>SUMIFS(S$8:S$51,P$8:P$51,P220,Q$8:Q$51,Q220,R$8:R$51,R220)+S17</f>
        <v>5328422.9333219063</v>
      </c>
    </row>
    <row r="221" spans="3:27">
      <c r="C221"/>
      <c r="D221"/>
      <c r="E221"/>
      <c r="F221"/>
      <c r="G221"/>
      <c r="H221"/>
      <c r="I221"/>
      <c r="J221"/>
      <c r="K221"/>
      <c r="L221"/>
      <c r="M221"/>
      <c r="N221" s="208" t="s">
        <v>506</v>
      </c>
      <c r="O221" s="208" t="s">
        <v>29</v>
      </c>
      <c r="P221" s="95" t="s">
        <v>4</v>
      </c>
      <c r="Q221" s="143" t="s">
        <v>195</v>
      </c>
      <c r="R221" s="530" t="s">
        <v>201</v>
      </c>
      <c r="S221" s="210">
        <f t="shared" si="77"/>
        <v>65.539999999999992</v>
      </c>
      <c r="T221" s="2">
        <f t="shared" si="78"/>
        <v>65.539999999999992</v>
      </c>
      <c r="U221" s="135">
        <f t="shared" ref="U221:U234" si="80">SUMIFS(S$8:S$51,P$8:P$51,P221,Q$8:Q$51,Q221,R$8:R$51,R221)</f>
        <v>113</v>
      </c>
    </row>
    <row r="222" spans="3:27">
      <c r="C222"/>
      <c r="D222"/>
      <c r="E222"/>
      <c r="F222"/>
      <c r="G222"/>
      <c r="H222"/>
      <c r="I222"/>
      <c r="J222"/>
      <c r="K222"/>
      <c r="L222"/>
      <c r="M222"/>
      <c r="N222" s="208" t="s">
        <v>506</v>
      </c>
      <c r="O222" s="208" t="s">
        <v>29</v>
      </c>
      <c r="P222" s="95" t="s">
        <v>4</v>
      </c>
      <c r="Q222" s="143" t="s">
        <v>195</v>
      </c>
      <c r="R222" s="619" t="s">
        <v>367</v>
      </c>
      <c r="S222" s="210">
        <f t="shared" si="77"/>
        <v>0</v>
      </c>
      <c r="T222" s="2">
        <f t="shared" si="78"/>
        <v>0</v>
      </c>
      <c r="U222" s="135">
        <f t="shared" si="80"/>
        <v>0</v>
      </c>
    </row>
    <row r="223" spans="3:27">
      <c r="C223"/>
      <c r="D223"/>
      <c r="E223"/>
      <c r="F223"/>
      <c r="G223"/>
      <c r="H223"/>
      <c r="I223"/>
      <c r="J223"/>
      <c r="K223"/>
      <c r="L223"/>
      <c r="M223"/>
      <c r="N223" s="208" t="s">
        <v>506</v>
      </c>
      <c r="O223" s="208" t="s">
        <v>29</v>
      </c>
      <c r="P223" s="95" t="s">
        <v>4</v>
      </c>
      <c r="Q223" s="143" t="s">
        <v>195</v>
      </c>
      <c r="R223" s="619" t="s">
        <v>358</v>
      </c>
      <c r="S223" s="210">
        <f t="shared" si="77"/>
        <v>0</v>
      </c>
      <c r="T223" s="2">
        <f t="shared" si="78"/>
        <v>0</v>
      </c>
      <c r="U223" s="135">
        <f t="shared" si="80"/>
        <v>0</v>
      </c>
    </row>
    <row r="224" spans="3:27">
      <c r="C224"/>
      <c r="D224"/>
      <c r="E224"/>
      <c r="F224"/>
      <c r="G224"/>
      <c r="H224"/>
      <c r="I224"/>
      <c r="J224"/>
      <c r="K224"/>
      <c r="L224"/>
      <c r="M224"/>
      <c r="N224" s="208" t="s">
        <v>506</v>
      </c>
      <c r="O224" s="208" t="s">
        <v>29</v>
      </c>
      <c r="P224" s="95" t="s">
        <v>4</v>
      </c>
      <c r="Q224" s="143" t="s">
        <v>195</v>
      </c>
      <c r="R224" s="619" t="s">
        <v>368</v>
      </c>
      <c r="S224" s="210">
        <f t="shared" si="77"/>
        <v>0</v>
      </c>
      <c r="T224" s="2">
        <f t="shared" si="78"/>
        <v>0</v>
      </c>
      <c r="U224" s="135">
        <f t="shared" si="80"/>
        <v>0</v>
      </c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 s="209" t="s">
        <v>506</v>
      </c>
      <c r="O225" s="209" t="s">
        <v>29</v>
      </c>
      <c r="P225" s="147" t="s">
        <v>4</v>
      </c>
      <c r="Q225" s="146" t="s">
        <v>195</v>
      </c>
      <c r="R225" s="626" t="s">
        <v>168</v>
      </c>
      <c r="S225" s="211">
        <f t="shared" si="77"/>
        <v>92749.030275302401</v>
      </c>
      <c r="T225" s="2">
        <f t="shared" si="78"/>
        <v>92749.030275302401</v>
      </c>
      <c r="U225" s="135">
        <f t="shared" si="80"/>
        <v>0</v>
      </c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 s="212" t="s">
        <v>506</v>
      </c>
      <c r="O226" s="212" t="s">
        <v>29</v>
      </c>
      <c r="P226" s="141" t="s">
        <v>5</v>
      </c>
      <c r="Q226" s="141" t="s">
        <v>199</v>
      </c>
      <c r="R226" s="141" t="s">
        <v>335</v>
      </c>
      <c r="S226" s="213">
        <f t="shared" ca="1" si="77"/>
        <v>1466984.1560000002</v>
      </c>
      <c r="T226" s="2">
        <f t="shared" ca="1" si="78"/>
        <v>1464339.3915018495</v>
      </c>
      <c r="U226" s="135">
        <f t="shared" si="80"/>
        <v>137486.80000000002</v>
      </c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 s="208" t="s">
        <v>506</v>
      </c>
      <c r="O227" s="208" t="s">
        <v>29</v>
      </c>
      <c r="P227" s="143" t="s">
        <v>5</v>
      </c>
      <c r="Q227" s="143" t="s">
        <v>199</v>
      </c>
      <c r="R227" s="143" t="s">
        <v>336</v>
      </c>
      <c r="S227" s="210">
        <f t="shared" ca="1" si="77"/>
        <v>336.76273972602735</v>
      </c>
      <c r="T227" s="2">
        <f t="shared" ca="1" si="78"/>
        <v>336.15560424015013</v>
      </c>
      <c r="U227" s="135">
        <f t="shared" si="80"/>
        <v>2.6301369863013697</v>
      </c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 s="208" t="s">
        <v>506</v>
      </c>
      <c r="O228" s="208" t="s">
        <v>29</v>
      </c>
      <c r="P228" s="143" t="s">
        <v>5</v>
      </c>
      <c r="Q228" s="143" t="s">
        <v>200</v>
      </c>
      <c r="R228" s="143" t="s">
        <v>335</v>
      </c>
      <c r="S228" s="210">
        <f t="shared" ca="1" si="77"/>
        <v>1028021.4679999999</v>
      </c>
      <c r="T228" s="2">
        <f t="shared" ca="1" si="78"/>
        <v>1026064.2707931411</v>
      </c>
      <c r="U228" s="135">
        <f t="shared" si="80"/>
        <v>64614.799999999988</v>
      </c>
    </row>
    <row r="229" spans="3:21">
      <c r="N229" s="208" t="s">
        <v>506</v>
      </c>
      <c r="O229" s="208" t="s">
        <v>29</v>
      </c>
      <c r="P229" s="143" t="s">
        <v>5</v>
      </c>
      <c r="Q229" s="143" t="s">
        <v>200</v>
      </c>
      <c r="R229" s="143" t="s">
        <v>336</v>
      </c>
      <c r="S229" s="210">
        <f t="shared" ca="1" si="77"/>
        <v>12117.927780821916</v>
      </c>
      <c r="T229" s="2">
        <f t="shared" ca="1" si="78"/>
        <v>12094.857081285179</v>
      </c>
      <c r="U229" s="135">
        <f t="shared" si="80"/>
        <v>63.471232876712314</v>
      </c>
    </row>
    <row r="230" spans="3:21">
      <c r="N230" s="208" t="s">
        <v>506</v>
      </c>
      <c r="O230" s="208" t="s">
        <v>29</v>
      </c>
      <c r="P230" s="143" t="s">
        <v>5</v>
      </c>
      <c r="Q230" s="143" t="s">
        <v>195</v>
      </c>
      <c r="R230" s="143" t="s">
        <v>281</v>
      </c>
      <c r="S230" s="210">
        <f t="shared" ca="1" si="77"/>
        <v>1318545.3989807693</v>
      </c>
      <c r="T230" s="2">
        <f t="shared" ca="1" si="78"/>
        <v>1313802.1098074547</v>
      </c>
      <c r="U230" s="135">
        <f t="shared" si="80"/>
        <v>1187878.7378205128</v>
      </c>
    </row>
    <row r="231" spans="3:21">
      <c r="N231" s="208" t="s">
        <v>506</v>
      </c>
      <c r="O231" s="208" t="s">
        <v>29</v>
      </c>
      <c r="P231" s="143" t="s">
        <v>5</v>
      </c>
      <c r="Q231" s="143" t="s">
        <v>195</v>
      </c>
      <c r="R231" s="143" t="s">
        <v>283</v>
      </c>
      <c r="S231" s="210">
        <f t="shared" ca="1" si="77"/>
        <v>28372.682864067436</v>
      </c>
      <c r="T231" s="2">
        <f t="shared" ca="1" si="78"/>
        <v>28270.615965535882</v>
      </c>
      <c r="U231" s="135">
        <f t="shared" si="80"/>
        <v>2130.0812961011588</v>
      </c>
    </row>
    <row r="232" spans="3:21">
      <c r="N232" s="208" t="s">
        <v>506</v>
      </c>
      <c r="O232" s="208" t="s">
        <v>29</v>
      </c>
      <c r="P232" s="143" t="s">
        <v>5</v>
      </c>
      <c r="Q232" s="143" t="s">
        <v>195</v>
      </c>
      <c r="R232" s="143" t="s">
        <v>202</v>
      </c>
      <c r="S232" s="210">
        <f t="shared" ca="1" si="77"/>
        <v>2903644.9407349075</v>
      </c>
      <c r="T232" s="2">
        <f t="shared" ca="1" si="78"/>
        <v>2897790.3272617953</v>
      </c>
      <c r="U232" s="135">
        <f t="shared" si="80"/>
        <v>715183.48293963249</v>
      </c>
    </row>
    <row r="233" spans="3:21">
      <c r="N233" s="208" t="s">
        <v>506</v>
      </c>
      <c r="O233" s="208" t="s">
        <v>29</v>
      </c>
      <c r="P233" s="143" t="s">
        <v>5</v>
      </c>
      <c r="Q233" s="143" t="s">
        <v>195</v>
      </c>
      <c r="R233" s="143" t="s">
        <v>396</v>
      </c>
      <c r="S233" s="210">
        <f t="shared" ca="1" si="77"/>
        <v>5651235.1806406509</v>
      </c>
      <c r="T233" s="2">
        <f t="shared" ca="1" si="78"/>
        <v>5642218.6308599468</v>
      </c>
      <c r="U233" s="135">
        <f t="shared" si="80"/>
        <v>40665144.85601677</v>
      </c>
    </row>
    <row r="234" spans="3:21">
      <c r="N234" s="208" t="s">
        <v>506</v>
      </c>
      <c r="O234" s="208" t="s">
        <v>29</v>
      </c>
      <c r="P234" s="143" t="s">
        <v>5</v>
      </c>
      <c r="Q234" s="143" t="s">
        <v>195</v>
      </c>
      <c r="R234" s="143" t="s">
        <v>394</v>
      </c>
      <c r="S234" s="210">
        <f t="shared" ca="1" si="77"/>
        <v>10096038.775076644</v>
      </c>
      <c r="T234" s="2">
        <f t="shared" ca="1" si="78"/>
        <v>10077169.835984023</v>
      </c>
      <c r="U234" s="135">
        <f t="shared" si="80"/>
        <v>84302260.980933905</v>
      </c>
    </row>
    <row r="235" spans="3:21">
      <c r="N235" s="208" t="s">
        <v>506</v>
      </c>
      <c r="O235" s="208" t="s">
        <v>29</v>
      </c>
      <c r="P235" s="143" t="s">
        <v>5</v>
      </c>
      <c r="Q235" s="143" t="s">
        <v>195</v>
      </c>
      <c r="R235" s="143" t="s">
        <v>397</v>
      </c>
      <c r="S235" s="210">
        <f t="shared" ca="1" si="77"/>
        <v>13886672.945258252</v>
      </c>
      <c r="T235" s="2">
        <f t="shared" ca="1" si="78"/>
        <v>13865653.468777079</v>
      </c>
      <c r="U235" s="135">
        <f>SUMIFS(S$8:S$51,P$8:P$51,P235,Q$8:Q$51,Q235,R$8:R$51,R235)+S30</f>
        <v>138561893.28735036</v>
      </c>
    </row>
    <row r="236" spans="3:21">
      <c r="N236" s="208" t="s">
        <v>506</v>
      </c>
      <c r="O236" s="208" t="s">
        <v>29</v>
      </c>
      <c r="P236" s="143" t="s">
        <v>5</v>
      </c>
      <c r="Q236" s="143" t="s">
        <v>195</v>
      </c>
      <c r="R236" s="143" t="s">
        <v>395</v>
      </c>
      <c r="S236" s="210">
        <f t="shared" ca="1" si="77"/>
        <v>19756207.39910116</v>
      </c>
      <c r="T236" s="2">
        <f t="shared" ca="1" si="78"/>
        <v>19718700.729315244</v>
      </c>
      <c r="U236" s="135">
        <f>SUMIFS(S$8:S$51,P$8:P$51,P236,Q$8:Q$51,Q236,R$8:R$51,R236)+S31</f>
        <v>243873687.18801582</v>
      </c>
    </row>
    <row r="237" spans="3:21">
      <c r="N237" s="208" t="s">
        <v>506</v>
      </c>
      <c r="O237" s="208" t="s">
        <v>29</v>
      </c>
      <c r="P237" s="143" t="s">
        <v>5</v>
      </c>
      <c r="Q237" s="143" t="s">
        <v>195</v>
      </c>
      <c r="R237" s="143" t="s">
        <v>201</v>
      </c>
      <c r="S237" s="210">
        <f t="shared" si="77"/>
        <v>63169.819999999992</v>
      </c>
      <c r="T237" s="2">
        <f t="shared" si="78"/>
        <v>63169.819999999992</v>
      </c>
      <c r="U237" s="135">
        <f t="shared" ref="U237:U250" si="81">SUMIFS(S$8:S$51,P$8:P$51,P237,Q$8:Q$51,Q237,R$8:R$51,R237)</f>
        <v>108913.48275862068</v>
      </c>
    </row>
    <row r="238" spans="3:21">
      <c r="N238" s="208" t="s">
        <v>506</v>
      </c>
      <c r="O238" s="208" t="s">
        <v>29</v>
      </c>
      <c r="P238" s="143" t="s">
        <v>5</v>
      </c>
      <c r="Q238" s="143" t="s">
        <v>195</v>
      </c>
      <c r="R238" s="166" t="s">
        <v>367</v>
      </c>
      <c r="S238" s="210">
        <f t="shared" si="77"/>
        <v>-1043.94</v>
      </c>
      <c r="T238" s="2">
        <f t="shared" si="78"/>
        <v>-1043.9400000000003</v>
      </c>
      <c r="U238" s="135">
        <f t="shared" si="81"/>
        <v>104394</v>
      </c>
    </row>
    <row r="239" spans="3:21">
      <c r="N239" s="208" t="s">
        <v>506</v>
      </c>
      <c r="O239" s="208" t="s">
        <v>29</v>
      </c>
      <c r="P239" s="143" t="s">
        <v>5</v>
      </c>
      <c r="Q239" s="143" t="s">
        <v>195</v>
      </c>
      <c r="R239" s="166" t="s">
        <v>358</v>
      </c>
      <c r="S239" s="210">
        <f t="shared" si="77"/>
        <v>-1129.99</v>
      </c>
      <c r="T239" s="2">
        <f t="shared" si="78"/>
        <v>-1129.9900000000002</v>
      </c>
      <c r="U239" s="135">
        <f t="shared" si="81"/>
        <v>3766.6333333333332</v>
      </c>
    </row>
    <row r="240" spans="3:21">
      <c r="N240" s="208" t="s">
        <v>506</v>
      </c>
      <c r="O240" s="208" t="s">
        <v>29</v>
      </c>
      <c r="P240" s="143" t="s">
        <v>5</v>
      </c>
      <c r="Q240" s="143" t="s">
        <v>195</v>
      </c>
      <c r="R240" s="166" t="s">
        <v>368</v>
      </c>
      <c r="S240" s="210">
        <f t="shared" si="77"/>
        <v>7924</v>
      </c>
      <c r="T240" s="2">
        <f t="shared" si="78"/>
        <v>7924</v>
      </c>
      <c r="U240" s="135">
        <f t="shared" si="81"/>
        <v>132.06666666666666</v>
      </c>
    </row>
    <row r="241" spans="14:21">
      <c r="N241" s="209" t="s">
        <v>506</v>
      </c>
      <c r="O241" s="209" t="s">
        <v>29</v>
      </c>
      <c r="P241" s="146" t="s">
        <v>5</v>
      </c>
      <c r="Q241" s="146" t="s">
        <v>195</v>
      </c>
      <c r="R241" s="417" t="s">
        <v>168</v>
      </c>
      <c r="S241" s="211">
        <f t="shared" si="77"/>
        <v>753527.61020262272</v>
      </c>
      <c r="T241" s="2">
        <f t="shared" si="78"/>
        <v>753527.61020262272</v>
      </c>
      <c r="U241" s="135">
        <f t="shared" si="81"/>
        <v>0</v>
      </c>
    </row>
    <row r="242" spans="14:21">
      <c r="N242" s="212" t="s">
        <v>506</v>
      </c>
      <c r="O242" s="212" t="s">
        <v>29</v>
      </c>
      <c r="P242" s="141" t="s">
        <v>7</v>
      </c>
      <c r="Q242" s="141" t="s">
        <v>199</v>
      </c>
      <c r="R242" s="141" t="s">
        <v>335</v>
      </c>
      <c r="S242" s="213">
        <f t="shared" ca="1" si="77"/>
        <v>22028.570666666667</v>
      </c>
      <c r="T242" s="2">
        <f t="shared" ca="1" si="78"/>
        <v>21988.856276156097</v>
      </c>
      <c r="U242" s="135">
        <f t="shared" si="81"/>
        <v>2064.5333333333333</v>
      </c>
    </row>
    <row r="243" spans="14:21">
      <c r="N243" s="208" t="s">
        <v>506</v>
      </c>
      <c r="O243" s="208" t="s">
        <v>29</v>
      </c>
      <c r="P243" s="143" t="s">
        <v>7</v>
      </c>
      <c r="Q243" s="143" t="s">
        <v>199</v>
      </c>
      <c r="R243" s="143" t="s">
        <v>336</v>
      </c>
      <c r="S243" s="210">
        <f t="shared" ca="1" si="77"/>
        <v>0</v>
      </c>
      <c r="T243" s="2">
        <f t="shared" ca="1" si="78"/>
        <v>0</v>
      </c>
      <c r="U243" s="135">
        <f t="shared" si="81"/>
        <v>0</v>
      </c>
    </row>
    <row r="244" spans="14:21">
      <c r="N244" s="208" t="s">
        <v>506</v>
      </c>
      <c r="O244" s="208" t="s">
        <v>29</v>
      </c>
      <c r="P244" s="143" t="s">
        <v>7</v>
      </c>
      <c r="Q244" s="143" t="s">
        <v>200</v>
      </c>
      <c r="R244" s="143" t="s">
        <v>335</v>
      </c>
      <c r="S244" s="210">
        <f t="shared" ca="1" si="77"/>
        <v>44803.620666666669</v>
      </c>
      <c r="T244" s="2">
        <f t="shared" ca="1" si="78"/>
        <v>44718.321357308312</v>
      </c>
      <c r="U244" s="135">
        <f t="shared" si="81"/>
        <v>2816.0666666666666</v>
      </c>
    </row>
    <row r="245" spans="14:21">
      <c r="N245" s="208" t="s">
        <v>506</v>
      </c>
      <c r="O245" s="208" t="s">
        <v>29</v>
      </c>
      <c r="P245" s="143" t="s">
        <v>7</v>
      </c>
      <c r="Q245" s="143" t="s">
        <v>200</v>
      </c>
      <c r="R245" s="143" t="s">
        <v>336</v>
      </c>
      <c r="S245" s="210">
        <f t="shared" ca="1" si="77"/>
        <v>190.92000000000002</v>
      </c>
      <c r="T245" s="2">
        <f t="shared" ca="1" si="78"/>
        <v>190.55651723007259</v>
      </c>
      <c r="U245" s="135">
        <f t="shared" si="81"/>
        <v>1</v>
      </c>
    </row>
    <row r="246" spans="14:21">
      <c r="N246" s="208" t="s">
        <v>506</v>
      </c>
      <c r="O246" s="208" t="s">
        <v>29</v>
      </c>
      <c r="P246" s="143" t="s">
        <v>7</v>
      </c>
      <c r="Q246" s="143" t="s">
        <v>195</v>
      </c>
      <c r="R246" s="143" t="s">
        <v>281</v>
      </c>
      <c r="S246" s="210">
        <f t="shared" ca="1" si="77"/>
        <v>56128.505480769236</v>
      </c>
      <c r="T246" s="2">
        <f t="shared" ca="1" si="78"/>
        <v>55926.590755218596</v>
      </c>
      <c r="U246" s="135">
        <f t="shared" si="81"/>
        <v>50566.221153846156</v>
      </c>
    </row>
    <row r="247" spans="14:21">
      <c r="N247" s="208" t="s">
        <v>506</v>
      </c>
      <c r="O247" s="208" t="s">
        <v>29</v>
      </c>
      <c r="P247" s="143" t="s">
        <v>7</v>
      </c>
      <c r="Q247" s="143" t="s">
        <v>195</v>
      </c>
      <c r="R247" s="143" t="s">
        <v>283</v>
      </c>
      <c r="S247" s="210">
        <f t="shared" ca="1" si="77"/>
        <v>745.916110906217</v>
      </c>
      <c r="T247" s="2">
        <f t="shared" ca="1" si="78"/>
        <v>743.23277833701059</v>
      </c>
      <c r="U247" s="135">
        <f t="shared" si="81"/>
        <v>55.99970802599227</v>
      </c>
    </row>
    <row r="248" spans="14:21">
      <c r="N248" s="208" t="s">
        <v>506</v>
      </c>
      <c r="O248" s="208" t="s">
        <v>29</v>
      </c>
      <c r="P248" s="143" t="s">
        <v>7</v>
      </c>
      <c r="Q248" s="143" t="s">
        <v>195</v>
      </c>
      <c r="R248" s="143" t="s">
        <v>202</v>
      </c>
      <c r="S248" s="210">
        <f t="shared" ca="1" si="77"/>
        <v>133393.47385826771</v>
      </c>
      <c r="T248" s="2">
        <f t="shared" ca="1" si="78"/>
        <v>133124.51286433908</v>
      </c>
      <c r="U248" s="135">
        <f t="shared" si="81"/>
        <v>32855.535433070865</v>
      </c>
    </row>
    <row r="249" spans="14:21">
      <c r="N249" s="208" t="s">
        <v>506</v>
      </c>
      <c r="O249" s="208" t="s">
        <v>29</v>
      </c>
      <c r="P249" s="143" t="s">
        <v>7</v>
      </c>
      <c r="Q249" s="143" t="s">
        <v>195</v>
      </c>
      <c r="R249" s="143" t="s">
        <v>396</v>
      </c>
      <c r="S249" s="210">
        <f t="shared" ca="1" si="77"/>
        <v>136700.13247521041</v>
      </c>
      <c r="T249" s="2">
        <f t="shared" ca="1" si="78"/>
        <v>136482.02731587924</v>
      </c>
      <c r="U249" s="135">
        <f t="shared" si="81"/>
        <v>983666.49258984241</v>
      </c>
    </row>
    <row r="250" spans="14:21">
      <c r="N250" s="208" t="s">
        <v>506</v>
      </c>
      <c r="O250" s="208" t="s">
        <v>29</v>
      </c>
      <c r="P250" s="143" t="s">
        <v>7</v>
      </c>
      <c r="Q250" s="143" t="s">
        <v>195</v>
      </c>
      <c r="R250" s="143" t="s">
        <v>394</v>
      </c>
      <c r="S250" s="210">
        <f t="shared" ca="1" si="77"/>
        <v>233918.39262367826</v>
      </c>
      <c r="T250" s="2">
        <f t="shared" ca="1" si="78"/>
        <v>233481.21206193598</v>
      </c>
      <c r="U250" s="135">
        <f t="shared" si="81"/>
        <v>1953226.3913132786</v>
      </c>
    </row>
    <row r="251" spans="14:21">
      <c r="N251" s="208" t="s">
        <v>506</v>
      </c>
      <c r="O251" s="208" t="s">
        <v>29</v>
      </c>
      <c r="P251" s="143" t="s">
        <v>7</v>
      </c>
      <c r="Q251" s="143" t="s">
        <v>195</v>
      </c>
      <c r="R251" s="143" t="s">
        <v>397</v>
      </c>
      <c r="S251" s="210">
        <f t="shared" ca="1" si="77"/>
        <v>396776.82658945746</v>
      </c>
      <c r="T251" s="2">
        <f t="shared" ca="1" si="78"/>
        <v>396176.24780376494</v>
      </c>
      <c r="U251" s="135">
        <f>SUMIFS(S$8:S$51,P$8:P$51,P251,Q$8:Q$51,Q251,R$8:R$51,R251)+S46</f>
        <v>3959058.3375519603</v>
      </c>
    </row>
    <row r="252" spans="14:21">
      <c r="N252" s="208" t="s">
        <v>506</v>
      </c>
      <c r="O252" s="208" t="s">
        <v>29</v>
      </c>
      <c r="P252" s="143" t="s">
        <v>7</v>
      </c>
      <c r="Q252" s="143" t="s">
        <v>195</v>
      </c>
      <c r="R252" s="143" t="s">
        <v>395</v>
      </c>
      <c r="S252" s="210">
        <f t="shared" ca="1" si="77"/>
        <v>664793.50192817068</v>
      </c>
      <c r="T252" s="2">
        <f t="shared" ca="1" si="78"/>
        <v>663531.4079518856</v>
      </c>
      <c r="U252" s="135">
        <f>SUMIFS(S$8:S$51,P$8:P$51,P252,Q$8:Q$51,Q252,R$8:R$51,R252)+S47</f>
        <v>8206314.0591059215</v>
      </c>
    </row>
    <row r="253" spans="14:21">
      <c r="N253" s="208" t="s">
        <v>506</v>
      </c>
      <c r="O253" s="208" t="s">
        <v>29</v>
      </c>
      <c r="P253" s="143" t="s">
        <v>7</v>
      </c>
      <c r="Q253" s="143" t="s">
        <v>195</v>
      </c>
      <c r="R253" s="143" t="s">
        <v>201</v>
      </c>
      <c r="S253" s="210">
        <f t="shared" si="77"/>
        <v>8380.4699999999993</v>
      </c>
      <c r="T253" s="2">
        <f t="shared" si="78"/>
        <v>8380.4699999999993</v>
      </c>
      <c r="U253" s="135">
        <f>SUMIFS(S$8:S$51,P$8:P$51,P253,Q$8:Q$51,Q253,R$8:R$51,R253)</f>
        <v>14449.086206896553</v>
      </c>
    </row>
    <row r="254" spans="14:21">
      <c r="N254" s="208" t="s">
        <v>506</v>
      </c>
      <c r="O254" s="208" t="s">
        <v>29</v>
      </c>
      <c r="P254" s="143" t="s">
        <v>7</v>
      </c>
      <c r="Q254" s="143" t="s">
        <v>195</v>
      </c>
      <c r="R254" s="166" t="s">
        <v>367</v>
      </c>
      <c r="S254" s="210">
        <f t="shared" si="77"/>
        <v>-119.42</v>
      </c>
      <c r="T254" s="2">
        <f t="shared" si="78"/>
        <v>-119.42000000000003</v>
      </c>
      <c r="U254" s="135">
        <f>SUMIFS(S$8:S$51,P$8:P$51,P254,Q$8:Q$51,Q254,R$8:R$51,R254)</f>
        <v>11942</v>
      </c>
    </row>
    <row r="255" spans="14:21">
      <c r="N255" s="208" t="s">
        <v>506</v>
      </c>
      <c r="O255" s="208" t="s">
        <v>29</v>
      </c>
      <c r="P255" s="143" t="s">
        <v>7</v>
      </c>
      <c r="Q255" s="143" t="s">
        <v>195</v>
      </c>
      <c r="R255" s="166" t="s">
        <v>358</v>
      </c>
      <c r="S255" s="210">
        <f t="shared" si="77"/>
        <v>-146.76</v>
      </c>
      <c r="T255" s="2">
        <f t="shared" si="78"/>
        <v>-146.76000000000002</v>
      </c>
      <c r="U255" s="135">
        <f>SUMIFS(S$8:S$51,P$8:P$51,P255,Q$8:Q$51,Q255,R$8:R$51,R255)</f>
        <v>489.2</v>
      </c>
    </row>
    <row r="256" spans="14:21">
      <c r="N256" s="208" t="s">
        <v>506</v>
      </c>
      <c r="O256" s="208" t="s">
        <v>29</v>
      </c>
      <c r="P256" s="143" t="s">
        <v>7</v>
      </c>
      <c r="Q256" s="143" t="s">
        <v>195</v>
      </c>
      <c r="R256" s="166" t="s">
        <v>368</v>
      </c>
      <c r="S256" s="210">
        <f t="shared" si="77"/>
        <v>1556</v>
      </c>
      <c r="T256" s="2">
        <f t="shared" si="78"/>
        <v>1556</v>
      </c>
      <c r="U256" s="135">
        <f>SUMIFS(S$8:S$51,P$8:P$51,P256,Q$8:Q$51,Q256,R$8:R$51,R256)</f>
        <v>25.933333333333334</v>
      </c>
    </row>
    <row r="257" spans="14:21">
      <c r="N257" s="209" t="s">
        <v>506</v>
      </c>
      <c r="O257" s="209" t="s">
        <v>29</v>
      </c>
      <c r="P257" s="146" t="s">
        <v>7</v>
      </c>
      <c r="Q257" s="146" t="s">
        <v>195</v>
      </c>
      <c r="R257" s="417" t="s">
        <v>168</v>
      </c>
      <c r="S257" s="211">
        <f t="shared" si="77"/>
        <v>30849.452456491777</v>
      </c>
      <c r="T257" s="2">
        <f t="shared" si="78"/>
        <v>30849.452456491777</v>
      </c>
      <c r="U257" s="135">
        <f>SUMIFS(S$8:S$51,P$8:P$51,P257,Q$8:Q$51,Q257,R$8:R$51,R257)</f>
        <v>0</v>
      </c>
    </row>
    <row r="259" spans="14:21">
      <c r="S259" s="547" t="s">
        <v>215</v>
      </c>
      <c r="T259" s="201"/>
    </row>
    <row r="260" spans="14:21">
      <c r="S260" s="548" t="s">
        <v>501</v>
      </c>
      <c r="T260" s="546">
        <f ca="1">SUM(T133:T180)-SUM(S104:S105)</f>
        <v>0</v>
      </c>
    </row>
    <row r="261" spans="14:21">
      <c r="S261" s="549" t="s">
        <v>503</v>
      </c>
      <c r="T261" s="534">
        <f ca="1">SUM(T210:T257)-SUM(S181:S182)</f>
        <v>0</v>
      </c>
    </row>
  </sheetData>
  <phoneticPr fontId="24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0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9.1640625" style="25" bestFit="1" customWidth="1"/>
    <col min="2" max="2" width="7.5" style="25" bestFit="1" customWidth="1"/>
    <col min="3" max="3" width="6.6640625" style="25" bestFit="1" customWidth="1"/>
    <col min="4" max="4" width="9.6640625" style="25" bestFit="1" customWidth="1"/>
    <col min="5" max="12" width="10.1640625" style="25" customWidth="1"/>
    <col min="13" max="13" width="46.1640625" style="152" bestFit="1" customWidth="1"/>
    <col min="14" max="14" width="7.1640625" style="152" bestFit="1" customWidth="1"/>
    <col min="15" max="15" width="15.1640625" style="152" bestFit="1" customWidth="1"/>
    <col min="16" max="16" width="12.6640625" style="152" bestFit="1" customWidth="1"/>
    <col min="17" max="17" width="10.5" style="152" bestFit="1" customWidth="1"/>
    <col min="18" max="18" width="41" style="152" bestFit="1" customWidth="1"/>
    <col min="19" max="19" width="13.33203125" style="153" customWidth="1"/>
    <col min="20" max="25" width="15.5" customWidth="1"/>
    <col min="26" max="26" width="15.5" style="234" customWidth="1"/>
    <col min="27" max="31" width="15.5" customWidth="1"/>
  </cols>
  <sheetData>
    <row r="1" spans="1:31">
      <c r="A1" s="375" t="s">
        <v>351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34"/>
    </row>
    <row r="2" spans="1:31">
      <c r="A2" s="378" t="s">
        <v>488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92"/>
    </row>
    <row r="3" spans="1:31">
      <c r="A3" s="378" t="s">
        <v>508</v>
      </c>
      <c r="B3" s="335"/>
      <c r="C3" s="335"/>
      <c r="D3" s="335"/>
      <c r="E3" s="380"/>
      <c r="F3" s="380"/>
      <c r="G3" s="380"/>
      <c r="H3" s="380"/>
      <c r="I3" s="380"/>
      <c r="J3" s="380"/>
      <c r="K3" s="380"/>
      <c r="L3" s="390"/>
    </row>
    <row r="4" spans="1:31" s="229" customFormat="1">
      <c r="A4" s="595"/>
      <c r="B4" s="595"/>
      <c r="C4" s="595"/>
      <c r="D4" s="595"/>
      <c r="E4" s="503" t="s">
        <v>622</v>
      </c>
      <c r="F4" s="503"/>
      <c r="G4" s="503"/>
      <c r="H4" s="503"/>
      <c r="I4" s="503"/>
      <c r="J4" s="503"/>
      <c r="K4" s="503"/>
      <c r="L4" s="629"/>
      <c r="M4" s="264" t="s">
        <v>567</v>
      </c>
      <c r="N4" s="308"/>
      <c r="O4" s="308"/>
      <c r="P4" s="308"/>
      <c r="Q4" s="308"/>
      <c r="R4" s="308"/>
      <c r="S4" s="309"/>
      <c r="Z4" s="340"/>
      <c r="AB4"/>
      <c r="AC4"/>
      <c r="AD4" s="307"/>
      <c r="AE4" s="368"/>
    </row>
    <row r="5" spans="1:31" s="229" customFormat="1">
      <c r="A5" s="283"/>
      <c r="B5" s="418" t="s">
        <v>490</v>
      </c>
      <c r="C5" s="418" t="s">
        <v>6</v>
      </c>
      <c r="D5" s="419"/>
      <c r="E5" s="400" t="s">
        <v>501</v>
      </c>
      <c r="F5" s="400"/>
      <c r="G5" s="376"/>
      <c r="H5" s="425"/>
      <c r="I5" s="375" t="s">
        <v>503</v>
      </c>
      <c r="J5" s="400"/>
      <c r="K5" s="376"/>
      <c r="L5" s="425"/>
      <c r="M5" s="265" t="s">
        <v>488</v>
      </c>
      <c r="N5" s="307"/>
      <c r="O5" s="307"/>
      <c r="P5" s="307"/>
      <c r="Q5" s="307"/>
      <c r="R5" s="307"/>
      <c r="S5" s="310"/>
      <c r="Z5" s="340"/>
      <c r="AB5" s="429"/>
      <c r="AC5" s="38"/>
      <c r="AD5" s="307"/>
      <c r="AE5" s="368"/>
    </row>
    <row r="6" spans="1:31">
      <c r="A6" s="220" t="s">
        <v>490</v>
      </c>
      <c r="B6" s="418" t="s">
        <v>527</v>
      </c>
      <c r="C6" s="419" t="s">
        <v>530</v>
      </c>
      <c r="D6" s="418"/>
      <c r="E6" s="627"/>
      <c r="F6" s="383"/>
      <c r="G6" s="383"/>
      <c r="H6" s="213" t="s">
        <v>494</v>
      </c>
      <c r="I6" s="383"/>
      <c r="J6" s="383"/>
      <c r="K6" s="383"/>
      <c r="L6" s="213" t="s">
        <v>494</v>
      </c>
      <c r="M6" s="248" t="s">
        <v>407</v>
      </c>
      <c r="N6" s="249"/>
      <c r="O6" s="250"/>
      <c r="P6" s="250"/>
      <c r="Q6" s="250"/>
      <c r="R6" s="251"/>
      <c r="S6" s="252"/>
      <c r="AB6" s="429"/>
      <c r="AC6" s="27"/>
      <c r="AD6" s="634"/>
      <c r="AE6" s="634"/>
    </row>
    <row r="7" spans="1:31">
      <c r="A7" s="329" t="s">
        <v>527</v>
      </c>
      <c r="B7" s="420" t="s">
        <v>202</v>
      </c>
      <c r="C7" s="420" t="s">
        <v>202</v>
      </c>
      <c r="D7" s="420" t="s">
        <v>6</v>
      </c>
      <c r="E7" s="359" t="s">
        <v>406</v>
      </c>
      <c r="F7" s="276" t="s">
        <v>412</v>
      </c>
      <c r="G7" s="211" t="s">
        <v>414</v>
      </c>
      <c r="H7" s="211" t="s">
        <v>414</v>
      </c>
      <c r="I7" s="276" t="s">
        <v>406</v>
      </c>
      <c r="J7" s="276" t="s">
        <v>412</v>
      </c>
      <c r="K7" s="211" t="s">
        <v>414</v>
      </c>
      <c r="L7" s="211" t="s">
        <v>414</v>
      </c>
      <c r="M7" s="226"/>
      <c r="N7" s="226"/>
      <c r="O7" s="226" t="s">
        <v>209</v>
      </c>
      <c r="P7" s="226" t="s">
        <v>153</v>
      </c>
      <c r="Q7" s="227" t="s">
        <v>194</v>
      </c>
      <c r="R7" s="227" t="s">
        <v>401</v>
      </c>
      <c r="S7" s="228" t="s">
        <v>206</v>
      </c>
      <c r="AB7" s="429"/>
      <c r="AC7" s="27"/>
      <c r="AD7" s="27"/>
      <c r="AE7" s="27"/>
    </row>
    <row r="8" spans="1:31">
      <c r="A8" s="220" t="s">
        <v>203</v>
      </c>
      <c r="B8" s="136">
        <v>100</v>
      </c>
      <c r="C8" s="136">
        <v>300</v>
      </c>
      <c r="D8" s="136">
        <f>B8*C8</f>
        <v>30000</v>
      </c>
      <c r="E8" s="220">
        <f t="shared" ref="E8:E28" si="0">SUMIFS(S$40:S$42,Q$40:Q$42,A8)+SUM(SUMIFS(S$43:S$44,Q$43:Q$44,A8),S$45)*B8+IF(D8&lt;=40000,S$46*D8,S$46*40000+S$47*(D8-40000))</f>
        <v>2904.8</v>
      </c>
      <c r="F8" s="136">
        <f t="shared" ref="F8:F28" ca="1" si="1">SUMIFS(S$103:S$105,Q$103:Q$105,A8)+SUM(SUMIFS(S$106:S$107,Q$106:Q$107,A8),S$108)*B8+S$109*D8</f>
        <v>2823.8199999999997</v>
      </c>
      <c r="G8" s="136">
        <f ca="1">F8-E8</f>
        <v>-80.980000000000473</v>
      </c>
      <c r="H8" s="499">
        <f ca="1">G8/E8*100</f>
        <v>-2.7877995042688126</v>
      </c>
      <c r="I8" s="136">
        <f t="shared" ref="I8:I28" ca="1" si="2">SUMIFS(S$103:S$105,Q$103:Q$105,A8)+SUM(SUMIFS(S$106:S$107,Q$106:Q$107,A8),S$108)*B8+S$109*D8</f>
        <v>2823.8199999999997</v>
      </c>
      <c r="J8" s="136">
        <f t="shared" ref="J8:J28" ca="1" si="3">SUMIFS(S$166:S$168,Q$166:Q$168,A8)+SUM(SUMIFS(S$169:S$170,Q$169:Q$170,A8),S$171)*B8+S$172*D8</f>
        <v>2921.32</v>
      </c>
      <c r="K8" s="136">
        <f ca="1">J8-I8</f>
        <v>97.500000000000455</v>
      </c>
      <c r="L8" s="499">
        <f ca="1">K8/I8*100</f>
        <v>3.452769652456618</v>
      </c>
      <c r="M8" s="254" t="s">
        <v>217</v>
      </c>
      <c r="N8" s="140" t="s">
        <v>402</v>
      </c>
      <c r="O8" s="140" t="s">
        <v>279</v>
      </c>
      <c r="P8" s="139" t="s">
        <v>4</v>
      </c>
      <c r="Q8" s="139" t="s">
        <v>203</v>
      </c>
      <c r="R8" s="139" t="s">
        <v>335</v>
      </c>
      <c r="S8" s="139">
        <f>SUMIFS('Normalized Units'!I:I,'Normalized Units'!B:B,"Normalized Billing Units",'Normalized Units'!C:C,O8,'Normalized Units'!D:D,P8,'Normalized Units'!G:G,Q8,'Normalized Units'!H:H,R8)</f>
        <v>2</v>
      </c>
      <c r="AB8" s="635"/>
      <c r="AC8" s="636"/>
      <c r="AD8" s="443"/>
      <c r="AE8" s="443"/>
    </row>
    <row r="9" spans="1:31">
      <c r="A9" s="220" t="s">
        <v>203</v>
      </c>
      <c r="B9" s="136">
        <v>100</v>
      </c>
      <c r="C9" s="220">
        <v>500</v>
      </c>
      <c r="D9" s="136">
        <f t="shared" ref="D9:D28" si="4">B9*C9</f>
        <v>50000</v>
      </c>
      <c r="E9" s="220">
        <f t="shared" si="0"/>
        <v>4205.7999999999993</v>
      </c>
      <c r="F9" s="136">
        <f t="shared" ca="1" si="1"/>
        <v>4131.82</v>
      </c>
      <c r="G9" s="136">
        <f t="shared" ref="G9:G28" ca="1" si="5">F9-E9</f>
        <v>-73.979999999999563</v>
      </c>
      <c r="H9" s="499">
        <f t="shared" ref="H9:H28" ca="1" si="6">G9/E9*100</f>
        <v>-1.7589994769128245</v>
      </c>
      <c r="I9" s="136">
        <f t="shared" ca="1" si="2"/>
        <v>4131.82</v>
      </c>
      <c r="J9" s="136">
        <f t="shared" ca="1" si="3"/>
        <v>4285.72</v>
      </c>
      <c r="K9" s="136">
        <f t="shared" ref="K9:K28" ca="1" si="7">J9-I9</f>
        <v>153.90000000000055</v>
      </c>
      <c r="L9" s="499">
        <f t="shared" ref="L9:L28" ca="1" si="8">K9/I9*100</f>
        <v>3.7247508361932651</v>
      </c>
      <c r="M9" s="230" t="s">
        <v>217</v>
      </c>
      <c r="N9" s="97" t="s">
        <v>402</v>
      </c>
      <c r="O9" s="95" t="s">
        <v>279</v>
      </c>
      <c r="P9" s="95" t="s">
        <v>4</v>
      </c>
      <c r="Q9" s="95" t="s">
        <v>284</v>
      </c>
      <c r="R9" s="95" t="s">
        <v>335</v>
      </c>
      <c r="S9" s="95">
        <f>SUMIFS('Normalized Units'!I:I,'Normalized Units'!B:B,"Normalized Billing Units",'Normalized Units'!C:C,O9,'Normalized Units'!D:D,P9,'Normalized Units'!G:G,Q9,'Normalized Units'!H:H,R9)</f>
        <v>37</v>
      </c>
      <c r="U9" s="324"/>
      <c r="V9" s="368"/>
      <c r="W9" s="368"/>
      <c r="X9" s="368"/>
      <c r="Y9" s="368"/>
      <c r="AB9" s="635"/>
      <c r="AC9" s="636"/>
      <c r="AD9" s="443"/>
      <c r="AE9" s="443"/>
    </row>
    <row r="10" spans="1:31">
      <c r="A10" s="220" t="s">
        <v>203</v>
      </c>
      <c r="B10" s="136">
        <v>100</v>
      </c>
      <c r="C10" s="220">
        <v>700</v>
      </c>
      <c r="D10" s="136">
        <f t="shared" si="4"/>
        <v>70000</v>
      </c>
      <c r="E10" s="220">
        <f t="shared" si="0"/>
        <v>5456.5999999999995</v>
      </c>
      <c r="F10" s="136">
        <f t="shared" ca="1" si="1"/>
        <v>5439.82</v>
      </c>
      <c r="G10" s="136">
        <f t="shared" ca="1" si="5"/>
        <v>-16.779999999999745</v>
      </c>
      <c r="H10" s="499">
        <f t="shared" ca="1" si="6"/>
        <v>-0.30751750174100623</v>
      </c>
      <c r="I10" s="136">
        <f t="shared" ca="1" si="2"/>
        <v>5439.82</v>
      </c>
      <c r="J10" s="136">
        <f t="shared" ca="1" si="3"/>
        <v>5650.1200000000008</v>
      </c>
      <c r="K10" s="136">
        <f t="shared" ca="1" si="7"/>
        <v>210.30000000000109</v>
      </c>
      <c r="L10" s="499">
        <f t="shared" ca="1" si="8"/>
        <v>3.865936740553936</v>
      </c>
      <c r="M10" s="230" t="s">
        <v>217</v>
      </c>
      <c r="N10" s="97" t="s">
        <v>402</v>
      </c>
      <c r="O10" s="95" t="s">
        <v>279</v>
      </c>
      <c r="P10" s="95" t="s">
        <v>4</v>
      </c>
      <c r="Q10" s="95" t="s">
        <v>204</v>
      </c>
      <c r="R10" s="95" t="s">
        <v>335</v>
      </c>
      <c r="S10" s="95">
        <f>SUMIFS('Normalized Units'!I:I,'Normalized Units'!B:B,"Normalized Billing Units",'Normalized Units'!C:C,O10,'Normalized Units'!D:D,P10,'Normalized Units'!G:G,Q10,'Normalized Units'!H:H,R10)</f>
        <v>7</v>
      </c>
      <c r="W10" s="138"/>
      <c r="X10" s="27"/>
      <c r="Y10" s="27"/>
      <c r="AB10" s="635"/>
      <c r="AC10" s="636"/>
      <c r="AD10" s="443"/>
      <c r="AE10" s="443"/>
    </row>
    <row r="11" spans="1:31">
      <c r="A11" s="220" t="s">
        <v>284</v>
      </c>
      <c r="B11" s="220">
        <v>200</v>
      </c>
      <c r="C11" s="136">
        <v>300</v>
      </c>
      <c r="D11" s="136">
        <f t="shared" si="4"/>
        <v>60000</v>
      </c>
      <c r="E11" s="220">
        <f t="shared" si="0"/>
        <v>5666.2</v>
      </c>
      <c r="F11" s="136">
        <f t="shared" ca="1" si="1"/>
        <v>5776.3099999999995</v>
      </c>
      <c r="G11" s="136">
        <f t="shared" ca="1" si="5"/>
        <v>110.10999999999967</v>
      </c>
      <c r="H11" s="499">
        <f t="shared" ca="1" si="6"/>
        <v>1.9432776816914279</v>
      </c>
      <c r="I11" s="136">
        <f t="shared" ca="1" si="2"/>
        <v>5776.3099999999995</v>
      </c>
      <c r="J11" s="136">
        <f t="shared" ca="1" si="3"/>
        <v>6145.85</v>
      </c>
      <c r="K11" s="136">
        <f t="shared" ca="1" si="7"/>
        <v>369.54000000000087</v>
      </c>
      <c r="L11" s="499">
        <f t="shared" ca="1" si="8"/>
        <v>6.3975098289392518</v>
      </c>
      <c r="M11" s="230" t="s">
        <v>217</v>
      </c>
      <c r="N11" s="97" t="s">
        <v>402</v>
      </c>
      <c r="O11" s="95" t="s">
        <v>279</v>
      </c>
      <c r="P11" s="95" t="s">
        <v>4</v>
      </c>
      <c r="Q11" s="95" t="s">
        <v>284</v>
      </c>
      <c r="R11" s="95" t="s">
        <v>281</v>
      </c>
      <c r="S11" s="95">
        <f>SUMIFS('Normalized Units'!I:I,'Normalized Units'!B:B,"Normalized Billing Units",'Normalized Units'!C:C,O11,'Normalized Units'!D:D,P11,'Normalized Units'!G:G,Q11,'Normalized Units'!H:H,R11)</f>
        <v>5273</v>
      </c>
      <c r="U11" s="637"/>
      <c r="X11" s="138"/>
      <c r="Y11" s="138"/>
      <c r="AB11" s="635"/>
      <c r="AC11" s="636"/>
      <c r="AD11" s="443"/>
      <c r="AE11" s="443"/>
    </row>
    <row r="12" spans="1:31">
      <c r="A12" s="220" t="s">
        <v>284</v>
      </c>
      <c r="B12" s="220">
        <v>200</v>
      </c>
      <c r="C12" s="220">
        <v>500</v>
      </c>
      <c r="D12" s="136">
        <f t="shared" si="4"/>
        <v>100000</v>
      </c>
      <c r="E12" s="220">
        <f t="shared" si="0"/>
        <v>8167.7999999999993</v>
      </c>
      <c r="F12" s="136">
        <f t="shared" ca="1" si="1"/>
        <v>8392.31</v>
      </c>
      <c r="G12" s="136">
        <f t="shared" ca="1" si="5"/>
        <v>224.51000000000022</v>
      </c>
      <c r="H12" s="499">
        <f t="shared" ca="1" si="6"/>
        <v>2.7487205857146386</v>
      </c>
      <c r="I12" s="136">
        <f t="shared" ca="1" si="2"/>
        <v>8392.31</v>
      </c>
      <c r="J12" s="136">
        <f t="shared" ca="1" si="3"/>
        <v>8874.65</v>
      </c>
      <c r="K12" s="136">
        <f t="shared" ca="1" si="7"/>
        <v>482.34000000000015</v>
      </c>
      <c r="L12" s="499">
        <f t="shared" ca="1" si="8"/>
        <v>5.7474044690913484</v>
      </c>
      <c r="M12" s="230" t="s">
        <v>217</v>
      </c>
      <c r="N12" s="97" t="s">
        <v>402</v>
      </c>
      <c r="O12" s="95" t="s">
        <v>279</v>
      </c>
      <c r="P12" s="95" t="s">
        <v>4</v>
      </c>
      <c r="Q12" s="95" t="s">
        <v>204</v>
      </c>
      <c r="R12" s="95" t="s">
        <v>281</v>
      </c>
      <c r="S12" s="95">
        <f>SUMIFS('Normalized Units'!I:I,'Normalized Units'!B:B,"Normalized Billing Units",'Normalized Units'!C:C,O12,'Normalized Units'!D:D,P12,'Normalized Units'!G:G,Q12,'Normalized Units'!H:H,R12)</f>
        <v>2167</v>
      </c>
      <c r="U12" s="637"/>
      <c r="X12" s="138"/>
      <c r="Y12" s="138"/>
      <c r="AB12" s="635"/>
      <c r="AC12" s="636"/>
      <c r="AD12" s="443"/>
      <c r="AE12" s="443"/>
    </row>
    <row r="13" spans="1:31">
      <c r="A13" s="220" t="s">
        <v>284</v>
      </c>
      <c r="B13" s="220">
        <v>200</v>
      </c>
      <c r="C13" s="220">
        <v>700</v>
      </c>
      <c r="D13" s="136">
        <f t="shared" si="4"/>
        <v>140000</v>
      </c>
      <c r="E13" s="220">
        <f t="shared" si="0"/>
        <v>10669.4</v>
      </c>
      <c r="F13" s="136">
        <f t="shared" ca="1" si="1"/>
        <v>11008.31</v>
      </c>
      <c r="G13" s="136">
        <f t="shared" ca="1" si="5"/>
        <v>338.90999999999985</v>
      </c>
      <c r="H13" s="499">
        <f t="shared" ca="1" si="6"/>
        <v>3.1764672802594327</v>
      </c>
      <c r="I13" s="136">
        <f t="shared" ca="1" si="2"/>
        <v>11008.31</v>
      </c>
      <c r="J13" s="136">
        <f t="shared" ca="1" si="3"/>
        <v>11603.45</v>
      </c>
      <c r="K13" s="136">
        <f t="shared" ca="1" si="7"/>
        <v>595.14000000000124</v>
      </c>
      <c r="L13" s="499">
        <f t="shared" ca="1" si="8"/>
        <v>5.4062794379882222</v>
      </c>
      <c r="M13" s="230" t="s">
        <v>217</v>
      </c>
      <c r="N13" s="97" t="s">
        <v>402</v>
      </c>
      <c r="O13" s="95" t="s">
        <v>279</v>
      </c>
      <c r="P13" s="95" t="s">
        <v>4</v>
      </c>
      <c r="Q13" s="95" t="s">
        <v>195</v>
      </c>
      <c r="R13" s="95" t="s">
        <v>202</v>
      </c>
      <c r="S13" s="95">
        <f>SUMIFS('Normalized Units'!I:I,'Normalized Units'!B:B,"Normalized Billing Units",'Normalized Units'!C:C,O13,'Normalized Units'!D:D,P13,'Normalized Units'!G:G,Q13,'Normalized Units'!H:H,R13)</f>
        <v>5873</v>
      </c>
      <c r="U13" s="637"/>
      <c r="X13" s="138"/>
      <c r="Y13" s="138"/>
      <c r="Z13"/>
      <c r="AB13" s="635"/>
      <c r="AC13" s="636"/>
      <c r="AD13" s="443"/>
      <c r="AE13" s="443"/>
    </row>
    <row r="14" spans="1:31">
      <c r="A14" s="220" t="s">
        <v>284</v>
      </c>
      <c r="B14" s="136">
        <v>300</v>
      </c>
      <c r="C14" s="136">
        <v>300</v>
      </c>
      <c r="D14" s="136">
        <f t="shared" si="4"/>
        <v>90000</v>
      </c>
      <c r="E14" s="220">
        <f t="shared" si="0"/>
        <v>8352.4</v>
      </c>
      <c r="F14" s="136">
        <f t="shared" ca="1" si="1"/>
        <v>8619.31</v>
      </c>
      <c r="G14" s="136">
        <f t="shared" ca="1" si="5"/>
        <v>266.90999999999985</v>
      </c>
      <c r="H14" s="499">
        <f t="shared" ca="1" si="6"/>
        <v>3.195608447871269</v>
      </c>
      <c r="I14" s="136">
        <f t="shared" ca="1" si="2"/>
        <v>8619.31</v>
      </c>
      <c r="J14" s="136">
        <f t="shared" ca="1" si="3"/>
        <v>9173.4500000000007</v>
      </c>
      <c r="K14" s="136">
        <f t="shared" ca="1" si="7"/>
        <v>554.14000000000124</v>
      </c>
      <c r="L14" s="499">
        <f t="shared" ca="1" si="8"/>
        <v>6.4290529056270307</v>
      </c>
      <c r="M14" s="230" t="s">
        <v>217</v>
      </c>
      <c r="N14" s="97" t="s">
        <v>402</v>
      </c>
      <c r="O14" s="95" t="s">
        <v>279</v>
      </c>
      <c r="P14" s="95" t="s">
        <v>4</v>
      </c>
      <c r="Q14" s="95" t="s">
        <v>195</v>
      </c>
      <c r="R14" s="95" t="s">
        <v>197</v>
      </c>
      <c r="S14" s="95">
        <f>SUMIFS('Normalized Units'!I:I,'Normalized Units'!B:B,"Normalized Billing Units",'Normalized Units'!C:C,O14,'Normalized Units'!D:D,P14,'Normalized Units'!G:G,Q14,'Normalized Units'!H:H,R14)</f>
        <v>1479518.9669764682</v>
      </c>
      <c r="U14" s="72"/>
      <c r="X14" s="138"/>
      <c r="Y14" s="138"/>
      <c r="Z14"/>
      <c r="AB14" s="635"/>
      <c r="AC14" s="636"/>
      <c r="AD14" s="443"/>
      <c r="AE14" s="443"/>
    </row>
    <row r="15" spans="1:31">
      <c r="A15" s="220" t="s">
        <v>284</v>
      </c>
      <c r="B15" s="136">
        <v>300</v>
      </c>
      <c r="C15" s="220">
        <v>500</v>
      </c>
      <c r="D15" s="136">
        <f t="shared" si="4"/>
        <v>150000</v>
      </c>
      <c r="E15" s="220">
        <f t="shared" si="0"/>
        <v>12104.8</v>
      </c>
      <c r="F15" s="136">
        <f t="shared" ca="1" si="1"/>
        <v>12543.31</v>
      </c>
      <c r="G15" s="136">
        <f t="shared" ca="1" si="5"/>
        <v>438.51000000000022</v>
      </c>
      <c r="H15" s="499">
        <f t="shared" ca="1" si="6"/>
        <v>3.6226125173484918</v>
      </c>
      <c r="I15" s="136">
        <f t="shared" ca="1" si="2"/>
        <v>12543.31</v>
      </c>
      <c r="J15" s="136">
        <f t="shared" ca="1" si="3"/>
        <v>13266.65</v>
      </c>
      <c r="K15" s="136">
        <f t="shared" ca="1" si="7"/>
        <v>723.34000000000015</v>
      </c>
      <c r="L15" s="499">
        <f t="shared" ca="1" si="8"/>
        <v>5.7667394013222992</v>
      </c>
      <c r="M15" s="230" t="s">
        <v>217</v>
      </c>
      <c r="N15" s="97" t="s">
        <v>402</v>
      </c>
      <c r="O15" s="95" t="s">
        <v>279</v>
      </c>
      <c r="P15" s="95" t="s">
        <v>4</v>
      </c>
      <c r="Q15" s="95" t="s">
        <v>195</v>
      </c>
      <c r="R15" s="95" t="s">
        <v>198</v>
      </c>
      <c r="S15" s="95">
        <f>SUMIFS('Normalized Units'!I:I,'Normalized Units'!B:B,"Normalized Billing Units",'Normalized Units'!C:C,O15,'Normalized Units'!D:D,P15,'Normalized Units'!G:G,Q15,'Normalized Units'!H:H,R15)</f>
        <v>811580.59804120462</v>
      </c>
      <c r="U15" s="637"/>
      <c r="X15" s="138"/>
      <c r="Y15" s="138"/>
      <c r="Z15"/>
      <c r="AB15" s="635"/>
      <c r="AC15" s="636"/>
      <c r="AD15" s="443"/>
      <c r="AE15" s="443"/>
    </row>
    <row r="16" spans="1:31">
      <c r="A16" s="220" t="s">
        <v>284</v>
      </c>
      <c r="B16" s="136">
        <v>300</v>
      </c>
      <c r="C16" s="220">
        <v>700</v>
      </c>
      <c r="D16" s="136">
        <f t="shared" si="4"/>
        <v>210000</v>
      </c>
      <c r="E16" s="220">
        <f t="shared" si="0"/>
        <v>15857.199999999999</v>
      </c>
      <c r="F16" s="136">
        <f t="shared" ca="1" si="1"/>
        <v>16467.310000000001</v>
      </c>
      <c r="G16" s="136">
        <f t="shared" ca="1" si="5"/>
        <v>610.1100000000024</v>
      </c>
      <c r="H16" s="499">
        <f t="shared" ca="1" si="6"/>
        <v>3.8475266755795627</v>
      </c>
      <c r="I16" s="136">
        <f t="shared" ca="1" si="2"/>
        <v>16467.310000000001</v>
      </c>
      <c r="J16" s="136">
        <f t="shared" ca="1" si="3"/>
        <v>17359.850000000002</v>
      </c>
      <c r="K16" s="136">
        <f t="shared" ca="1" si="7"/>
        <v>892.54000000000087</v>
      </c>
      <c r="L16" s="499">
        <f t="shared" ca="1" si="8"/>
        <v>5.4200716449741986</v>
      </c>
      <c r="M16" s="230" t="s">
        <v>217</v>
      </c>
      <c r="N16" s="97" t="s">
        <v>402</v>
      </c>
      <c r="O16" s="95" t="s">
        <v>279</v>
      </c>
      <c r="P16" s="95" t="s">
        <v>5</v>
      </c>
      <c r="Q16" s="95" t="s">
        <v>203</v>
      </c>
      <c r="R16" s="95" t="s">
        <v>335</v>
      </c>
      <c r="S16" s="95">
        <f>SUMIFS('Normalized Units'!I:I,'Normalized Units'!B:B,"Normalized Billing Units",'Normalized Units'!C:C,O16,'Normalized Units'!D:D,P16,'Normalized Units'!G:G,Q16,'Normalized Units'!H:H,R16)</f>
        <v>231.48648041034534</v>
      </c>
      <c r="U16" s="637"/>
      <c r="X16" s="138"/>
      <c r="Y16" s="138"/>
      <c r="Z16"/>
      <c r="AB16" s="635"/>
      <c r="AC16" s="636"/>
      <c r="AD16" s="443"/>
      <c r="AE16" s="443"/>
    </row>
    <row r="17" spans="1:31">
      <c r="A17" s="220" t="s">
        <v>204</v>
      </c>
      <c r="B17" s="220">
        <v>400</v>
      </c>
      <c r="C17" s="136">
        <v>300</v>
      </c>
      <c r="D17" s="136">
        <f t="shared" si="4"/>
        <v>120000</v>
      </c>
      <c r="E17" s="220">
        <f t="shared" si="0"/>
        <v>11002.599999999999</v>
      </c>
      <c r="F17" s="136">
        <f t="shared" ca="1" si="1"/>
        <v>11363.64</v>
      </c>
      <c r="G17" s="136">
        <f t="shared" ca="1" si="5"/>
        <v>361.04000000000087</v>
      </c>
      <c r="H17" s="499">
        <f t="shared" ca="1" si="6"/>
        <v>3.281406213076917</v>
      </c>
      <c r="I17" s="136">
        <f t="shared" ca="1" si="2"/>
        <v>11363.64</v>
      </c>
      <c r="J17" s="136">
        <f t="shared" ca="1" si="3"/>
        <v>12038.710000000001</v>
      </c>
      <c r="K17" s="136">
        <f t="shared" ca="1" si="7"/>
        <v>675.07000000000153</v>
      </c>
      <c r="L17" s="499">
        <f t="shared" ca="1" si="8"/>
        <v>5.9406140990035023</v>
      </c>
      <c r="M17" s="230" t="s">
        <v>217</v>
      </c>
      <c r="N17" s="97" t="s">
        <v>402</v>
      </c>
      <c r="O17" s="95" t="s">
        <v>279</v>
      </c>
      <c r="P17" s="95" t="s">
        <v>5</v>
      </c>
      <c r="Q17" s="95" t="s">
        <v>284</v>
      </c>
      <c r="R17" s="95" t="s">
        <v>335</v>
      </c>
      <c r="S17" s="95">
        <f>SUMIFS('Normalized Units'!I:I,'Normalized Units'!B:B,"Normalized Billing Units",'Normalized Units'!C:C,O17,'Normalized Units'!D:D,P17,'Normalized Units'!G:G,Q17,'Normalized Units'!H:H,R17)</f>
        <v>8003.4963466443714</v>
      </c>
      <c r="U17" s="637"/>
      <c r="X17" s="138"/>
      <c r="Y17" s="138"/>
      <c r="Z17"/>
      <c r="AB17" s="635"/>
      <c r="AC17" s="636"/>
      <c r="AD17" s="443"/>
      <c r="AE17" s="443"/>
    </row>
    <row r="18" spans="1:31">
      <c r="A18" s="220" t="s">
        <v>204</v>
      </c>
      <c r="B18" s="220">
        <v>400</v>
      </c>
      <c r="C18" s="220">
        <v>500</v>
      </c>
      <c r="D18" s="136">
        <f t="shared" si="4"/>
        <v>200000</v>
      </c>
      <c r="E18" s="220">
        <f t="shared" si="0"/>
        <v>16005.8</v>
      </c>
      <c r="F18" s="136">
        <f t="shared" ca="1" si="1"/>
        <v>16595.64</v>
      </c>
      <c r="G18" s="136">
        <f t="shared" ca="1" si="5"/>
        <v>589.84000000000015</v>
      </c>
      <c r="H18" s="499">
        <f t="shared" ca="1" si="6"/>
        <v>3.6851641280036</v>
      </c>
      <c r="I18" s="136">
        <f t="shared" ca="1" si="2"/>
        <v>16595.64</v>
      </c>
      <c r="J18" s="136">
        <f t="shared" ca="1" si="3"/>
        <v>17496.310000000001</v>
      </c>
      <c r="K18" s="136">
        <f t="shared" ca="1" si="7"/>
        <v>900.67000000000189</v>
      </c>
      <c r="L18" s="499">
        <f t="shared" ca="1" si="8"/>
        <v>5.4271483353459216</v>
      </c>
      <c r="M18" s="230" t="s">
        <v>217</v>
      </c>
      <c r="N18" s="97" t="s">
        <v>402</v>
      </c>
      <c r="O18" s="95" t="s">
        <v>279</v>
      </c>
      <c r="P18" s="95" t="s">
        <v>5</v>
      </c>
      <c r="Q18" s="95" t="s">
        <v>204</v>
      </c>
      <c r="R18" s="95" t="s">
        <v>335</v>
      </c>
      <c r="S18" s="95">
        <f>SUMIFS('Normalized Units'!I:I,'Normalized Units'!B:B,"Normalized Billing Units",'Normalized Units'!C:C,O18,'Normalized Units'!D:D,P18,'Normalized Units'!G:G,Q18,'Normalized Units'!H:H,R18)</f>
        <v>3417.4838396119494</v>
      </c>
      <c r="U18" s="637"/>
      <c r="X18" s="138"/>
      <c r="Y18" s="138"/>
      <c r="Z18"/>
      <c r="AB18" s="635"/>
      <c r="AC18" s="636"/>
      <c r="AD18" s="443"/>
      <c r="AE18" s="443"/>
    </row>
    <row r="19" spans="1:31">
      <c r="A19" s="220" t="s">
        <v>204</v>
      </c>
      <c r="B19" s="220">
        <v>400</v>
      </c>
      <c r="C19" s="220">
        <v>700</v>
      </c>
      <c r="D19" s="136">
        <f t="shared" si="4"/>
        <v>280000</v>
      </c>
      <c r="E19" s="220">
        <f t="shared" si="0"/>
        <v>21009</v>
      </c>
      <c r="F19" s="136">
        <f t="shared" ca="1" si="1"/>
        <v>21827.64</v>
      </c>
      <c r="G19" s="136">
        <f t="shared" ca="1" si="5"/>
        <v>818.63999999999942</v>
      </c>
      <c r="H19" s="499">
        <f t="shared" ca="1" si="6"/>
        <v>3.896615736113092</v>
      </c>
      <c r="I19" s="136">
        <f t="shared" ca="1" si="2"/>
        <v>21827.64</v>
      </c>
      <c r="J19" s="136">
        <f t="shared" ca="1" si="3"/>
        <v>22953.910000000003</v>
      </c>
      <c r="K19" s="136">
        <f t="shared" ca="1" si="7"/>
        <v>1126.2700000000041</v>
      </c>
      <c r="L19" s="499">
        <f t="shared" ca="1" si="8"/>
        <v>5.1598340452747253</v>
      </c>
      <c r="M19" s="230" t="s">
        <v>217</v>
      </c>
      <c r="N19" s="97" t="s">
        <v>402</v>
      </c>
      <c r="O19" s="95" t="s">
        <v>279</v>
      </c>
      <c r="P19" s="95" t="s">
        <v>5</v>
      </c>
      <c r="Q19" s="95" t="s">
        <v>284</v>
      </c>
      <c r="R19" s="95" t="s">
        <v>281</v>
      </c>
      <c r="S19" s="95">
        <f>SUMIFS('Normalized Units'!I:I,'Normalized Units'!B:B,"Normalized Billing Units",'Normalized Units'!C:C,O19,'Normalized Units'!D:D,P19,'Normalized Units'!G:G,Q19,'Normalized Units'!H:H,R19)</f>
        <v>1389404.3666666667</v>
      </c>
      <c r="U19" s="637"/>
      <c r="X19" s="2"/>
      <c r="Y19" s="2"/>
      <c r="Z19"/>
      <c r="AB19" s="635"/>
      <c r="AC19" s="636"/>
      <c r="AD19" s="443"/>
      <c r="AE19" s="443"/>
    </row>
    <row r="20" spans="1:31">
      <c r="A20" s="220" t="s">
        <v>204</v>
      </c>
      <c r="B20" s="136">
        <v>600</v>
      </c>
      <c r="C20" s="136">
        <v>300</v>
      </c>
      <c r="D20" s="136">
        <f t="shared" si="4"/>
        <v>180000</v>
      </c>
      <c r="E20" s="220">
        <f t="shared" si="0"/>
        <v>16311</v>
      </c>
      <c r="F20" s="136">
        <f t="shared" ca="1" si="1"/>
        <v>16955.64</v>
      </c>
      <c r="G20" s="136">
        <f t="shared" ca="1" si="5"/>
        <v>644.63999999999942</v>
      </c>
      <c r="H20" s="499">
        <f t="shared" ca="1" si="6"/>
        <v>3.9521795107596063</v>
      </c>
      <c r="I20" s="136">
        <f t="shared" ca="1" si="2"/>
        <v>16955.64</v>
      </c>
      <c r="J20" s="136">
        <f t="shared" ca="1" si="3"/>
        <v>17967.91</v>
      </c>
      <c r="K20" s="136">
        <f t="shared" ca="1" si="7"/>
        <v>1012.2700000000004</v>
      </c>
      <c r="L20" s="499">
        <f t="shared" ca="1" si="8"/>
        <v>5.9701078815072774</v>
      </c>
      <c r="M20" s="230" t="s">
        <v>217</v>
      </c>
      <c r="N20" s="97" t="s">
        <v>402</v>
      </c>
      <c r="O20" s="95" t="s">
        <v>279</v>
      </c>
      <c r="P20" s="95" t="s">
        <v>5</v>
      </c>
      <c r="Q20" s="95" t="s">
        <v>204</v>
      </c>
      <c r="R20" s="95" t="s">
        <v>281</v>
      </c>
      <c r="S20" s="95">
        <f>SUMIFS('Normalized Units'!I:I,'Normalized Units'!B:B,"Normalized Billing Units",'Normalized Units'!C:C,O20,'Normalized Units'!D:D,P20,'Normalized Units'!G:G,Q20,'Normalized Units'!H:H,R20)</f>
        <v>1689588.1328828828</v>
      </c>
      <c r="U20" s="637"/>
      <c r="X20" s="2"/>
      <c r="Y20" s="2"/>
      <c r="Z20"/>
      <c r="AB20" s="635"/>
      <c r="AC20" s="636"/>
      <c r="AD20" s="443"/>
      <c r="AE20" s="443"/>
    </row>
    <row r="21" spans="1:31">
      <c r="A21" s="220" t="s">
        <v>204</v>
      </c>
      <c r="B21" s="136">
        <v>600</v>
      </c>
      <c r="C21" s="220">
        <v>500</v>
      </c>
      <c r="D21" s="136">
        <f t="shared" si="4"/>
        <v>300000</v>
      </c>
      <c r="E21" s="220">
        <f t="shared" si="0"/>
        <v>23815.8</v>
      </c>
      <c r="F21" s="136">
        <f t="shared" ca="1" si="1"/>
        <v>24803.64</v>
      </c>
      <c r="G21" s="136">
        <f t="shared" ca="1" si="5"/>
        <v>987.84000000000015</v>
      </c>
      <c r="H21" s="499">
        <f t="shared" ca="1" si="6"/>
        <v>4.1478346307913245</v>
      </c>
      <c r="I21" s="136">
        <f t="shared" ca="1" si="2"/>
        <v>24803.64</v>
      </c>
      <c r="J21" s="136">
        <f t="shared" ca="1" si="3"/>
        <v>26154.31</v>
      </c>
      <c r="K21" s="136">
        <f t="shared" ca="1" si="7"/>
        <v>1350.6700000000019</v>
      </c>
      <c r="L21" s="499">
        <f t="shared" ca="1" si="8"/>
        <v>5.44545074835791</v>
      </c>
      <c r="M21" s="230" t="s">
        <v>217</v>
      </c>
      <c r="N21" s="97" t="s">
        <v>402</v>
      </c>
      <c r="O21" s="95" t="s">
        <v>279</v>
      </c>
      <c r="P21" s="95" t="s">
        <v>5</v>
      </c>
      <c r="Q21" s="95" t="s">
        <v>195</v>
      </c>
      <c r="R21" s="95" t="s">
        <v>202</v>
      </c>
      <c r="S21" s="95">
        <f>SUMIFS('Normalized Units'!I:I,'Normalized Units'!B:B,"Normalized Billing Units",'Normalized Units'!C:C,O21,'Normalized Units'!D:D,P21,'Normalized Units'!G:G,Q21,'Normalized Units'!H:H,R21)</f>
        <v>2267892.5</v>
      </c>
      <c r="U21" s="637"/>
      <c r="X21" s="2"/>
      <c r="Y21" s="2"/>
      <c r="Z21"/>
      <c r="AB21" s="635"/>
      <c r="AC21" s="636"/>
      <c r="AD21" s="443"/>
      <c r="AE21" s="443"/>
    </row>
    <row r="22" spans="1:31">
      <c r="A22" s="220" t="s">
        <v>204</v>
      </c>
      <c r="B22" s="136">
        <v>600</v>
      </c>
      <c r="C22" s="220">
        <v>700</v>
      </c>
      <c r="D22" s="136">
        <f t="shared" si="4"/>
        <v>420000</v>
      </c>
      <c r="E22" s="220">
        <f t="shared" si="0"/>
        <v>31320.6</v>
      </c>
      <c r="F22" s="136">
        <f t="shared" ca="1" si="1"/>
        <v>32651.64</v>
      </c>
      <c r="G22" s="136">
        <f t="shared" ca="1" si="5"/>
        <v>1331.0400000000009</v>
      </c>
      <c r="H22" s="499">
        <f t="shared" ca="1" si="6"/>
        <v>4.2497270167238206</v>
      </c>
      <c r="I22" s="136">
        <f t="shared" ca="1" si="2"/>
        <v>32651.64</v>
      </c>
      <c r="J22" s="136">
        <f t="shared" ca="1" si="3"/>
        <v>34340.71</v>
      </c>
      <c r="K22" s="136">
        <f t="shared" ca="1" si="7"/>
        <v>1689.0699999999997</v>
      </c>
      <c r="L22" s="499">
        <f t="shared" ca="1" si="8"/>
        <v>5.1730020299133512</v>
      </c>
      <c r="M22" s="230" t="s">
        <v>217</v>
      </c>
      <c r="N22" s="97" t="s">
        <v>402</v>
      </c>
      <c r="O22" s="95" t="s">
        <v>279</v>
      </c>
      <c r="P22" s="95" t="s">
        <v>5</v>
      </c>
      <c r="Q22" s="95" t="s">
        <v>195</v>
      </c>
      <c r="R22" s="95" t="s">
        <v>197</v>
      </c>
      <c r="S22" s="95">
        <f>SUMIFS('Normalized Units'!I:I,'Normalized Units'!B:B,"Normalized Billing Units",'Normalized Units'!C:C,O22,'Normalized Units'!D:D,P22,'Normalized Units'!G:G,Q22,'Normalized Units'!H:H,R22)</f>
        <v>370617327.95669943</v>
      </c>
      <c r="U22" s="637"/>
      <c r="X22" s="2"/>
      <c r="Y22" s="2"/>
      <c r="AB22" s="635"/>
      <c r="AC22" s="636"/>
      <c r="AD22" s="443"/>
      <c r="AE22" s="443"/>
    </row>
    <row r="23" spans="1:31">
      <c r="A23" s="220" t="s">
        <v>204</v>
      </c>
      <c r="B23" s="136">
        <v>800</v>
      </c>
      <c r="C23" s="136">
        <v>300</v>
      </c>
      <c r="D23" s="136">
        <f t="shared" si="4"/>
        <v>240000</v>
      </c>
      <c r="E23" s="220">
        <f t="shared" si="0"/>
        <v>21619.399999999998</v>
      </c>
      <c r="F23" s="136">
        <f t="shared" ca="1" si="1"/>
        <v>22547.64</v>
      </c>
      <c r="G23" s="136">
        <f t="shared" ca="1" si="5"/>
        <v>928.2400000000016</v>
      </c>
      <c r="H23" s="499">
        <f t="shared" ca="1" si="6"/>
        <v>4.2935511623819433</v>
      </c>
      <c r="I23" s="136">
        <f t="shared" ca="1" si="2"/>
        <v>22547.64</v>
      </c>
      <c r="J23" s="136">
        <f t="shared" ca="1" si="3"/>
        <v>23897.11</v>
      </c>
      <c r="K23" s="136">
        <f t="shared" ca="1" si="7"/>
        <v>1349.4700000000012</v>
      </c>
      <c r="L23" s="499">
        <f t="shared" ca="1" si="8"/>
        <v>5.9849722631725593</v>
      </c>
      <c r="M23" s="230" t="s">
        <v>217</v>
      </c>
      <c r="N23" s="97" t="s">
        <v>402</v>
      </c>
      <c r="O23" s="95" t="s">
        <v>279</v>
      </c>
      <c r="P23" s="95" t="s">
        <v>5</v>
      </c>
      <c r="Q23" s="95" t="s">
        <v>195</v>
      </c>
      <c r="R23" s="95" t="s">
        <v>198</v>
      </c>
      <c r="S23" s="95">
        <f>SUMIFS('Normalized Units'!I:I,'Normalized Units'!B:B,"Normalized Billing Units",'Normalized Units'!C:C,O23,'Normalized Units'!D:D,P23,'Normalized Units'!G:G,Q23,'Normalized Units'!H:H,R23)</f>
        <v>466062388.12491369</v>
      </c>
      <c r="AB23" s="635"/>
      <c r="AC23" s="636"/>
      <c r="AD23" s="443"/>
      <c r="AE23" s="443"/>
    </row>
    <row r="24" spans="1:31">
      <c r="A24" s="220" t="s">
        <v>204</v>
      </c>
      <c r="B24" s="136">
        <v>800</v>
      </c>
      <c r="C24" s="220">
        <v>500</v>
      </c>
      <c r="D24" s="136">
        <f t="shared" si="4"/>
        <v>400000</v>
      </c>
      <c r="E24" s="220">
        <f t="shared" si="0"/>
        <v>31625.799999999996</v>
      </c>
      <c r="F24" s="136">
        <f t="shared" ca="1" si="1"/>
        <v>33011.64</v>
      </c>
      <c r="G24" s="136">
        <f t="shared" ca="1" si="5"/>
        <v>1385.8400000000038</v>
      </c>
      <c r="H24" s="499">
        <f t="shared" ca="1" si="6"/>
        <v>4.3819919179910194</v>
      </c>
      <c r="I24" s="136">
        <f t="shared" ca="1" si="2"/>
        <v>33011.64</v>
      </c>
      <c r="J24" s="136">
        <f t="shared" ca="1" si="3"/>
        <v>34812.31</v>
      </c>
      <c r="K24" s="136">
        <f t="shared" ca="1" si="7"/>
        <v>1800.6699999999983</v>
      </c>
      <c r="L24" s="499">
        <f t="shared" ca="1" si="8"/>
        <v>5.4546517531391903</v>
      </c>
      <c r="M24" s="230" t="s">
        <v>217</v>
      </c>
      <c r="N24" s="97" t="s">
        <v>402</v>
      </c>
      <c r="O24" s="95" t="s">
        <v>279</v>
      </c>
      <c r="P24" s="95" t="s">
        <v>5</v>
      </c>
      <c r="Q24" s="95" t="s">
        <v>195</v>
      </c>
      <c r="R24" s="95" t="s">
        <v>201</v>
      </c>
      <c r="S24" s="95">
        <f>SUMIFS('Normalized Units'!I:I,'Normalized Units'!B:B,"Normalized Billing Units",'Normalized Units'!C:C,O24,'Normalized Units'!D:D,P24,'Normalized Units'!G:G,Q24,'Normalized Units'!H:H,R24)</f>
        <v>322568.75862068968</v>
      </c>
      <c r="AB24" s="635"/>
      <c r="AC24" s="636"/>
      <c r="AD24" s="443"/>
      <c r="AE24" s="443"/>
    </row>
    <row r="25" spans="1:31">
      <c r="A25" s="220" t="s">
        <v>204</v>
      </c>
      <c r="B25" s="136">
        <v>800</v>
      </c>
      <c r="C25" s="220">
        <v>700</v>
      </c>
      <c r="D25" s="136">
        <f t="shared" si="4"/>
        <v>560000</v>
      </c>
      <c r="E25" s="220">
        <f t="shared" si="0"/>
        <v>41632.199999999997</v>
      </c>
      <c r="F25" s="136">
        <f t="shared" ca="1" si="1"/>
        <v>43475.64</v>
      </c>
      <c r="G25" s="136">
        <f t="shared" ca="1" si="5"/>
        <v>1843.4400000000023</v>
      </c>
      <c r="H25" s="499">
        <f t="shared" ca="1" si="6"/>
        <v>4.4279187744101982</v>
      </c>
      <c r="I25" s="136">
        <f t="shared" ca="1" si="2"/>
        <v>43475.64</v>
      </c>
      <c r="J25" s="136">
        <f t="shared" ca="1" si="3"/>
        <v>45727.51</v>
      </c>
      <c r="K25" s="136">
        <f t="shared" ca="1" si="7"/>
        <v>2251.8700000000026</v>
      </c>
      <c r="L25" s="499">
        <f t="shared" ca="1" si="8"/>
        <v>5.1796132270853352</v>
      </c>
      <c r="M25" s="230" t="s">
        <v>217</v>
      </c>
      <c r="N25" s="97" t="s">
        <v>402</v>
      </c>
      <c r="O25" s="95" t="s">
        <v>279</v>
      </c>
      <c r="P25" s="95" t="s">
        <v>5</v>
      </c>
      <c r="Q25" s="95" t="s">
        <v>195</v>
      </c>
      <c r="R25" s="143" t="s">
        <v>367</v>
      </c>
      <c r="S25" s="95">
        <f>SUMIFS('Normalized Units'!I:I,'Normalized Units'!B:B,"Normalized Billing Units",'Normalized Units'!C:C,O25,'Normalized Units'!D:D,P25,'Normalized Units'!G:G,Q25,'Normalized Units'!H:H,R25)</f>
        <v>907042</v>
      </c>
      <c r="U25" s="638"/>
      <c r="V25" s="368"/>
      <c r="W25" s="368"/>
      <c r="X25" s="368"/>
      <c r="Y25" s="368"/>
      <c r="AB25" s="635"/>
      <c r="AC25" s="636"/>
      <c r="AD25" s="443"/>
      <c r="AE25" s="443"/>
    </row>
    <row r="26" spans="1:31">
      <c r="A26" s="220" t="s">
        <v>204</v>
      </c>
      <c r="B26" s="220">
        <v>1000</v>
      </c>
      <c r="C26" s="136">
        <v>300</v>
      </c>
      <c r="D26" s="136">
        <f t="shared" si="4"/>
        <v>300000</v>
      </c>
      <c r="E26" s="220">
        <f t="shared" si="0"/>
        <v>26927.8</v>
      </c>
      <c r="F26" s="136">
        <f t="shared" ca="1" si="1"/>
        <v>28139.64</v>
      </c>
      <c r="G26" s="136">
        <f t="shared" ca="1" si="5"/>
        <v>1211.8400000000001</v>
      </c>
      <c r="H26" s="499">
        <f t="shared" ca="1" si="6"/>
        <v>4.5003305134470706</v>
      </c>
      <c r="I26" s="136">
        <f t="shared" ca="1" si="2"/>
        <v>28139.64</v>
      </c>
      <c r="J26" s="136">
        <f t="shared" ca="1" si="3"/>
        <v>29826.309999999998</v>
      </c>
      <c r="K26" s="136">
        <f t="shared" ca="1" si="7"/>
        <v>1686.6699999999983</v>
      </c>
      <c r="L26" s="499">
        <f t="shared" ca="1" si="8"/>
        <v>5.9939288491252851</v>
      </c>
      <c r="M26" s="230" t="s">
        <v>217</v>
      </c>
      <c r="N26" s="97" t="s">
        <v>402</v>
      </c>
      <c r="O26" s="95" t="s">
        <v>279</v>
      </c>
      <c r="P26" s="95" t="s">
        <v>5</v>
      </c>
      <c r="Q26" s="95" t="s">
        <v>195</v>
      </c>
      <c r="R26" s="143" t="s">
        <v>358</v>
      </c>
      <c r="S26" s="95">
        <f>SUMIFS('Normalized Units'!I:I,'Normalized Units'!B:B,"Normalized Billing Units",'Normalized Units'!C:C,O26,'Normalized Units'!D:D,P26,'Normalized Units'!G:G,Q26,'Normalized Units'!H:H,R26)</f>
        <v>44474</v>
      </c>
      <c r="W26" s="138"/>
      <c r="X26" s="27"/>
      <c r="Y26" s="27"/>
      <c r="AB26" s="635"/>
      <c r="AC26" s="636"/>
      <c r="AD26" s="443"/>
      <c r="AE26" s="443"/>
    </row>
    <row r="27" spans="1:31">
      <c r="A27" s="220" t="s">
        <v>204</v>
      </c>
      <c r="B27" s="220">
        <v>1000</v>
      </c>
      <c r="C27" s="220">
        <v>500</v>
      </c>
      <c r="D27" s="136">
        <f t="shared" si="4"/>
        <v>500000</v>
      </c>
      <c r="E27" s="220">
        <f t="shared" si="0"/>
        <v>39435.799999999996</v>
      </c>
      <c r="F27" s="136">
        <f t="shared" ca="1" si="1"/>
        <v>41219.64</v>
      </c>
      <c r="G27" s="136">
        <f t="shared" ca="1" si="5"/>
        <v>1783.8400000000038</v>
      </c>
      <c r="H27" s="499">
        <f t="shared" ca="1" si="6"/>
        <v>4.5234025935824906</v>
      </c>
      <c r="I27" s="136">
        <f t="shared" ca="1" si="2"/>
        <v>41219.64</v>
      </c>
      <c r="J27" s="136">
        <f t="shared" ca="1" si="3"/>
        <v>43470.31</v>
      </c>
      <c r="K27" s="136">
        <f t="shared" ca="1" si="7"/>
        <v>2250.6699999999983</v>
      </c>
      <c r="L27" s="499">
        <f t="shared" ca="1" si="8"/>
        <v>5.460188395628875</v>
      </c>
      <c r="M27" s="230" t="s">
        <v>217</v>
      </c>
      <c r="N27" s="97" t="s">
        <v>402</v>
      </c>
      <c r="O27" s="95" t="s">
        <v>279</v>
      </c>
      <c r="P27" s="95" t="s">
        <v>5</v>
      </c>
      <c r="Q27" s="95" t="s">
        <v>195</v>
      </c>
      <c r="R27" s="143" t="s">
        <v>368</v>
      </c>
      <c r="S27" s="95">
        <f>SUMIFS('Normalized Units'!I:I,'Normalized Units'!B:B,"Normalized Billing Units",'Normalized Units'!C:C,O27,'Normalized Units'!D:D,P27,'Normalized Units'!G:G,Q27,'Normalized Units'!H:H,R27)</f>
        <v>108</v>
      </c>
      <c r="U27" s="637"/>
      <c r="X27" s="138"/>
      <c r="Y27" s="138"/>
      <c r="AB27" s="635"/>
      <c r="AC27" s="636"/>
      <c r="AD27" s="443"/>
      <c r="AE27" s="443"/>
    </row>
    <row r="28" spans="1:31">
      <c r="A28" s="329" t="s">
        <v>204</v>
      </c>
      <c r="B28" s="329">
        <v>1000</v>
      </c>
      <c r="C28" s="329">
        <v>700</v>
      </c>
      <c r="D28" s="137">
        <f t="shared" si="4"/>
        <v>700000</v>
      </c>
      <c r="E28" s="329">
        <f t="shared" si="0"/>
        <v>51943.8</v>
      </c>
      <c r="F28" s="137">
        <f t="shared" ca="1" si="1"/>
        <v>54299.64</v>
      </c>
      <c r="G28" s="137">
        <f t="shared" ca="1" si="5"/>
        <v>2355.8399999999965</v>
      </c>
      <c r="H28" s="500">
        <f t="shared" ca="1" si="6"/>
        <v>4.5353632194795077</v>
      </c>
      <c r="I28" s="136">
        <f t="shared" ca="1" si="2"/>
        <v>54299.64</v>
      </c>
      <c r="J28" s="137">
        <f t="shared" ca="1" si="3"/>
        <v>57114.31</v>
      </c>
      <c r="K28" s="137">
        <f t="shared" ca="1" si="7"/>
        <v>2814.6699999999983</v>
      </c>
      <c r="L28" s="500">
        <f t="shared" ca="1" si="8"/>
        <v>5.1835886941423519</v>
      </c>
      <c r="M28" s="230" t="s">
        <v>217</v>
      </c>
      <c r="N28" s="97" t="s">
        <v>402</v>
      </c>
      <c r="O28" s="95" t="s">
        <v>279</v>
      </c>
      <c r="P28" s="95" t="s">
        <v>7</v>
      </c>
      <c r="Q28" s="95" t="s">
        <v>203</v>
      </c>
      <c r="R28" s="95" t="s">
        <v>335</v>
      </c>
      <c r="S28" s="95">
        <f>SUMIFS('Normalized Units'!I:I,'Normalized Units'!B:B,"Normalized Billing Units",'Normalized Units'!C:C,O28,'Normalized Units'!D:D,P28,'Normalized Units'!G:G,Q28,'Normalized Units'!H:H,R28)</f>
        <v>46.766666666666666</v>
      </c>
      <c r="U28" s="637"/>
      <c r="X28" s="138"/>
      <c r="Y28" s="138"/>
      <c r="AB28" s="635"/>
      <c r="AC28" s="636"/>
      <c r="AD28" s="443"/>
      <c r="AE28" s="443"/>
    </row>
    <row r="29" spans="1:31">
      <c r="A29" s="421" t="s">
        <v>510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625"/>
      <c r="M29" s="230" t="s">
        <v>217</v>
      </c>
      <c r="N29" s="97" t="s">
        <v>402</v>
      </c>
      <c r="O29" s="95" t="s">
        <v>279</v>
      </c>
      <c r="P29" s="95" t="s">
        <v>7</v>
      </c>
      <c r="Q29" s="95" t="s">
        <v>284</v>
      </c>
      <c r="R29" s="95" t="s">
        <v>335</v>
      </c>
      <c r="S29" s="95">
        <f>SUMIFS('Normalized Units'!I:I,'Normalized Units'!B:B,"Normalized Billing Units",'Normalized Units'!C:C,O29,'Normalized Units'!D:D,P29,'Normalized Units'!G:G,Q29,'Normalized Units'!H:H,R29)</f>
        <v>650.6</v>
      </c>
      <c r="U29" s="637"/>
      <c r="X29" s="138"/>
      <c r="Y29" s="138"/>
      <c r="AB29" s="635"/>
      <c r="AC29" s="636"/>
      <c r="AD29" s="443"/>
      <c r="AE29" s="443"/>
    </row>
    <row r="30" spans="1:31">
      <c r="A30"/>
      <c r="B30"/>
      <c r="C30"/>
      <c r="D30"/>
      <c r="E30"/>
      <c r="F30"/>
      <c r="G30"/>
      <c r="H30"/>
      <c r="I30"/>
      <c r="J30"/>
      <c r="K30"/>
      <c r="L30"/>
      <c r="M30" s="230" t="s">
        <v>217</v>
      </c>
      <c r="N30" s="97" t="s">
        <v>402</v>
      </c>
      <c r="O30" s="95" t="s">
        <v>279</v>
      </c>
      <c r="P30" s="95" t="s">
        <v>7</v>
      </c>
      <c r="Q30" s="95" t="s">
        <v>204</v>
      </c>
      <c r="R30" s="95" t="s">
        <v>335</v>
      </c>
      <c r="S30" s="95">
        <f>SUMIFS('Normalized Units'!I:I,'Normalized Units'!B:B,"Normalized Billing Units",'Normalized Units'!C:C,O30,'Normalized Units'!D:D,P30,'Normalized Units'!G:G,Q30,'Normalized Units'!H:H,R30)</f>
        <v>451</v>
      </c>
      <c r="AB30" s="635"/>
      <c r="AC30" s="636"/>
      <c r="AD30" s="443"/>
      <c r="AE30" s="443"/>
    </row>
    <row r="31" spans="1:31">
      <c r="A31"/>
      <c r="B31"/>
      <c r="C31"/>
      <c r="D31"/>
      <c r="E31"/>
      <c r="F31"/>
      <c r="G31"/>
      <c r="H31"/>
      <c r="I31"/>
      <c r="J31"/>
      <c r="K31"/>
      <c r="L31"/>
      <c r="M31" s="230" t="s">
        <v>217</v>
      </c>
      <c r="N31" s="97" t="s">
        <v>402</v>
      </c>
      <c r="O31" s="95" t="s">
        <v>279</v>
      </c>
      <c r="P31" s="95" t="s">
        <v>7</v>
      </c>
      <c r="Q31" s="95" t="s">
        <v>284</v>
      </c>
      <c r="R31" s="95" t="s">
        <v>281</v>
      </c>
      <c r="S31" s="95">
        <f>SUMIFS('Normalized Units'!I:I,'Normalized Units'!B:B,"Normalized Billing Units",'Normalized Units'!C:C,O31,'Normalized Units'!D:D,P31,'Normalized Units'!G:G,Q31,'Normalized Units'!H:H,R31)</f>
        <v>117720.66666666666</v>
      </c>
      <c r="AB31" s="635"/>
      <c r="AC31" s="636"/>
      <c r="AD31" s="443"/>
      <c r="AE31" s="443"/>
    </row>
    <row r="32" spans="1:3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230" t="s">
        <v>217</v>
      </c>
      <c r="N32" s="97" t="s">
        <v>402</v>
      </c>
      <c r="O32" s="95" t="s">
        <v>279</v>
      </c>
      <c r="P32" s="95" t="s">
        <v>7</v>
      </c>
      <c r="Q32" s="95" t="s">
        <v>204</v>
      </c>
      <c r="R32" s="95" t="s">
        <v>281</v>
      </c>
      <c r="S32" s="95">
        <f>SUMIFS('Normalized Units'!I:I,'Normalized Units'!B:B,"Normalized Billing Units",'Normalized Units'!C:C,O32,'Normalized Units'!D:D,P32,'Normalized Units'!G:G,Q32,'Normalized Units'!H:H,R32)</f>
        <v>250954</v>
      </c>
      <c r="U32" s="638"/>
      <c r="V32" s="368"/>
      <c r="W32" s="368"/>
      <c r="X32" s="368"/>
      <c r="Y32" s="368"/>
      <c r="AB32" s="635"/>
      <c r="AC32" s="636"/>
      <c r="AD32" s="443"/>
      <c r="AE32" s="443"/>
    </row>
    <row r="33" spans="1:3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230" t="s">
        <v>217</v>
      </c>
      <c r="N33" s="97" t="s">
        <v>402</v>
      </c>
      <c r="O33" s="95" t="s">
        <v>279</v>
      </c>
      <c r="P33" s="95" t="s">
        <v>7</v>
      </c>
      <c r="Q33" s="95" t="s">
        <v>195</v>
      </c>
      <c r="R33" s="95" t="s">
        <v>202</v>
      </c>
      <c r="S33" s="95">
        <f>SUMIFS('Normalized Units'!I:I,'Normalized Units'!B:B,"Normalized Billing Units",'Normalized Units'!C:C,O33,'Normalized Units'!D:D,P33,'Normalized Units'!G:G,Q33,'Normalized Units'!H:H,R33)</f>
        <v>286376.76666666666</v>
      </c>
      <c r="W33" s="138"/>
      <c r="X33" s="27"/>
      <c r="Y33" s="27"/>
      <c r="AB33" s="635"/>
      <c r="AC33" s="636"/>
      <c r="AD33" s="443"/>
      <c r="AE33" s="443"/>
    </row>
    <row r="34" spans="1:3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230" t="s">
        <v>217</v>
      </c>
      <c r="N34" s="97" t="s">
        <v>402</v>
      </c>
      <c r="O34" s="95" t="s">
        <v>279</v>
      </c>
      <c r="P34" s="95" t="s">
        <v>7</v>
      </c>
      <c r="Q34" s="95" t="s">
        <v>195</v>
      </c>
      <c r="R34" s="95" t="s">
        <v>197</v>
      </c>
      <c r="S34" s="95">
        <f>SUMIFS('Normalized Units'!I:I,'Normalized Units'!B:B,"Normalized Billing Units",'Normalized Units'!C:C,O34,'Normalized Units'!D:D,P34,'Normalized Units'!G:G,Q34,'Normalized Units'!H:H,R34)</f>
        <v>34727548.527718931</v>
      </c>
      <c r="U34" s="637"/>
      <c r="X34" s="270"/>
      <c r="Y34" s="270"/>
      <c r="AB34" s="635"/>
      <c r="AC34" s="636"/>
      <c r="AD34" s="443"/>
      <c r="AE34" s="443"/>
    </row>
    <row r="35" spans="1:3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230" t="s">
        <v>217</v>
      </c>
      <c r="N35" s="97" t="s">
        <v>402</v>
      </c>
      <c r="O35" s="95" t="s">
        <v>279</v>
      </c>
      <c r="P35" s="95" t="s">
        <v>7</v>
      </c>
      <c r="Q35" s="95" t="s">
        <v>195</v>
      </c>
      <c r="R35" s="95" t="s">
        <v>198</v>
      </c>
      <c r="S35" s="95">
        <f>SUMIFS('Normalized Units'!I:I,'Normalized Units'!B:B,"Normalized Billing Units",'Normalized Units'!C:C,O35,'Normalized Units'!D:D,P35,'Normalized Units'!G:G,Q35,'Normalized Units'!H:H,R35)</f>
        <v>52700866.28859859</v>
      </c>
      <c r="U35" s="637"/>
      <c r="X35" s="270"/>
      <c r="Y35" s="270"/>
      <c r="AB35" s="635"/>
      <c r="AC35" s="636"/>
      <c r="AD35" s="443"/>
      <c r="AE35" s="443"/>
    </row>
    <row r="36" spans="1:3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230" t="s">
        <v>217</v>
      </c>
      <c r="N36" s="97" t="s">
        <v>402</v>
      </c>
      <c r="O36" s="95" t="s">
        <v>279</v>
      </c>
      <c r="P36" s="95" t="s">
        <v>7</v>
      </c>
      <c r="Q36" s="95" t="s">
        <v>195</v>
      </c>
      <c r="R36" s="95" t="s">
        <v>201</v>
      </c>
      <c r="S36" s="95">
        <f>SUMIFS('Normalized Units'!I:I,'Normalized Units'!B:B,"Normalized Billing Units",'Normalized Units'!C:C,O36,'Normalized Units'!D:D,P36,'Normalized Units'!G:G,Q36,'Normalized Units'!H:H,R36)</f>
        <v>81408.741379310348</v>
      </c>
      <c r="U36" s="637"/>
      <c r="X36" s="270"/>
      <c r="Y36" s="270"/>
      <c r="AB36" s="635"/>
      <c r="AC36" s="636"/>
      <c r="AD36" s="443"/>
      <c r="AE36" s="443"/>
    </row>
    <row r="37" spans="1:3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230" t="s">
        <v>217</v>
      </c>
      <c r="N37" s="97" t="s">
        <v>402</v>
      </c>
      <c r="O37" s="95" t="s">
        <v>279</v>
      </c>
      <c r="P37" s="95" t="s">
        <v>7</v>
      </c>
      <c r="Q37" s="95" t="s">
        <v>195</v>
      </c>
      <c r="R37" s="143" t="s">
        <v>367</v>
      </c>
      <c r="S37" s="95">
        <f>SUMIFS('Normalized Units'!I:I,'Normalized Units'!B:B,"Normalized Billing Units",'Normalized Units'!C:C,O37,'Normalized Units'!D:D,P37,'Normalized Units'!G:G,Q37,'Normalized Units'!H:H,R37)</f>
        <v>18439</v>
      </c>
      <c r="AB37" s="635"/>
      <c r="AC37" s="636"/>
      <c r="AD37" s="443"/>
      <c r="AE37" s="443"/>
    </row>
    <row r="38" spans="1:3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230" t="s">
        <v>217</v>
      </c>
      <c r="N38" s="97" t="s">
        <v>402</v>
      </c>
      <c r="O38" s="95" t="s">
        <v>279</v>
      </c>
      <c r="P38" s="95" t="s">
        <v>7</v>
      </c>
      <c r="Q38" s="95" t="s">
        <v>195</v>
      </c>
      <c r="R38" s="143" t="s">
        <v>358</v>
      </c>
      <c r="S38" s="95">
        <f>SUMIFS('Normalized Units'!I:I,'Normalized Units'!B:B,"Normalized Billing Units",'Normalized Units'!C:C,O38,'Normalized Units'!D:D,P38,'Normalized Units'!G:G,Q38,'Normalized Units'!H:H,R38)</f>
        <v>855</v>
      </c>
      <c r="AB38" s="635"/>
      <c r="AC38" s="636"/>
      <c r="AD38" s="443"/>
      <c r="AE38" s="443"/>
    </row>
    <row r="39" spans="1:3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255" t="s">
        <v>217</v>
      </c>
      <c r="N39" s="145" t="s">
        <v>402</v>
      </c>
      <c r="O39" s="147" t="s">
        <v>279</v>
      </c>
      <c r="P39" s="147" t="s">
        <v>7</v>
      </c>
      <c r="Q39" s="147" t="s">
        <v>195</v>
      </c>
      <c r="R39" s="146" t="s">
        <v>368</v>
      </c>
      <c r="S39" s="147">
        <f>SUMIFS('Normalized Units'!I:I,'Normalized Units'!B:B,"Normalized Billing Units",'Normalized Units'!C:C,O39,'Normalized Units'!D:D,P39,'Normalized Units'!G:G,Q39,'Normalized Units'!H:H,R39)</f>
        <v>10</v>
      </c>
      <c r="AB39" s="635"/>
      <c r="AC39" s="636"/>
      <c r="AD39" s="443"/>
      <c r="AE39" s="443"/>
    </row>
    <row r="40" spans="1:31" s="135" customForma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40" t="s">
        <v>406</v>
      </c>
      <c r="N40" s="140" t="s">
        <v>403</v>
      </c>
      <c r="O40" s="140" t="s">
        <v>351</v>
      </c>
      <c r="P40" s="139" t="s">
        <v>195</v>
      </c>
      <c r="Q40" s="139" t="s">
        <v>203</v>
      </c>
      <c r="R40" s="140" t="s">
        <v>335</v>
      </c>
      <c r="S40" s="315">
        <v>248</v>
      </c>
      <c r="U40" s="138"/>
      <c r="V40" s="138"/>
      <c r="W40" s="138"/>
      <c r="X40" s="138"/>
      <c r="Y40" s="138"/>
      <c r="Z40" s="235"/>
      <c r="AB40" s="635"/>
      <c r="AC40" s="636"/>
      <c r="AD40" s="443"/>
      <c r="AE40" s="443"/>
    </row>
    <row r="41" spans="1:31" s="135" customForma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97" t="s">
        <v>406</v>
      </c>
      <c r="N41" s="97" t="s">
        <v>403</v>
      </c>
      <c r="O41" s="97" t="s">
        <v>351</v>
      </c>
      <c r="P41" s="95" t="s">
        <v>195</v>
      </c>
      <c r="Q41" s="95" t="s">
        <v>284</v>
      </c>
      <c r="R41" s="97" t="s">
        <v>335</v>
      </c>
      <c r="S41" s="316">
        <v>93</v>
      </c>
      <c r="Z41" s="235"/>
      <c r="AB41" s="635"/>
      <c r="AC41" s="636"/>
      <c r="AD41" s="443"/>
      <c r="AE41" s="443"/>
    </row>
    <row r="42" spans="1:31" s="135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97" t="s">
        <v>406</v>
      </c>
      <c r="N42" s="97" t="s">
        <v>403</v>
      </c>
      <c r="O42" s="97" t="s">
        <v>351</v>
      </c>
      <c r="P42" s="95" t="s">
        <v>195</v>
      </c>
      <c r="Q42" s="95" t="s">
        <v>204</v>
      </c>
      <c r="R42" s="97" t="s">
        <v>335</v>
      </c>
      <c r="S42" s="316">
        <v>185</v>
      </c>
      <c r="Z42" s="235"/>
      <c r="AB42" s="635"/>
      <c r="AC42" s="636"/>
      <c r="AD42" s="443"/>
      <c r="AE42" s="443"/>
    </row>
    <row r="43" spans="1:31" s="135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97" t="s">
        <v>406</v>
      </c>
      <c r="N43" s="97" t="s">
        <v>403</v>
      </c>
      <c r="O43" s="97" t="s">
        <v>351</v>
      </c>
      <c r="P43" s="95" t="s">
        <v>195</v>
      </c>
      <c r="Q43" s="95" t="s">
        <v>284</v>
      </c>
      <c r="R43" s="95" t="s">
        <v>281</v>
      </c>
      <c r="S43" s="316">
        <v>1.8</v>
      </c>
      <c r="Z43" s="235"/>
      <c r="AB43" s="635"/>
      <c r="AC43" s="636"/>
      <c r="AD43" s="443"/>
      <c r="AE43" s="443"/>
    </row>
    <row r="44" spans="1:31" s="135" customForma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97" t="s">
        <v>406</v>
      </c>
      <c r="N44" s="97" t="s">
        <v>403</v>
      </c>
      <c r="O44" s="97" t="s">
        <v>351</v>
      </c>
      <c r="P44" s="95" t="s">
        <v>195</v>
      </c>
      <c r="Q44" s="95" t="s">
        <v>204</v>
      </c>
      <c r="R44" s="95" t="s">
        <v>281</v>
      </c>
      <c r="S44" s="316">
        <v>1.48</v>
      </c>
      <c r="Z44" s="235"/>
      <c r="AB44" s="635"/>
      <c r="AC44" s="636"/>
      <c r="AD44" s="443"/>
      <c r="AE44" s="443"/>
    </row>
    <row r="45" spans="1:31" s="135" customForma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97" t="s">
        <v>406</v>
      </c>
      <c r="N45" s="97" t="s">
        <v>403</v>
      </c>
      <c r="O45" s="97" t="s">
        <v>351</v>
      </c>
      <c r="P45" s="95" t="s">
        <v>195</v>
      </c>
      <c r="Q45" s="95" t="s">
        <v>195</v>
      </c>
      <c r="R45" s="95" t="s">
        <v>202</v>
      </c>
      <c r="S45" s="316">
        <v>6.3</v>
      </c>
      <c r="Z45" s="339"/>
      <c r="AB45" s="635"/>
      <c r="AC45" s="636"/>
      <c r="AD45" s="443"/>
      <c r="AE45" s="443"/>
    </row>
    <row r="46" spans="1:31" s="135" customForma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97" t="s">
        <v>406</v>
      </c>
      <c r="N46" s="97" t="s">
        <v>403</v>
      </c>
      <c r="O46" s="97" t="s">
        <v>351</v>
      </c>
      <c r="P46" s="95" t="s">
        <v>195</v>
      </c>
      <c r="Q46" s="95" t="s">
        <v>195</v>
      </c>
      <c r="R46" s="95" t="s">
        <v>197</v>
      </c>
      <c r="S46" s="316">
        <v>6.7559999999999995E-2</v>
      </c>
      <c r="AB46" s="635"/>
      <c r="AC46" s="636"/>
      <c r="AD46" s="443"/>
      <c r="AE46" s="443"/>
    </row>
    <row r="47" spans="1:31" s="135" customForma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97" t="s">
        <v>406</v>
      </c>
      <c r="N47" s="97" t="s">
        <v>403</v>
      </c>
      <c r="O47" s="97" t="s">
        <v>351</v>
      </c>
      <c r="P47" s="95" t="s">
        <v>195</v>
      </c>
      <c r="Q47" s="95" t="s">
        <v>195</v>
      </c>
      <c r="R47" s="95" t="s">
        <v>198</v>
      </c>
      <c r="S47" s="316">
        <v>6.2539999999999998E-2</v>
      </c>
      <c r="AB47" s="635"/>
      <c r="AC47" s="636"/>
      <c r="AD47" s="443"/>
      <c r="AE47" s="443"/>
    </row>
    <row r="48" spans="1:31" s="135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97" t="s">
        <v>406</v>
      </c>
      <c r="N48" s="97" t="s">
        <v>403</v>
      </c>
      <c r="O48" s="97" t="s">
        <v>351</v>
      </c>
      <c r="P48" s="95" t="s">
        <v>195</v>
      </c>
      <c r="Q48" s="95" t="s">
        <v>195</v>
      </c>
      <c r="R48" s="95" t="s">
        <v>201</v>
      </c>
      <c r="S48" s="316">
        <v>0.57999999999999996</v>
      </c>
      <c r="AB48" s="635"/>
      <c r="AC48" s="636"/>
      <c r="AD48" s="443"/>
      <c r="AE48" s="443"/>
    </row>
    <row r="49" spans="1:31" s="135" customForma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97" t="s">
        <v>406</v>
      </c>
      <c r="N49" s="97" t="s">
        <v>403</v>
      </c>
      <c r="O49" s="97" t="s">
        <v>351</v>
      </c>
      <c r="P49" s="95" t="s">
        <v>195</v>
      </c>
      <c r="Q49" s="95" t="s">
        <v>195</v>
      </c>
      <c r="R49" s="143" t="s">
        <v>367</v>
      </c>
      <c r="S49" s="316">
        <v>-0.01</v>
      </c>
      <c r="AB49" s="635"/>
      <c r="AC49" s="636"/>
      <c r="AD49" s="443"/>
      <c r="AE49" s="443"/>
    </row>
    <row r="50" spans="1:31" s="135" customForma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97" t="s">
        <v>406</v>
      </c>
      <c r="N50" s="97" t="s">
        <v>403</v>
      </c>
      <c r="O50" s="97" t="s">
        <v>351</v>
      </c>
      <c r="P50" s="95" t="s">
        <v>195</v>
      </c>
      <c r="Q50" s="95" t="s">
        <v>195</v>
      </c>
      <c r="R50" s="143" t="s">
        <v>358</v>
      </c>
      <c r="S50" s="316">
        <v>-0.3</v>
      </c>
      <c r="AB50" s="635"/>
      <c r="AC50" s="636"/>
      <c r="AD50" s="443"/>
      <c r="AE50" s="443"/>
    </row>
    <row r="51" spans="1:31" s="135" customForma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97" t="s">
        <v>406</v>
      </c>
      <c r="N51" s="97" t="s">
        <v>403</v>
      </c>
      <c r="O51" s="97" t="s">
        <v>351</v>
      </c>
      <c r="P51" s="95" t="s">
        <v>195</v>
      </c>
      <c r="Q51" s="95" t="s">
        <v>195</v>
      </c>
      <c r="R51" s="143" t="s">
        <v>368</v>
      </c>
      <c r="S51" s="316">
        <v>60</v>
      </c>
      <c r="Z51" s="235"/>
      <c r="AB51" s="635"/>
      <c r="AC51" s="636"/>
      <c r="AD51" s="443"/>
      <c r="AE51" s="443"/>
    </row>
    <row r="52" spans="1:31" s="135" customForma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97" t="s">
        <v>406</v>
      </c>
      <c r="N52" s="208" t="s">
        <v>403</v>
      </c>
      <c r="O52" s="436" t="s">
        <v>489</v>
      </c>
      <c r="P52" s="208" t="s">
        <v>195</v>
      </c>
      <c r="Q52" s="208" t="s">
        <v>195</v>
      </c>
      <c r="R52" s="208" t="s">
        <v>335</v>
      </c>
      <c r="S52" s="316">
        <v>17</v>
      </c>
      <c r="Z52" s="235"/>
      <c r="AB52" s="635"/>
      <c r="AC52" s="636"/>
      <c r="AD52" s="443"/>
      <c r="AE52" s="443"/>
    </row>
    <row r="53" spans="1:31" s="135" customForma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97" t="s">
        <v>406</v>
      </c>
      <c r="N53" s="208" t="s">
        <v>403</v>
      </c>
      <c r="O53" s="436" t="s">
        <v>489</v>
      </c>
      <c r="P53" s="208" t="s">
        <v>195</v>
      </c>
      <c r="Q53" s="208" t="s">
        <v>195</v>
      </c>
      <c r="R53" s="96" t="s">
        <v>197</v>
      </c>
      <c r="S53" s="316">
        <v>0.20258000000000001</v>
      </c>
      <c r="Z53" s="235"/>
      <c r="AB53" s="635"/>
      <c r="AC53" s="636"/>
      <c r="AD53" s="443"/>
      <c r="AE53" s="443"/>
    </row>
    <row r="54" spans="1:31" s="135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45" t="s">
        <v>406</v>
      </c>
      <c r="N54" s="209" t="s">
        <v>403</v>
      </c>
      <c r="O54" s="437" t="s">
        <v>489</v>
      </c>
      <c r="P54" s="209" t="s">
        <v>195</v>
      </c>
      <c r="Q54" s="209" t="s">
        <v>195</v>
      </c>
      <c r="R54" s="411" t="s">
        <v>198</v>
      </c>
      <c r="S54" s="317">
        <v>8.7859999999999994E-2</v>
      </c>
      <c r="Z54" s="235"/>
      <c r="AB54" s="635"/>
      <c r="AC54" s="636"/>
      <c r="AD54" s="443"/>
      <c r="AE54" s="443"/>
    </row>
    <row r="55" spans="1:31" s="135" customForma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40" t="s">
        <v>406</v>
      </c>
      <c r="N55" s="256" t="s">
        <v>29</v>
      </c>
      <c r="O55" s="141" t="s">
        <v>279</v>
      </c>
      <c r="P55" s="141" t="s">
        <v>4</v>
      </c>
      <c r="Q55" s="141" t="s">
        <v>203</v>
      </c>
      <c r="R55" s="141" t="s">
        <v>335</v>
      </c>
      <c r="S55" s="213">
        <f t="shared" ref="S55:S62" si="9">S8*S40</f>
        <v>496</v>
      </c>
      <c r="Z55" s="235"/>
      <c r="AB55" s="635"/>
      <c r="AC55" s="636"/>
      <c r="AD55" s="443"/>
      <c r="AE55" s="443"/>
    </row>
    <row r="56" spans="1:31" s="135" customForma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97" t="s">
        <v>406</v>
      </c>
      <c r="N56" s="85" t="s">
        <v>29</v>
      </c>
      <c r="O56" s="143" t="s">
        <v>279</v>
      </c>
      <c r="P56" s="143" t="s">
        <v>4</v>
      </c>
      <c r="Q56" s="143" t="s">
        <v>284</v>
      </c>
      <c r="R56" s="143" t="s">
        <v>335</v>
      </c>
      <c r="S56" s="210">
        <f t="shared" si="9"/>
        <v>3441</v>
      </c>
      <c r="Z56" s="341"/>
      <c r="AB56" s="635"/>
      <c r="AC56" s="636"/>
      <c r="AD56" s="443"/>
      <c r="AE56" s="443"/>
    </row>
    <row r="57" spans="1:31" s="135" customForma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97" t="s">
        <v>406</v>
      </c>
      <c r="N57" s="85" t="s">
        <v>29</v>
      </c>
      <c r="O57" s="143" t="s">
        <v>279</v>
      </c>
      <c r="P57" s="143" t="s">
        <v>4</v>
      </c>
      <c r="Q57" s="143" t="s">
        <v>204</v>
      </c>
      <c r="R57" s="143" t="s">
        <v>335</v>
      </c>
      <c r="S57" s="210">
        <f t="shared" si="9"/>
        <v>1295</v>
      </c>
      <c r="Z57" s="235"/>
      <c r="AB57" s="635"/>
      <c r="AC57" s="636"/>
      <c r="AD57" s="443"/>
      <c r="AE57" s="443"/>
    </row>
    <row r="58" spans="1:31" s="135" customForma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97" t="s">
        <v>406</v>
      </c>
      <c r="N58" s="85" t="s">
        <v>29</v>
      </c>
      <c r="O58" s="143" t="s">
        <v>279</v>
      </c>
      <c r="P58" s="143" t="s">
        <v>4</v>
      </c>
      <c r="Q58" s="143" t="s">
        <v>284</v>
      </c>
      <c r="R58" s="143" t="s">
        <v>281</v>
      </c>
      <c r="S58" s="210">
        <f t="shared" si="9"/>
        <v>9491.4</v>
      </c>
      <c r="X58" s="344"/>
      <c r="Z58" s="235"/>
      <c r="AB58" s="635"/>
      <c r="AC58" s="636"/>
      <c r="AD58" s="443"/>
      <c r="AE58" s="443"/>
    </row>
    <row r="59" spans="1:31" s="135" customForma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97" t="s">
        <v>406</v>
      </c>
      <c r="N59" s="85" t="s">
        <v>29</v>
      </c>
      <c r="O59" s="143" t="s">
        <v>279</v>
      </c>
      <c r="P59" s="143" t="s">
        <v>4</v>
      </c>
      <c r="Q59" s="143" t="s">
        <v>204</v>
      </c>
      <c r="R59" s="143" t="s">
        <v>281</v>
      </c>
      <c r="S59" s="210">
        <f t="shared" si="9"/>
        <v>3207.16</v>
      </c>
      <c r="Z59" s="235"/>
      <c r="AB59" s="635"/>
      <c r="AC59" s="636"/>
      <c r="AD59" s="443"/>
      <c r="AE59" s="443"/>
    </row>
    <row r="60" spans="1:31" s="135" customForma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97" t="s">
        <v>406</v>
      </c>
      <c r="N60" s="85" t="s">
        <v>29</v>
      </c>
      <c r="O60" s="143" t="s">
        <v>279</v>
      </c>
      <c r="P60" s="143" t="s">
        <v>4</v>
      </c>
      <c r="Q60" s="143" t="s">
        <v>195</v>
      </c>
      <c r="R60" s="143" t="s">
        <v>202</v>
      </c>
      <c r="S60" s="210">
        <f t="shared" si="9"/>
        <v>36999.9</v>
      </c>
      <c r="Z60" s="235"/>
      <c r="AB60" s="635"/>
      <c r="AC60" s="636"/>
      <c r="AD60" s="443"/>
      <c r="AE60" s="443"/>
    </row>
    <row r="61" spans="1:31" s="135" customForma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97" t="s">
        <v>406</v>
      </c>
      <c r="N61" s="85" t="s">
        <v>29</v>
      </c>
      <c r="O61" s="143" t="s">
        <v>279</v>
      </c>
      <c r="P61" s="143" t="s">
        <v>4</v>
      </c>
      <c r="Q61" s="143" t="s">
        <v>195</v>
      </c>
      <c r="R61" s="143" t="s">
        <v>197</v>
      </c>
      <c r="S61" s="210">
        <f t="shared" si="9"/>
        <v>99956.301408930187</v>
      </c>
      <c r="Z61" s="235"/>
      <c r="AB61" s="635"/>
      <c r="AC61" s="636"/>
      <c r="AD61" s="443"/>
      <c r="AE61" s="443"/>
    </row>
    <row r="62" spans="1:31" s="135" customForma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97" t="s">
        <v>406</v>
      </c>
      <c r="N62" s="85" t="s">
        <v>29</v>
      </c>
      <c r="O62" s="143" t="s">
        <v>279</v>
      </c>
      <c r="P62" s="143" t="s">
        <v>4</v>
      </c>
      <c r="Q62" s="143" t="s">
        <v>195</v>
      </c>
      <c r="R62" s="143" t="s">
        <v>198</v>
      </c>
      <c r="S62" s="210">
        <f t="shared" si="9"/>
        <v>50756.250601496933</v>
      </c>
      <c r="Z62" s="235"/>
      <c r="AB62" s="635"/>
      <c r="AC62" s="636"/>
      <c r="AD62" s="443"/>
      <c r="AE62" s="443"/>
    </row>
    <row r="63" spans="1:31" s="135" customForma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97" t="s">
        <v>406</v>
      </c>
      <c r="N63" s="85" t="s">
        <v>29</v>
      </c>
      <c r="O63" s="95" t="s">
        <v>279</v>
      </c>
      <c r="P63" s="95" t="s">
        <v>4</v>
      </c>
      <c r="Q63" s="95" t="s">
        <v>195</v>
      </c>
      <c r="R63" s="208" t="s">
        <v>168</v>
      </c>
      <c r="S63" s="210">
        <f>Unbilled!E8</f>
        <v>6831.3392740641229</v>
      </c>
      <c r="Z63" s="235"/>
      <c r="AB63" s="635"/>
      <c r="AC63" s="636"/>
      <c r="AD63" s="443"/>
      <c r="AE63" s="443"/>
    </row>
    <row r="64" spans="1:31" s="135" customForma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97" t="s">
        <v>406</v>
      </c>
      <c r="N64" s="85" t="s">
        <v>29</v>
      </c>
      <c r="O64" s="143" t="s">
        <v>279</v>
      </c>
      <c r="P64" s="143" t="s">
        <v>5</v>
      </c>
      <c r="Q64" s="143" t="s">
        <v>203</v>
      </c>
      <c r="R64" s="143" t="s">
        <v>335</v>
      </c>
      <c r="S64" s="210">
        <f t="shared" ref="S64:S75" si="10">S16*S40</f>
        <v>57408.647141765643</v>
      </c>
      <c r="Z64" s="235"/>
      <c r="AB64" s="635"/>
      <c r="AC64" s="636"/>
      <c r="AD64" s="443"/>
      <c r="AE64" s="443"/>
    </row>
    <row r="65" spans="1:31" s="135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97" t="s">
        <v>406</v>
      </c>
      <c r="N65" s="85" t="s">
        <v>29</v>
      </c>
      <c r="O65" s="143" t="s">
        <v>279</v>
      </c>
      <c r="P65" s="143" t="s">
        <v>5</v>
      </c>
      <c r="Q65" s="143" t="s">
        <v>284</v>
      </c>
      <c r="R65" s="143" t="s">
        <v>335</v>
      </c>
      <c r="S65" s="210">
        <f t="shared" si="10"/>
        <v>744325.16023792652</v>
      </c>
      <c r="Z65" s="235"/>
      <c r="AB65" s="635"/>
      <c r="AC65" s="636"/>
      <c r="AD65" s="443"/>
      <c r="AE65" s="443"/>
    </row>
    <row r="66" spans="1:31" s="135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97" t="s">
        <v>406</v>
      </c>
      <c r="N66" s="85" t="s">
        <v>29</v>
      </c>
      <c r="O66" s="143" t="s">
        <v>279</v>
      </c>
      <c r="P66" s="143" t="s">
        <v>5</v>
      </c>
      <c r="Q66" s="143" t="s">
        <v>204</v>
      </c>
      <c r="R66" s="143" t="s">
        <v>335</v>
      </c>
      <c r="S66" s="210">
        <f t="shared" si="10"/>
        <v>632234.51032821066</v>
      </c>
      <c r="Z66" s="235"/>
      <c r="AB66" s="635"/>
      <c r="AC66" s="636"/>
      <c r="AD66" s="443"/>
      <c r="AE66" s="443"/>
    </row>
    <row r="67" spans="1:31" s="135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97" t="s">
        <v>406</v>
      </c>
      <c r="N67" s="85" t="s">
        <v>29</v>
      </c>
      <c r="O67" s="143" t="s">
        <v>279</v>
      </c>
      <c r="P67" s="143" t="s">
        <v>5</v>
      </c>
      <c r="Q67" s="143" t="s">
        <v>284</v>
      </c>
      <c r="R67" s="143" t="s">
        <v>281</v>
      </c>
      <c r="S67" s="210">
        <f t="shared" si="10"/>
        <v>2500927.8600000003</v>
      </c>
      <c r="Z67" s="235"/>
      <c r="AB67" s="635"/>
      <c r="AC67" s="636"/>
      <c r="AD67" s="443"/>
      <c r="AE67" s="443"/>
    </row>
    <row r="68" spans="1:31" s="135" customForma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97" t="s">
        <v>406</v>
      </c>
      <c r="N68" s="85" t="s">
        <v>29</v>
      </c>
      <c r="O68" s="143" t="s">
        <v>279</v>
      </c>
      <c r="P68" s="143" t="s">
        <v>5</v>
      </c>
      <c r="Q68" s="143" t="s">
        <v>204</v>
      </c>
      <c r="R68" s="143" t="s">
        <v>281</v>
      </c>
      <c r="S68" s="210">
        <f t="shared" si="10"/>
        <v>2500590.4366666665</v>
      </c>
      <c r="Z68" s="235"/>
      <c r="AB68" s="635"/>
      <c r="AC68" s="636"/>
      <c r="AD68" s="443"/>
      <c r="AE68" s="443"/>
    </row>
    <row r="69" spans="1:31" s="135" customForma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97" t="s">
        <v>406</v>
      </c>
      <c r="N69" s="85" t="s">
        <v>29</v>
      </c>
      <c r="O69" s="143" t="s">
        <v>279</v>
      </c>
      <c r="P69" s="143" t="s">
        <v>5</v>
      </c>
      <c r="Q69" s="143" t="s">
        <v>195</v>
      </c>
      <c r="R69" s="143" t="s">
        <v>202</v>
      </c>
      <c r="S69" s="210">
        <f t="shared" si="10"/>
        <v>14287722.75</v>
      </c>
      <c r="Z69" s="235"/>
      <c r="AB69" s="635"/>
      <c r="AC69" s="636"/>
      <c r="AD69" s="443"/>
      <c r="AE69" s="443"/>
    </row>
    <row r="70" spans="1:31" s="135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97" t="s">
        <v>406</v>
      </c>
      <c r="N70" s="85" t="s">
        <v>29</v>
      </c>
      <c r="O70" s="143" t="s">
        <v>279</v>
      </c>
      <c r="P70" s="143" t="s">
        <v>5</v>
      </c>
      <c r="Q70" s="143" t="s">
        <v>195</v>
      </c>
      <c r="R70" s="143" t="s">
        <v>197</v>
      </c>
      <c r="S70" s="210">
        <f t="shared" si="10"/>
        <v>25038906.676754612</v>
      </c>
      <c r="Z70" s="235"/>
      <c r="AB70" s="635"/>
      <c r="AC70" s="636"/>
      <c r="AD70" s="443"/>
      <c r="AE70" s="443"/>
    </row>
    <row r="71" spans="1:31" s="135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97" t="s">
        <v>406</v>
      </c>
      <c r="N71" s="85" t="s">
        <v>29</v>
      </c>
      <c r="O71" s="143" t="s">
        <v>279</v>
      </c>
      <c r="P71" s="143" t="s">
        <v>5</v>
      </c>
      <c r="Q71" s="143" t="s">
        <v>195</v>
      </c>
      <c r="R71" s="143" t="s">
        <v>198</v>
      </c>
      <c r="S71" s="210">
        <f t="shared" si="10"/>
        <v>29147541.753332101</v>
      </c>
      <c r="Z71" s="235"/>
      <c r="AB71" s="635"/>
      <c r="AC71" s="636"/>
      <c r="AD71" s="443"/>
      <c r="AE71" s="443"/>
    </row>
    <row r="72" spans="1:31" s="135" customForma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97" t="s">
        <v>406</v>
      </c>
      <c r="N72" s="85" t="s">
        <v>29</v>
      </c>
      <c r="O72" s="143" t="s">
        <v>279</v>
      </c>
      <c r="P72" s="143" t="s">
        <v>5</v>
      </c>
      <c r="Q72" s="143" t="s">
        <v>195</v>
      </c>
      <c r="R72" s="143" t="s">
        <v>201</v>
      </c>
      <c r="S72" s="210">
        <f t="shared" si="10"/>
        <v>187089.88</v>
      </c>
      <c r="Z72" s="235"/>
      <c r="AB72" s="635"/>
      <c r="AC72" s="636"/>
      <c r="AD72" s="443"/>
      <c r="AE72" s="443"/>
    </row>
    <row r="73" spans="1:31" s="135" customForma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97" t="s">
        <v>406</v>
      </c>
      <c r="N73" s="85" t="s">
        <v>29</v>
      </c>
      <c r="O73" s="143" t="s">
        <v>279</v>
      </c>
      <c r="P73" s="143" t="s">
        <v>5</v>
      </c>
      <c r="Q73" s="143" t="s">
        <v>195</v>
      </c>
      <c r="R73" s="143" t="s">
        <v>367</v>
      </c>
      <c r="S73" s="210">
        <f t="shared" si="10"/>
        <v>-9070.42</v>
      </c>
      <c r="Z73" s="235"/>
      <c r="AB73" s="635"/>
      <c r="AC73" s="636"/>
      <c r="AD73" s="443"/>
      <c r="AE73" s="443"/>
    </row>
    <row r="74" spans="1:31" s="135" customForma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97" t="s">
        <v>406</v>
      </c>
      <c r="N74" s="85" t="s">
        <v>29</v>
      </c>
      <c r="O74" s="143" t="s">
        <v>279</v>
      </c>
      <c r="P74" s="143" t="s">
        <v>5</v>
      </c>
      <c r="Q74" s="143" t="s">
        <v>195</v>
      </c>
      <c r="R74" s="143" t="s">
        <v>358</v>
      </c>
      <c r="S74" s="210">
        <f t="shared" si="10"/>
        <v>-13342.199999999999</v>
      </c>
      <c r="Z74" s="235"/>
      <c r="AB74" s="635"/>
      <c r="AC74" s="636"/>
      <c r="AD74" s="443"/>
      <c r="AE74" s="443"/>
    </row>
    <row r="75" spans="1:31" s="135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97" t="s">
        <v>406</v>
      </c>
      <c r="N75" s="85" t="s">
        <v>29</v>
      </c>
      <c r="O75" s="143" t="s">
        <v>279</v>
      </c>
      <c r="P75" s="143" t="s">
        <v>5</v>
      </c>
      <c r="Q75" s="143" t="s">
        <v>195</v>
      </c>
      <c r="R75" s="143" t="s">
        <v>368</v>
      </c>
      <c r="S75" s="210">
        <f t="shared" si="10"/>
        <v>6480</v>
      </c>
      <c r="Z75" s="235"/>
      <c r="AB75" s="635"/>
      <c r="AC75" s="636"/>
      <c r="AD75" s="443"/>
      <c r="AE75" s="443"/>
    </row>
    <row r="76" spans="1:31" s="135" customForma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97" t="s">
        <v>406</v>
      </c>
      <c r="N76" s="85" t="s">
        <v>29</v>
      </c>
      <c r="O76" s="95" t="s">
        <v>279</v>
      </c>
      <c r="P76" s="95" t="s">
        <v>5</v>
      </c>
      <c r="Q76" s="95" t="s">
        <v>195</v>
      </c>
      <c r="R76" s="208" t="s">
        <v>168</v>
      </c>
      <c r="S76" s="210">
        <f>Unbilled!E9</f>
        <v>1072849.6731901476</v>
      </c>
      <c r="Z76" s="235"/>
      <c r="AB76" s="635"/>
      <c r="AC76" s="636"/>
      <c r="AD76" s="443"/>
      <c r="AE76" s="443"/>
    </row>
    <row r="77" spans="1:31" s="135" customForma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97" t="s">
        <v>406</v>
      </c>
      <c r="N77" s="85" t="s">
        <v>29</v>
      </c>
      <c r="O77" s="143" t="s">
        <v>279</v>
      </c>
      <c r="P77" s="143" t="s">
        <v>7</v>
      </c>
      <c r="Q77" s="143" t="s">
        <v>203</v>
      </c>
      <c r="R77" s="143" t="s">
        <v>335</v>
      </c>
      <c r="S77" s="210">
        <f t="shared" ref="S77:S88" si="11">S28*S40</f>
        <v>11598.133333333333</v>
      </c>
      <c r="Z77" s="235"/>
      <c r="AB77" s="635"/>
      <c r="AC77" s="636"/>
      <c r="AD77" s="443"/>
      <c r="AE77" s="443"/>
    </row>
    <row r="78" spans="1:31" s="135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97" t="s">
        <v>406</v>
      </c>
      <c r="N78" s="85" t="s">
        <v>29</v>
      </c>
      <c r="O78" s="143" t="s">
        <v>279</v>
      </c>
      <c r="P78" s="143" t="s">
        <v>7</v>
      </c>
      <c r="Q78" s="143" t="s">
        <v>284</v>
      </c>
      <c r="R78" s="143" t="s">
        <v>335</v>
      </c>
      <c r="S78" s="210">
        <f t="shared" si="11"/>
        <v>60505.8</v>
      </c>
      <c r="Z78" s="235"/>
      <c r="AB78" s="635"/>
      <c r="AC78" s="636"/>
      <c r="AD78" s="443"/>
      <c r="AE78" s="443"/>
    </row>
    <row r="79" spans="1:31" s="135" customForma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97" t="s">
        <v>406</v>
      </c>
      <c r="N79" s="85" t="s">
        <v>29</v>
      </c>
      <c r="O79" s="143" t="s">
        <v>279</v>
      </c>
      <c r="P79" s="143" t="s">
        <v>7</v>
      </c>
      <c r="Q79" s="143" t="s">
        <v>204</v>
      </c>
      <c r="R79" s="143" t="s">
        <v>335</v>
      </c>
      <c r="S79" s="210">
        <f t="shared" si="11"/>
        <v>83435</v>
      </c>
      <c r="U79" s="138"/>
      <c r="V79" s="138"/>
      <c r="W79" s="138"/>
      <c r="X79" s="138"/>
      <c r="Y79" s="138"/>
      <c r="Z79" s="235"/>
      <c r="AB79" s="635"/>
      <c r="AC79" s="636"/>
      <c r="AD79" s="443"/>
      <c r="AE79" s="443"/>
    </row>
    <row r="80" spans="1:31" s="135" customForma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97" t="s">
        <v>406</v>
      </c>
      <c r="N80" s="85" t="s">
        <v>29</v>
      </c>
      <c r="O80" s="143" t="s">
        <v>279</v>
      </c>
      <c r="P80" s="143" t="s">
        <v>7</v>
      </c>
      <c r="Q80" s="143" t="s">
        <v>284</v>
      </c>
      <c r="R80" s="143" t="s">
        <v>281</v>
      </c>
      <c r="S80" s="210">
        <f t="shared" si="11"/>
        <v>211897.19999999998</v>
      </c>
      <c r="U80" s="324"/>
      <c r="V80" s="335"/>
      <c r="W80" s="307"/>
      <c r="X80" s="335"/>
      <c r="Y80" s="335"/>
      <c r="Z80" s="235"/>
      <c r="AB80" s="635"/>
      <c r="AC80" s="636"/>
      <c r="AD80" s="443"/>
      <c r="AE80" s="443"/>
    </row>
    <row r="81" spans="1:31" s="135" customForma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97" t="s">
        <v>406</v>
      </c>
      <c r="N81" s="85" t="s">
        <v>29</v>
      </c>
      <c r="O81" s="143" t="s">
        <v>279</v>
      </c>
      <c r="P81" s="143" t="s">
        <v>7</v>
      </c>
      <c r="Q81" s="143" t="s">
        <v>204</v>
      </c>
      <c r="R81" s="143" t="s">
        <v>281</v>
      </c>
      <c r="S81" s="210">
        <f t="shared" si="11"/>
        <v>371411.92</v>
      </c>
      <c r="U81" s="339"/>
      <c r="V81" s="76"/>
      <c r="W81" s="76"/>
      <c r="X81" s="76"/>
      <c r="Y81" s="76"/>
      <c r="Z81" s="235"/>
      <c r="AB81" s="635"/>
      <c r="AC81" s="636"/>
      <c r="AD81" s="443"/>
      <c r="AE81" s="443"/>
    </row>
    <row r="82" spans="1:31" s="135" customForma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97" t="s">
        <v>406</v>
      </c>
      <c r="N82" s="85" t="s">
        <v>29</v>
      </c>
      <c r="O82" s="143" t="s">
        <v>279</v>
      </c>
      <c r="P82" s="143" t="s">
        <v>7</v>
      </c>
      <c r="Q82" s="143" t="s">
        <v>195</v>
      </c>
      <c r="R82" s="143" t="s">
        <v>202</v>
      </c>
      <c r="S82" s="210">
        <f t="shared" si="11"/>
        <v>1804173.63</v>
      </c>
      <c r="U82" s="325"/>
      <c r="V82" s="138"/>
      <c r="W82" s="138"/>
      <c r="X82" s="138"/>
      <c r="Y82" s="157"/>
      <c r="Z82" s="235"/>
      <c r="AB82" s="635"/>
      <c r="AC82" s="636"/>
      <c r="AD82" s="443"/>
      <c r="AE82" s="443"/>
    </row>
    <row r="83" spans="1:31" s="135" customForma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97" t="s">
        <v>406</v>
      </c>
      <c r="N83" s="85" t="s">
        <v>29</v>
      </c>
      <c r="O83" s="143" t="s">
        <v>279</v>
      </c>
      <c r="P83" s="143" t="s">
        <v>7</v>
      </c>
      <c r="Q83" s="143" t="s">
        <v>195</v>
      </c>
      <c r="R83" s="143" t="s">
        <v>197</v>
      </c>
      <c r="S83" s="210">
        <f t="shared" si="11"/>
        <v>2346193.1785326907</v>
      </c>
      <c r="U83" s="157"/>
      <c r="V83" s="138"/>
      <c r="W83" s="138"/>
      <c r="X83" s="306"/>
      <c r="Y83" s="138"/>
      <c r="Z83" s="235"/>
      <c r="AB83" s="635"/>
      <c r="AC83" s="636"/>
      <c r="AD83" s="443"/>
      <c r="AE83" s="443"/>
    </row>
    <row r="84" spans="1:31" s="135" customForma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97" t="s">
        <v>406</v>
      </c>
      <c r="N84" s="85" t="s">
        <v>29</v>
      </c>
      <c r="O84" s="143" t="s">
        <v>279</v>
      </c>
      <c r="P84" s="143" t="s">
        <v>7</v>
      </c>
      <c r="Q84" s="143" t="s">
        <v>195</v>
      </c>
      <c r="R84" s="143" t="s">
        <v>198</v>
      </c>
      <c r="S84" s="210">
        <f t="shared" si="11"/>
        <v>3295912.1776889558</v>
      </c>
      <c r="U84" s="157"/>
      <c r="V84" s="270"/>
      <c r="W84" s="270"/>
      <c r="X84" s="430"/>
      <c r="Y84" s="270"/>
      <c r="Z84" s="235"/>
      <c r="AB84" s="635"/>
      <c r="AC84" s="636"/>
      <c r="AD84" s="443"/>
      <c r="AE84" s="443"/>
    </row>
    <row r="85" spans="1:31" s="135" customForma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97" t="s">
        <v>406</v>
      </c>
      <c r="N85" s="85" t="s">
        <v>29</v>
      </c>
      <c r="O85" s="143" t="s">
        <v>279</v>
      </c>
      <c r="P85" s="143" t="s">
        <v>7</v>
      </c>
      <c r="Q85" s="143" t="s">
        <v>195</v>
      </c>
      <c r="R85" s="143" t="s">
        <v>201</v>
      </c>
      <c r="S85" s="210">
        <f t="shared" si="11"/>
        <v>47217.07</v>
      </c>
      <c r="U85" s="157"/>
      <c r="V85" s="138"/>
      <c r="W85" s="138"/>
      <c r="X85" s="138"/>
      <c r="Y85" s="138"/>
      <c r="Z85" s="235"/>
      <c r="AB85" s="635"/>
      <c r="AC85" s="636"/>
      <c r="AD85" s="443"/>
      <c r="AE85" s="443"/>
    </row>
    <row r="86" spans="1:31" s="135" customForma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97" t="s">
        <v>406</v>
      </c>
      <c r="N86" s="85" t="s">
        <v>29</v>
      </c>
      <c r="O86" s="143" t="s">
        <v>279</v>
      </c>
      <c r="P86" s="143" t="s">
        <v>7</v>
      </c>
      <c r="Q86" s="143" t="s">
        <v>195</v>
      </c>
      <c r="R86" s="143" t="s">
        <v>367</v>
      </c>
      <c r="S86" s="210">
        <f t="shared" si="11"/>
        <v>-184.39000000000001</v>
      </c>
      <c r="U86" s="138"/>
      <c r="V86" s="138"/>
      <c r="W86" s="138"/>
      <c r="X86" s="138"/>
      <c r="Y86" s="138"/>
      <c r="Z86" s="235"/>
      <c r="AB86" s="635"/>
      <c r="AC86" s="636"/>
      <c r="AD86" s="443"/>
      <c r="AE86" s="443"/>
    </row>
    <row r="87" spans="1:31" s="135" customForma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97" t="s">
        <v>406</v>
      </c>
      <c r="N87" s="85" t="s">
        <v>29</v>
      </c>
      <c r="O87" s="143" t="s">
        <v>279</v>
      </c>
      <c r="P87" s="143" t="s">
        <v>7</v>
      </c>
      <c r="Q87" s="143" t="s">
        <v>195</v>
      </c>
      <c r="R87" s="143" t="s">
        <v>358</v>
      </c>
      <c r="S87" s="210">
        <f t="shared" si="11"/>
        <v>-256.5</v>
      </c>
      <c r="U87" s="324"/>
      <c r="V87" s="335"/>
      <c r="W87" s="335"/>
      <c r="X87" s="138"/>
      <c r="Y87" s="138"/>
      <c r="Z87" s="235"/>
      <c r="AB87" s="635"/>
      <c r="AC87" s="636"/>
      <c r="AD87" s="443"/>
      <c r="AE87" s="443"/>
    </row>
    <row r="88" spans="1:31" s="135" customForma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97" t="s">
        <v>406</v>
      </c>
      <c r="N88" s="85" t="s">
        <v>29</v>
      </c>
      <c r="O88" s="143" t="s">
        <v>279</v>
      </c>
      <c r="P88" s="143" t="s">
        <v>7</v>
      </c>
      <c r="Q88" s="143" t="s">
        <v>195</v>
      </c>
      <c r="R88" s="143" t="s">
        <v>368</v>
      </c>
      <c r="S88" s="210">
        <f t="shared" si="11"/>
        <v>600</v>
      </c>
      <c r="U88" s="138"/>
      <c r="V88" s="76"/>
      <c r="W88" s="270"/>
      <c r="X88" s="138"/>
      <c r="Y88" s="138"/>
      <c r="Z88" s="235"/>
      <c r="AB88" s="635"/>
      <c r="AC88" s="636"/>
      <c r="AD88" s="443"/>
      <c r="AE88" s="443"/>
    </row>
    <row r="89" spans="1:31" s="135" customForma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45" t="s">
        <v>406</v>
      </c>
      <c r="N89" s="257" t="s">
        <v>29</v>
      </c>
      <c r="O89" s="147" t="s">
        <v>279</v>
      </c>
      <c r="P89" s="147" t="s">
        <v>7</v>
      </c>
      <c r="Q89" s="147" t="s">
        <v>195</v>
      </c>
      <c r="R89" s="209" t="s">
        <v>168</v>
      </c>
      <c r="S89" s="211">
        <f>Unbilled!E10</f>
        <v>158606.6540112104</v>
      </c>
      <c r="U89" s="157"/>
      <c r="V89" s="76"/>
      <c r="W89" s="270"/>
      <c r="X89" s="138"/>
      <c r="Y89" s="138"/>
      <c r="Z89" s="235"/>
      <c r="AB89" s="635"/>
      <c r="AC89" s="636"/>
      <c r="AD89" s="443"/>
      <c r="AE89" s="443"/>
    </row>
    <row r="90" spans="1:31">
      <c r="M90" s="342" t="s">
        <v>536</v>
      </c>
      <c r="N90" s="256" t="s">
        <v>29</v>
      </c>
      <c r="O90" s="139" t="s">
        <v>279</v>
      </c>
      <c r="P90" s="212" t="s">
        <v>195</v>
      </c>
      <c r="Q90" s="212" t="s">
        <v>195</v>
      </c>
      <c r="R90" s="212" t="s">
        <v>195</v>
      </c>
      <c r="S90" s="213">
        <f ca="1">'Cost of Service and Proposed $'!N123</f>
        <v>651882.13868468441</v>
      </c>
      <c r="U90" s="138"/>
      <c r="V90" s="76"/>
      <c r="W90" s="270"/>
      <c r="X90" s="135"/>
      <c r="Y90" s="135"/>
      <c r="AB90" s="635"/>
      <c r="AC90" s="636"/>
      <c r="AD90" s="443"/>
      <c r="AE90" s="443"/>
    </row>
    <row r="91" spans="1:31">
      <c r="M91" s="220" t="s">
        <v>537</v>
      </c>
      <c r="N91" s="85" t="s">
        <v>29</v>
      </c>
      <c r="O91" s="95" t="s">
        <v>279</v>
      </c>
      <c r="P91" s="208" t="s">
        <v>195</v>
      </c>
      <c r="Q91" s="208" t="s">
        <v>195</v>
      </c>
      <c r="R91" s="208" t="s">
        <v>195</v>
      </c>
      <c r="S91" s="210">
        <f ca="1">'Cost of Service and Proposed $'!N124</f>
        <v>28803906.310936727</v>
      </c>
      <c r="U91" s="76"/>
      <c r="V91" s="138"/>
      <c r="W91" s="270"/>
      <c r="X91" s="135"/>
      <c r="Y91" s="135"/>
      <c r="AB91" s="635"/>
      <c r="AC91" s="636"/>
      <c r="AD91" s="443"/>
      <c r="AE91" s="443"/>
    </row>
    <row r="92" spans="1:31">
      <c r="M92" s="220" t="s">
        <v>538</v>
      </c>
      <c r="N92" s="85" t="s">
        <v>29</v>
      </c>
      <c r="O92" s="95" t="s">
        <v>279</v>
      </c>
      <c r="P92" s="208" t="s">
        <v>195</v>
      </c>
      <c r="Q92" s="208" t="s">
        <v>195</v>
      </c>
      <c r="R92" s="208" t="s">
        <v>195</v>
      </c>
      <c r="S92" s="210">
        <f ca="1">'Cost of Service and Proposed $'!N125</f>
        <v>9096884.8537916373</v>
      </c>
      <c r="U92" s="76"/>
      <c r="V92" s="138"/>
      <c r="W92" s="270"/>
      <c r="X92" s="135"/>
      <c r="Y92" s="135"/>
      <c r="AB92" s="635"/>
      <c r="AC92" s="636"/>
      <c r="AD92" s="443"/>
      <c r="AE92" s="443"/>
    </row>
    <row r="93" spans="1:31">
      <c r="M93" s="329" t="s">
        <v>539</v>
      </c>
      <c r="N93" s="257" t="s">
        <v>29</v>
      </c>
      <c r="O93" s="147" t="s">
        <v>279</v>
      </c>
      <c r="P93" s="209" t="s">
        <v>195</v>
      </c>
      <c r="Q93" s="209" t="s">
        <v>195</v>
      </c>
      <c r="R93" s="209" t="s">
        <v>195</v>
      </c>
      <c r="S93" s="211">
        <f ca="1">'Cost of Service and Proposed $'!N126</f>
        <v>48062652.742403001</v>
      </c>
      <c r="U93" s="138"/>
      <c r="AB93" s="635"/>
      <c r="AC93" s="636"/>
      <c r="AD93" s="443"/>
      <c r="AE93" s="443"/>
    </row>
    <row r="94" spans="1:31">
      <c r="M94" s="438" t="s">
        <v>534</v>
      </c>
      <c r="N94" s="438" t="s">
        <v>29</v>
      </c>
      <c r="O94" s="438" t="s">
        <v>351</v>
      </c>
      <c r="P94" s="212" t="s">
        <v>195</v>
      </c>
      <c r="Q94" s="141" t="s">
        <v>195</v>
      </c>
      <c r="R94" s="141" t="s">
        <v>335</v>
      </c>
      <c r="S94" s="212">
        <f ca="1">(T94*(U94-V94)+V94*100)/100</f>
        <v>1531371.7556732905</v>
      </c>
      <c r="T94" s="505">
        <v>10</v>
      </c>
      <c r="U94" s="135">
        <f ca="1">S90*(1-SUM(U98:U102)/SUM(S90:S93))</f>
        <v>640917.84746827953</v>
      </c>
      <c r="V94" s="135">
        <f ca="1">SUMIFS(S$55:S$89,R$55:R$89,R94)/SUM(S$55:S$62,S$64:S$71,S$77:S$84)*(SUM(S$90:S$93)-SUM(V$98:V$102))</f>
        <v>1630311.0788071805</v>
      </c>
      <c r="AB94" s="635"/>
      <c r="AC94" s="636"/>
      <c r="AD94" s="443"/>
      <c r="AE94" s="443"/>
    </row>
    <row r="95" spans="1:31">
      <c r="M95" s="436" t="s">
        <v>534</v>
      </c>
      <c r="N95" s="436" t="s">
        <v>29</v>
      </c>
      <c r="O95" s="436" t="s">
        <v>351</v>
      </c>
      <c r="P95" s="208" t="s">
        <v>195</v>
      </c>
      <c r="Q95" s="143" t="s">
        <v>195</v>
      </c>
      <c r="R95" s="143" t="s">
        <v>281</v>
      </c>
      <c r="S95" s="208">
        <f t="shared" ref="S95:S102" ca="1" si="12">(T95*(U95-V95)+V95*100)/100</f>
        <v>7982088.685813494</v>
      </c>
      <c r="T95" s="229">
        <f>$T$94</f>
        <v>10</v>
      </c>
      <c r="U95" s="135">
        <f ca="1">S91*(1-SUM(U98:U102)/SUM(S90:S93))</f>
        <v>28319440.794516262</v>
      </c>
      <c r="V95" s="135">
        <f t="shared" ref="V95:V96" ca="1" si="13">SUMIFS(S$55:S$89,R$55:R$89,R95)/SUM(S$55:S$62,S$64:S$71,S$77:S$84)*(SUM(S$90:S$93)-SUM(V$98:V$102))</f>
        <v>5722382.8959576311</v>
      </c>
      <c r="AB95" s="635"/>
      <c r="AC95" s="636"/>
      <c r="AD95" s="443"/>
      <c r="AE95" s="443"/>
    </row>
    <row r="96" spans="1:31">
      <c r="M96" s="436" t="s">
        <v>534</v>
      </c>
      <c r="N96" s="436" t="s">
        <v>29</v>
      </c>
      <c r="O96" s="436" t="s">
        <v>351</v>
      </c>
      <c r="P96" s="208" t="s">
        <v>195</v>
      </c>
      <c r="Q96" s="143" t="s">
        <v>195</v>
      </c>
      <c r="R96" s="143" t="s">
        <v>202</v>
      </c>
      <c r="S96" s="208">
        <f t="shared" ca="1" si="12"/>
        <v>15734184.855334399</v>
      </c>
      <c r="T96" s="229">
        <f t="shared" ref="T96:T102" si="14">$T$94</f>
        <v>10</v>
      </c>
      <c r="U96" s="135">
        <f ca="1">S92*(1-SUM(U98:U102)/SUM(S90:S93))</f>
        <v>8943880.3629793506</v>
      </c>
      <c r="V96" s="135">
        <f t="shared" ca="1" si="13"/>
        <v>16488663.132262738</v>
      </c>
      <c r="Z96" s="339"/>
      <c r="AB96" s="635"/>
      <c r="AC96" s="636"/>
      <c r="AD96" s="443"/>
      <c r="AE96" s="443"/>
    </row>
    <row r="97" spans="13:31">
      <c r="M97" s="436" t="s">
        <v>534</v>
      </c>
      <c r="N97" s="436" t="s">
        <v>29</v>
      </c>
      <c r="O97" s="436" t="s">
        <v>351</v>
      </c>
      <c r="P97" s="208" t="s">
        <v>195</v>
      </c>
      <c r="Q97" s="143" t="s">
        <v>195</v>
      </c>
      <c r="R97" s="143" t="s">
        <v>6</v>
      </c>
      <c r="S97" s="208">
        <f t="shared" ca="1" si="12"/>
        <v>59910859.642519444</v>
      </c>
      <c r="T97" s="229">
        <f t="shared" si="14"/>
        <v>10</v>
      </c>
      <c r="U97" s="135">
        <f ca="1">S93*(1-SUM(U98:U102)/SUM(S90:S93))</f>
        <v>47254265.934376732</v>
      </c>
      <c r="V97" s="135">
        <f ca="1">SUMIFS(S$55:S$89,R$55:R$89,"kWh*")/SUM(S$55:S$62,S$64:S$71,S$77:S$84)*(SUM(S$90:S$93)-SUM(V$98:V$102))</f>
        <v>61317147.832313076</v>
      </c>
      <c r="Z97" s="339"/>
      <c r="AB97" s="635"/>
      <c r="AC97" s="636"/>
      <c r="AD97" s="443"/>
      <c r="AE97" s="443"/>
    </row>
    <row r="98" spans="13:31">
      <c r="M98" s="436" t="s">
        <v>534</v>
      </c>
      <c r="N98" s="436" t="s">
        <v>29</v>
      </c>
      <c r="O98" s="436" t="s">
        <v>351</v>
      </c>
      <c r="P98" s="208" t="s">
        <v>195</v>
      </c>
      <c r="Q98" s="143" t="s">
        <v>195</v>
      </c>
      <c r="R98" s="143" t="s">
        <v>201</v>
      </c>
      <c r="S98" s="208">
        <f t="shared" si="12"/>
        <v>234306.95</v>
      </c>
      <c r="T98" s="229">
        <f t="shared" si="14"/>
        <v>10</v>
      </c>
      <c r="U98" s="135">
        <f>SUMIFS($S$55:$S$89,$R$55:$R$89,R98)</f>
        <v>234306.95</v>
      </c>
      <c r="V98" s="135">
        <f>SUMIFS($S$55:$S$89,$R$55:$R$89,R98)</f>
        <v>234306.95</v>
      </c>
      <c r="Z98" s="76"/>
      <c r="AB98" s="635"/>
      <c r="AC98" s="636"/>
      <c r="AD98" s="443"/>
      <c r="AE98" s="443"/>
    </row>
    <row r="99" spans="13:31">
      <c r="M99" s="436" t="s">
        <v>534</v>
      </c>
      <c r="N99" s="436" t="s">
        <v>29</v>
      </c>
      <c r="O99" s="436" t="s">
        <v>351</v>
      </c>
      <c r="P99" s="208" t="s">
        <v>195</v>
      </c>
      <c r="Q99" s="143" t="s">
        <v>195</v>
      </c>
      <c r="R99" s="143" t="s">
        <v>367</v>
      </c>
      <c r="S99" s="208">
        <f t="shared" si="12"/>
        <v>-9254.81</v>
      </c>
      <c r="T99" s="229">
        <f t="shared" si="14"/>
        <v>10</v>
      </c>
      <c r="U99" s="135">
        <f t="shared" ref="U99:U102" si="15">SUMIFS($S$55:$S$89,$R$55:$R$89,R99)</f>
        <v>-9254.81</v>
      </c>
      <c r="V99" s="135">
        <f t="shared" ref="V99:V102" si="16">SUMIFS($S$55:$S$89,$R$55:$R$89,R99)</f>
        <v>-9254.81</v>
      </c>
      <c r="Z99" s="339"/>
      <c r="AB99" s="635"/>
      <c r="AC99" s="636"/>
      <c r="AD99" s="443"/>
      <c r="AE99" s="443"/>
    </row>
    <row r="100" spans="13:31">
      <c r="M100" s="436" t="s">
        <v>534</v>
      </c>
      <c r="N100" s="436" t="s">
        <v>29</v>
      </c>
      <c r="O100" s="436" t="s">
        <v>351</v>
      </c>
      <c r="P100" s="208" t="s">
        <v>195</v>
      </c>
      <c r="Q100" s="143" t="s">
        <v>195</v>
      </c>
      <c r="R100" s="143" t="s">
        <v>358</v>
      </c>
      <c r="S100" s="208">
        <f t="shared" si="12"/>
        <v>-13598.7</v>
      </c>
      <c r="T100" s="229">
        <f t="shared" si="14"/>
        <v>10</v>
      </c>
      <c r="U100" s="135">
        <f t="shared" si="15"/>
        <v>-13598.699999999999</v>
      </c>
      <c r="V100" s="135">
        <f t="shared" si="16"/>
        <v>-13598.699999999999</v>
      </c>
      <c r="Z100" s="339"/>
      <c r="AB100" s="635"/>
      <c r="AC100" s="636"/>
      <c r="AD100" s="443"/>
      <c r="AE100" s="443"/>
    </row>
    <row r="101" spans="13:31">
      <c r="M101" s="436" t="s">
        <v>534</v>
      </c>
      <c r="N101" s="436" t="s">
        <v>29</v>
      </c>
      <c r="O101" s="436" t="s">
        <v>351</v>
      </c>
      <c r="P101" s="208" t="s">
        <v>195</v>
      </c>
      <c r="Q101" s="143" t="s">
        <v>195</v>
      </c>
      <c r="R101" s="143" t="s">
        <v>368</v>
      </c>
      <c r="S101" s="208">
        <f t="shared" si="12"/>
        <v>7080</v>
      </c>
      <c r="T101" s="229">
        <f t="shared" si="14"/>
        <v>10</v>
      </c>
      <c r="U101" s="135">
        <f t="shared" si="15"/>
        <v>7080</v>
      </c>
      <c r="V101" s="135">
        <f t="shared" si="16"/>
        <v>7080</v>
      </c>
      <c r="AB101" s="635"/>
      <c r="AC101" s="636"/>
      <c r="AD101" s="443"/>
      <c r="AE101" s="443"/>
    </row>
    <row r="102" spans="13:31">
      <c r="M102" s="437" t="s">
        <v>534</v>
      </c>
      <c r="N102" s="437" t="s">
        <v>29</v>
      </c>
      <c r="O102" s="437" t="s">
        <v>351</v>
      </c>
      <c r="P102" s="209" t="s">
        <v>195</v>
      </c>
      <c r="Q102" s="147" t="s">
        <v>195</v>
      </c>
      <c r="R102" s="209" t="s">
        <v>168</v>
      </c>
      <c r="S102" s="209">
        <f t="shared" si="12"/>
        <v>1238287.6664754222</v>
      </c>
      <c r="T102" s="229">
        <f t="shared" si="14"/>
        <v>10</v>
      </c>
      <c r="U102" s="135">
        <f t="shared" si="15"/>
        <v>1238287.6664754222</v>
      </c>
      <c r="V102" s="135">
        <f t="shared" si="16"/>
        <v>1238287.6664754222</v>
      </c>
      <c r="AB102" s="635"/>
      <c r="AC102" s="636"/>
      <c r="AD102" s="443"/>
      <c r="AE102" s="443"/>
    </row>
    <row r="103" spans="13:31">
      <c r="M103" s="212" t="s">
        <v>505</v>
      </c>
      <c r="N103" s="212" t="s">
        <v>403</v>
      </c>
      <c r="O103" s="438" t="s">
        <v>351</v>
      </c>
      <c r="P103" s="212" t="s">
        <v>195</v>
      </c>
      <c r="Q103" s="141" t="s">
        <v>203</v>
      </c>
      <c r="R103" s="141" t="s">
        <v>335</v>
      </c>
      <c r="S103" s="315">
        <f ca="1">ROUND(T103/100*W103*X103/Y103/Z103,U103)</f>
        <v>240.82</v>
      </c>
      <c r="T103" s="229">
        <f>100+Summary!$Q$10</f>
        <v>101.121</v>
      </c>
      <c r="U103" s="135">
        <v>2</v>
      </c>
      <c r="V103" s="303">
        <f ca="1">W103*X103/Y103/Z103</f>
        <v>238.14563738806217</v>
      </c>
      <c r="W103" s="2">
        <f ca="1">SUMIFS(S$94:S$102,R$94:R$102,R103)</f>
        <v>1531371.7556732905</v>
      </c>
      <c r="X103" s="135">
        <f t="shared" ref="X103:X108" si="17">SUMIFS(S$55:S$89,Q$55:Q$89,Q103,R$55:R$89,R103)</f>
        <v>69502.780475098974</v>
      </c>
      <c r="Y103" s="135">
        <f t="shared" ref="Y103:Y108" si="18">SUMIFS(S$55:S$89,R$55:R$89,R103)</f>
        <v>1594739.2510412361</v>
      </c>
      <c r="Z103" s="135">
        <f t="shared" ref="Z103:Z108" si="19">SUMIFS(S$8:S$39,Q$8:Q$39,Q103,R$8:R$39,R103)</f>
        <v>280.25314707701199</v>
      </c>
      <c r="AB103" s="635"/>
      <c r="AC103" s="636"/>
      <c r="AD103" s="443"/>
      <c r="AE103" s="443"/>
    </row>
    <row r="104" spans="13:31">
      <c r="M104" s="208" t="s">
        <v>505</v>
      </c>
      <c r="N104" s="208" t="s">
        <v>403</v>
      </c>
      <c r="O104" s="436" t="s">
        <v>351</v>
      </c>
      <c r="P104" s="208" t="s">
        <v>195</v>
      </c>
      <c r="Q104" s="143" t="s">
        <v>284</v>
      </c>
      <c r="R104" s="143" t="s">
        <v>335</v>
      </c>
      <c r="S104" s="316">
        <f t="shared" ref="S104:S113" ca="1" si="20">ROUND(T104/100*W104*X104/Y104/Z104,U104)</f>
        <v>90.31</v>
      </c>
      <c r="T104" s="229">
        <f>100+Summary!$Q$10</f>
        <v>101.121</v>
      </c>
      <c r="U104" s="135">
        <v>2</v>
      </c>
      <c r="V104" s="303">
        <f t="shared" ref="V104:V113" ca="1" si="21">W104*X104/Y104/Z104</f>
        <v>89.304614020523317</v>
      </c>
      <c r="W104" s="2">
        <f t="shared" ref="W104:W109" ca="1" si="22">SUMIFS(S$94:S$102,R$94:R$102,R104)</f>
        <v>1531371.7556732905</v>
      </c>
      <c r="X104" s="135">
        <f t="shared" si="17"/>
        <v>808271.96023792657</v>
      </c>
      <c r="Y104" s="135">
        <f t="shared" si="18"/>
        <v>1594739.2510412361</v>
      </c>
      <c r="Z104" s="135">
        <f t="shared" si="19"/>
        <v>8691.0963466443718</v>
      </c>
      <c r="AB104" s="635"/>
      <c r="AC104" s="636"/>
      <c r="AD104" s="443"/>
      <c r="AE104" s="443"/>
    </row>
    <row r="105" spans="13:31">
      <c r="M105" s="208" t="s">
        <v>505</v>
      </c>
      <c r="N105" s="208" t="s">
        <v>403</v>
      </c>
      <c r="O105" s="436" t="s">
        <v>351</v>
      </c>
      <c r="P105" s="208" t="s">
        <v>195</v>
      </c>
      <c r="Q105" s="143" t="s">
        <v>204</v>
      </c>
      <c r="R105" s="143" t="s">
        <v>335</v>
      </c>
      <c r="S105" s="316">
        <f t="shared" ca="1" si="20"/>
        <v>179.64</v>
      </c>
      <c r="T105" s="229">
        <f>100+Summary!$Q$10</f>
        <v>101.121</v>
      </c>
      <c r="U105" s="135">
        <v>2</v>
      </c>
      <c r="V105" s="303">
        <f t="shared" ca="1" si="21"/>
        <v>177.64896337415925</v>
      </c>
      <c r="W105" s="2">
        <f t="shared" ca="1" si="22"/>
        <v>1531371.7556732905</v>
      </c>
      <c r="X105" s="135">
        <f t="shared" si="17"/>
        <v>716964.51032821066</v>
      </c>
      <c r="Y105" s="135">
        <f t="shared" si="18"/>
        <v>1594739.2510412361</v>
      </c>
      <c r="Z105" s="135">
        <f t="shared" si="19"/>
        <v>3875.4838396119494</v>
      </c>
      <c r="AB105" s="635"/>
      <c r="AC105" s="636"/>
      <c r="AD105" s="443"/>
      <c r="AE105" s="443"/>
    </row>
    <row r="106" spans="13:31">
      <c r="M106" s="208" t="s">
        <v>505</v>
      </c>
      <c r="N106" s="208" t="s">
        <v>403</v>
      </c>
      <c r="O106" s="436" t="s">
        <v>351</v>
      </c>
      <c r="P106" s="208" t="s">
        <v>195</v>
      </c>
      <c r="Q106" s="143" t="s">
        <v>284</v>
      </c>
      <c r="R106" s="143" t="s">
        <v>281</v>
      </c>
      <c r="S106" s="316">
        <f t="shared" ca="1" si="20"/>
        <v>2.6</v>
      </c>
      <c r="T106" s="229">
        <f>100+Summary!$Q$10</f>
        <v>101.121</v>
      </c>
      <c r="U106" s="135">
        <v>2</v>
      </c>
      <c r="V106" s="303">
        <f t="shared" ca="1" si="21"/>
        <v>2.5668053519280507</v>
      </c>
      <c r="W106" s="2">
        <f t="shared" ca="1" si="22"/>
        <v>7982088.685813494</v>
      </c>
      <c r="X106" s="135">
        <f t="shared" si="17"/>
        <v>2722316.4600000004</v>
      </c>
      <c r="Y106" s="135">
        <f t="shared" si="18"/>
        <v>5597525.9766666675</v>
      </c>
      <c r="Z106" s="135">
        <f t="shared" si="19"/>
        <v>1512398.0333333334</v>
      </c>
      <c r="AB106" s="635"/>
      <c r="AC106" s="636"/>
      <c r="AD106" s="443"/>
      <c r="AE106" s="443"/>
    </row>
    <row r="107" spans="13:31">
      <c r="M107" s="208" t="s">
        <v>505</v>
      </c>
      <c r="N107" s="208" t="s">
        <v>403</v>
      </c>
      <c r="O107" s="436" t="s">
        <v>351</v>
      </c>
      <c r="P107" s="208" t="s">
        <v>195</v>
      </c>
      <c r="Q107" s="143" t="s">
        <v>204</v>
      </c>
      <c r="R107" s="143" t="s">
        <v>281</v>
      </c>
      <c r="S107" s="316">
        <f t="shared" ca="1" si="20"/>
        <v>2.13</v>
      </c>
      <c r="T107" s="229">
        <f>100+Summary!$Q$10</f>
        <v>101.121</v>
      </c>
      <c r="U107" s="135">
        <v>2</v>
      </c>
      <c r="V107" s="303">
        <f t="shared" ca="1" si="21"/>
        <v>2.1104844004741747</v>
      </c>
      <c r="W107" s="2">
        <f t="shared" ca="1" si="22"/>
        <v>7982088.685813494</v>
      </c>
      <c r="X107" s="135">
        <f t="shared" si="17"/>
        <v>2875209.5166666666</v>
      </c>
      <c r="Y107" s="135">
        <f t="shared" si="18"/>
        <v>5597525.9766666675</v>
      </c>
      <c r="Z107" s="135">
        <f t="shared" si="19"/>
        <v>1942709.1328828828</v>
      </c>
      <c r="AB107" s="635"/>
      <c r="AC107" s="636"/>
      <c r="AD107" s="443"/>
      <c r="AE107" s="443"/>
    </row>
    <row r="108" spans="13:31">
      <c r="M108" s="208" t="s">
        <v>505</v>
      </c>
      <c r="N108" s="208" t="s">
        <v>403</v>
      </c>
      <c r="O108" s="436" t="s">
        <v>351</v>
      </c>
      <c r="P108" s="208" t="s">
        <v>195</v>
      </c>
      <c r="Q108" s="143" t="s">
        <v>195</v>
      </c>
      <c r="R108" s="143" t="s">
        <v>202</v>
      </c>
      <c r="S108" s="316">
        <f t="shared" ca="1" si="20"/>
        <v>6.21</v>
      </c>
      <c r="T108" s="229">
        <f>100+Summary!$Q$10</f>
        <v>101.121</v>
      </c>
      <c r="U108" s="135">
        <v>2</v>
      </c>
      <c r="V108" s="303">
        <f t="shared" ca="1" si="21"/>
        <v>6.1458244177267858</v>
      </c>
      <c r="W108" s="2">
        <f t="shared" ca="1" si="22"/>
        <v>15734184.855334399</v>
      </c>
      <c r="X108" s="135">
        <f t="shared" si="17"/>
        <v>16128896.280000001</v>
      </c>
      <c r="Y108" s="135">
        <f t="shared" si="18"/>
        <v>16128896.280000001</v>
      </c>
      <c r="Z108" s="135">
        <f t="shared" si="19"/>
        <v>2560142.2666666666</v>
      </c>
    </row>
    <row r="109" spans="13:31">
      <c r="M109" s="208" t="s">
        <v>505</v>
      </c>
      <c r="N109" s="208" t="s">
        <v>403</v>
      </c>
      <c r="O109" s="436" t="s">
        <v>351</v>
      </c>
      <c r="P109" s="208" t="s">
        <v>195</v>
      </c>
      <c r="Q109" s="143" t="s">
        <v>195</v>
      </c>
      <c r="R109" s="59" t="s">
        <v>6</v>
      </c>
      <c r="S109" s="316">
        <f t="shared" ca="1" si="20"/>
        <v>6.54E-2</v>
      </c>
      <c r="T109" s="229">
        <f>100+Summary!$Q$10</f>
        <v>101.121</v>
      </c>
      <c r="U109" s="135">
        <v>5</v>
      </c>
      <c r="V109" s="303">
        <f t="shared" ca="1" si="21"/>
        <v>6.4670670778278039E-2</v>
      </c>
      <c r="W109" s="2">
        <f t="shared" ca="1" si="22"/>
        <v>59910859.642519444</v>
      </c>
      <c r="X109" s="135">
        <f>SUMIFS(S$55:S$89,Q$55:Q$89,Q109,R$55:R$89,"kWh*")</f>
        <v>59979266.338318788</v>
      </c>
      <c r="Y109" s="135">
        <f>SUMIFS(S$55:S$89,R$55:R$89,"kWh*")</f>
        <v>59979266.338318788</v>
      </c>
      <c r="Z109" s="135">
        <f>SUMIFS(S$8:S$39,Q$8:Q$39,Q109,R$8:R$39,"kWh*")</f>
        <v>926399230.4629482</v>
      </c>
    </row>
    <row r="110" spans="13:31">
      <c r="M110" s="208" t="s">
        <v>505</v>
      </c>
      <c r="N110" s="208" t="s">
        <v>403</v>
      </c>
      <c r="O110" s="436" t="s">
        <v>351</v>
      </c>
      <c r="P110" s="208" t="s">
        <v>195</v>
      </c>
      <c r="Q110" s="143" t="s">
        <v>195</v>
      </c>
      <c r="R110" s="143" t="s">
        <v>201</v>
      </c>
      <c r="S110" s="316">
        <f t="shared" si="20"/>
        <v>0.59</v>
      </c>
      <c r="T110" s="229">
        <f>100+Summary!$Q$10</f>
        <v>101.121</v>
      </c>
      <c r="U110" s="135">
        <v>2</v>
      </c>
      <c r="V110" s="303">
        <f t="shared" si="21"/>
        <v>0.58000000000000007</v>
      </c>
      <c r="W110" s="2">
        <f>S98</f>
        <v>234306.95</v>
      </c>
      <c r="X110" s="135">
        <f>SUMIFS(S$55:S$89,Q$55:Q$89,Q110,R$55:R$89,R110)</f>
        <v>234306.95</v>
      </c>
      <c r="Y110" s="135">
        <f>SUMIFS(S$55:S$89,R$55:R$89,R110)</f>
        <v>234306.95</v>
      </c>
      <c r="Z110" s="135">
        <f>SUMIFS(S$8:S$39,Q$8:Q$39,Q110,R$8:R$39,R110)</f>
        <v>403977.5</v>
      </c>
      <c r="AD110" s="307"/>
      <c r="AE110" s="368"/>
    </row>
    <row r="111" spans="13:31">
      <c r="M111" s="208" t="s">
        <v>505</v>
      </c>
      <c r="N111" s="208" t="s">
        <v>403</v>
      </c>
      <c r="O111" s="436" t="s">
        <v>351</v>
      </c>
      <c r="P111" s="208" t="s">
        <v>195</v>
      </c>
      <c r="Q111" s="143" t="s">
        <v>195</v>
      </c>
      <c r="R111" s="143" t="s">
        <v>367</v>
      </c>
      <c r="S111" s="316">
        <f t="shared" si="20"/>
        <v>-0.01</v>
      </c>
      <c r="T111" s="505">
        <v>100</v>
      </c>
      <c r="U111" s="135">
        <v>2</v>
      </c>
      <c r="V111" s="303">
        <f>W111*X111/Y111/Z111</f>
        <v>-0.01</v>
      </c>
      <c r="W111" s="2">
        <f>S99</f>
        <v>-9254.81</v>
      </c>
      <c r="X111" s="135">
        <f>SUMIFS(S$55:S$89,Q$55:Q$89,Q111,R$55:R$89,R111)</f>
        <v>-9254.81</v>
      </c>
      <c r="Y111" s="135">
        <f>SUMIFS(S$55:S$89,R$55:R$89,R111)</f>
        <v>-9254.81</v>
      </c>
      <c r="Z111" s="135">
        <f>SUMIFS(S$8:S$39,Q$8:Q$39,Q111,R$8:R$39,R111)</f>
        <v>925481</v>
      </c>
      <c r="AC111" s="307"/>
      <c r="AD111" s="152"/>
      <c r="AE111" s="443"/>
    </row>
    <row r="112" spans="13:31">
      <c r="M112" s="208" t="s">
        <v>505</v>
      </c>
      <c r="N112" s="208" t="s">
        <v>403</v>
      </c>
      <c r="O112" s="436" t="s">
        <v>351</v>
      </c>
      <c r="P112" s="208" t="s">
        <v>195</v>
      </c>
      <c r="Q112" s="143" t="s">
        <v>195</v>
      </c>
      <c r="R112" s="143" t="s">
        <v>358</v>
      </c>
      <c r="S112" s="316">
        <f t="shared" si="20"/>
        <v>-0.3</v>
      </c>
      <c r="T112" s="505">
        <v>100</v>
      </c>
      <c r="U112" s="135">
        <v>2</v>
      </c>
      <c r="V112" s="303">
        <f t="shared" si="21"/>
        <v>-0.3</v>
      </c>
      <c r="W112" s="2">
        <f>S100</f>
        <v>-13598.7</v>
      </c>
      <c r="X112" s="135">
        <f>SUMIFS(S$55:S$89,Q$55:Q$89,Q112,R$55:R$89,R112)</f>
        <v>-13598.699999999999</v>
      </c>
      <c r="Y112" s="135">
        <f>SUMIFS(S$55:S$89,R$55:R$89,R112)</f>
        <v>-13598.699999999999</v>
      </c>
      <c r="Z112" s="135">
        <f>SUMIFS(S$8:S$39,Q$8:Q$39,Q112,R$8:R$39,R112)</f>
        <v>45329</v>
      </c>
      <c r="AD112" s="152"/>
      <c r="AE112" s="443"/>
    </row>
    <row r="113" spans="13:31">
      <c r="M113" s="208" t="s">
        <v>505</v>
      </c>
      <c r="N113" s="208" t="s">
        <v>403</v>
      </c>
      <c r="O113" s="436" t="s">
        <v>351</v>
      </c>
      <c r="P113" s="208" t="s">
        <v>195</v>
      </c>
      <c r="Q113" s="143" t="s">
        <v>195</v>
      </c>
      <c r="R113" s="143" t="s">
        <v>368</v>
      </c>
      <c r="S113" s="316">
        <f t="shared" si="20"/>
        <v>60</v>
      </c>
      <c r="T113" s="505">
        <v>100</v>
      </c>
      <c r="U113" s="135">
        <v>2</v>
      </c>
      <c r="V113" s="303">
        <f t="shared" si="21"/>
        <v>60</v>
      </c>
      <c r="W113" s="2">
        <f>S101</f>
        <v>7080</v>
      </c>
      <c r="X113" s="135">
        <f>SUMIFS(S$55:S$89,Q$55:Q$89,Q113,R$55:R$89,R113)</f>
        <v>7080</v>
      </c>
      <c r="Y113" s="135">
        <f>SUMIFS(S$55:S$89,R$55:R$89,R113)</f>
        <v>7080</v>
      </c>
      <c r="Z113" s="135">
        <f>SUMIFS(S$8:S$39,Q$8:Q$39,Q113,R$8:R$39,R113)</f>
        <v>118</v>
      </c>
    </row>
    <row r="114" spans="13:31">
      <c r="M114" s="208" t="s">
        <v>505</v>
      </c>
      <c r="N114" s="208" t="s">
        <v>403</v>
      </c>
      <c r="O114" s="436" t="s">
        <v>489</v>
      </c>
      <c r="P114" s="208" t="s">
        <v>195</v>
      </c>
      <c r="Q114" s="208" t="s">
        <v>195</v>
      </c>
      <c r="R114" s="208" t="s">
        <v>335</v>
      </c>
      <c r="S114" s="316">
        <f ca="1">ROUND(T114/100*W114*X114/Y114/Z114,U114)</f>
        <v>16.77</v>
      </c>
      <c r="T114" s="229">
        <f>100+Summary!$Q$10</f>
        <v>101.121</v>
      </c>
      <c r="U114" s="135">
        <v>2</v>
      </c>
      <c r="V114" s="303">
        <f ca="1">W114*X114/Y114/Z114</f>
        <v>16.582315338692315</v>
      </c>
      <c r="W114" s="2">
        <f ca="1">Sch.24!S106+S94</f>
        <v>4354735.1670890786</v>
      </c>
      <c r="X114" s="25">
        <v>1</v>
      </c>
      <c r="Y114" s="25">
        <v>1</v>
      </c>
      <c r="Z114" s="135">
        <f>Sch.24!Z115+Sch.24!Z117+Z103+Z104+Z105</f>
        <v>262613.2164383562</v>
      </c>
      <c r="AD114" s="404" t="s">
        <v>544</v>
      </c>
      <c r="AE114" s="201"/>
    </row>
    <row r="115" spans="13:31">
      <c r="M115" s="208" t="s">
        <v>505</v>
      </c>
      <c r="N115" s="208" t="s">
        <v>403</v>
      </c>
      <c r="O115" s="436" t="s">
        <v>489</v>
      </c>
      <c r="P115" s="208" t="s">
        <v>195</v>
      </c>
      <c r="Q115" s="208" t="s">
        <v>195</v>
      </c>
      <c r="R115" s="96" t="s">
        <v>197</v>
      </c>
      <c r="S115" s="316">
        <f ca="1">ROUND(T115/100*W115*X115/Y115/Z115,U115)+AA115+AB115</f>
        <v>0.20517000000000002</v>
      </c>
      <c r="T115" s="229">
        <f>100+Summary!$Q$10</f>
        <v>101.121</v>
      </c>
      <c r="U115" s="135">
        <v>5</v>
      </c>
      <c r="V115" s="303">
        <f ca="1">W115*X115/Y115/Z115+AA115+AB115</f>
        <v>0.20411564924831743</v>
      </c>
      <c r="W115" s="2">
        <f ca="1">SUM(Sch.24!S107:S113,S95:S101)</f>
        <v>138044974.04175571</v>
      </c>
      <c r="X115" s="2">
        <v>1</v>
      </c>
      <c r="Y115" s="2">
        <v>1</v>
      </c>
      <c r="Z115" s="135">
        <f>Sch.24!Z122+Sch.24!Z124+Z109</f>
        <v>1470508860.8932304</v>
      </c>
      <c r="AA115" s="441">
        <f>ROUND((S53-S54)*(1-AE115/100),5)</f>
        <v>9.7189999999999999E-2</v>
      </c>
      <c r="AB115" s="336">
        <f>ROUND(0.01866*(1-AE116/100),5)</f>
        <v>1.3050000000000001E-2</v>
      </c>
      <c r="AC115" s="306"/>
      <c r="AD115" s="439" t="s">
        <v>491</v>
      </c>
      <c r="AE115" s="442">
        <v>15.278021888208601</v>
      </c>
    </row>
    <row r="116" spans="13:31">
      <c r="M116" s="209" t="s">
        <v>505</v>
      </c>
      <c r="N116" s="209" t="s">
        <v>403</v>
      </c>
      <c r="O116" s="437" t="s">
        <v>489</v>
      </c>
      <c r="P116" s="209" t="s">
        <v>195</v>
      </c>
      <c r="Q116" s="209" t="s">
        <v>195</v>
      </c>
      <c r="R116" s="411" t="s">
        <v>198</v>
      </c>
      <c r="S116" s="317">
        <f ca="1">ROUND(T116/100*W116*X116/Y116/Z116,U116)+AA116+AB116</f>
        <v>9.0450000000000003E-2</v>
      </c>
      <c r="T116" s="229">
        <f>100+Summary!$Q$10</f>
        <v>101.121</v>
      </c>
      <c r="U116" s="135">
        <v>5</v>
      </c>
      <c r="V116" s="303">
        <f ca="1">W116*X116/Y116/Z116+AA116+AB116</f>
        <v>8.939564924831743E-2</v>
      </c>
      <c r="W116" s="2">
        <f ca="1">SUM(Sch.24!S107:S113,S95:S101)</f>
        <v>138044974.04175571</v>
      </c>
      <c r="X116" s="2">
        <v>1</v>
      </c>
      <c r="Y116" s="2">
        <v>1</v>
      </c>
      <c r="Z116" s="135">
        <f>Sch.24!Z122+Sch.24!Z124+Z109</f>
        <v>1470508860.8932304</v>
      </c>
      <c r="AA116" s="441">
        <f>ROUND((S54-S53)*AE115/100,5)</f>
        <v>-1.753E-2</v>
      </c>
      <c r="AB116" s="336">
        <f>ROUND(0.01866*(1-AE116/100),5)</f>
        <v>1.3050000000000001E-2</v>
      </c>
      <c r="AC116" s="306"/>
      <c r="AD116" s="433" t="s">
        <v>492</v>
      </c>
      <c r="AE116" s="432">
        <v>30.057274160620899</v>
      </c>
    </row>
    <row r="117" spans="13:31">
      <c r="M117" s="212" t="s">
        <v>505</v>
      </c>
      <c r="N117" s="489" t="s">
        <v>29</v>
      </c>
      <c r="O117" s="438" t="s">
        <v>279</v>
      </c>
      <c r="P117" s="492" t="s">
        <v>4</v>
      </c>
      <c r="Q117" s="141" t="s">
        <v>203</v>
      </c>
      <c r="R117" s="141" t="s">
        <v>335</v>
      </c>
      <c r="S117" s="213">
        <f t="shared" ref="S117:S152" ca="1" si="23">IF(R117="Unbilled",SUMIFS(S$55:S$89,P$55:P$89,P117,R$55:R$89,R117),SUMIFS(S$103:S$113,Q$103:Q$113,Q117,R$103:R$113,R117)*U117)</f>
        <v>481.64</v>
      </c>
      <c r="T117" s="135">
        <f t="shared" ref="T117:T152" ca="1" si="24">IF(R117="Unbilled",SUMIFS(S$55:S$89,P$55:P$89,P117,R$55:R$89,R117),SUMIFS(V$103:V$113,Q$103:Q$113,Q117,R$103:R$113,R117)*U117)</f>
        <v>476.29127477612434</v>
      </c>
      <c r="U117" s="135">
        <f t="shared" ref="U117:U122" si="25">SUMIFS(S$8:S$39,P$8:P$39,P117,Q$8:Q$39,Q117,R$8:R$39,R117)</f>
        <v>2</v>
      </c>
      <c r="Z117"/>
    </row>
    <row r="118" spans="13:31">
      <c r="M118" s="208" t="s">
        <v>505</v>
      </c>
      <c r="N118" s="490" t="s">
        <v>29</v>
      </c>
      <c r="O118" s="436" t="s">
        <v>279</v>
      </c>
      <c r="P118" s="493" t="s">
        <v>4</v>
      </c>
      <c r="Q118" s="143" t="s">
        <v>284</v>
      </c>
      <c r="R118" s="143" t="s">
        <v>335</v>
      </c>
      <c r="S118" s="210">
        <f t="shared" ca="1" si="23"/>
        <v>3341.4700000000003</v>
      </c>
      <c r="T118" s="135">
        <f t="shared" ca="1" si="24"/>
        <v>3304.2707187593628</v>
      </c>
      <c r="U118" s="135">
        <f t="shared" si="25"/>
        <v>37</v>
      </c>
    </row>
    <row r="119" spans="13:31">
      <c r="M119" s="208" t="s">
        <v>505</v>
      </c>
      <c r="N119" s="490" t="s">
        <v>29</v>
      </c>
      <c r="O119" s="436" t="s">
        <v>279</v>
      </c>
      <c r="P119" s="493" t="s">
        <v>4</v>
      </c>
      <c r="Q119" s="143" t="s">
        <v>204</v>
      </c>
      <c r="R119" s="143" t="s">
        <v>335</v>
      </c>
      <c r="S119" s="210">
        <f t="shared" ca="1" si="23"/>
        <v>1257.48</v>
      </c>
      <c r="T119" s="135">
        <f t="shared" ca="1" si="24"/>
        <v>1243.5427436191148</v>
      </c>
      <c r="U119" s="135">
        <f t="shared" si="25"/>
        <v>7</v>
      </c>
    </row>
    <row r="120" spans="13:31">
      <c r="M120" s="208" t="s">
        <v>505</v>
      </c>
      <c r="N120" s="490" t="s">
        <v>29</v>
      </c>
      <c r="O120" s="436" t="s">
        <v>279</v>
      </c>
      <c r="P120" s="493" t="s">
        <v>4</v>
      </c>
      <c r="Q120" s="143" t="s">
        <v>284</v>
      </c>
      <c r="R120" s="143" t="s">
        <v>281</v>
      </c>
      <c r="S120" s="210">
        <f t="shared" ca="1" si="23"/>
        <v>13709.800000000001</v>
      </c>
      <c r="T120" s="135">
        <f t="shared" ca="1" si="24"/>
        <v>13534.764620716611</v>
      </c>
      <c r="U120" s="135">
        <f t="shared" si="25"/>
        <v>5273</v>
      </c>
    </row>
    <row r="121" spans="13:31">
      <c r="M121" s="208" t="s">
        <v>505</v>
      </c>
      <c r="N121" s="490" t="s">
        <v>29</v>
      </c>
      <c r="O121" s="436" t="s">
        <v>279</v>
      </c>
      <c r="P121" s="493" t="s">
        <v>4</v>
      </c>
      <c r="Q121" s="143" t="s">
        <v>204</v>
      </c>
      <c r="R121" s="143" t="s">
        <v>281</v>
      </c>
      <c r="S121" s="210">
        <f t="shared" ca="1" si="23"/>
        <v>4615.71</v>
      </c>
      <c r="T121" s="135">
        <f t="shared" ca="1" si="24"/>
        <v>4573.419695827537</v>
      </c>
      <c r="U121" s="135">
        <f t="shared" si="25"/>
        <v>2167</v>
      </c>
    </row>
    <row r="122" spans="13:31">
      <c r="M122" s="208" t="s">
        <v>505</v>
      </c>
      <c r="N122" s="490" t="s">
        <v>29</v>
      </c>
      <c r="O122" s="436" t="s">
        <v>279</v>
      </c>
      <c r="P122" s="493" t="s">
        <v>4</v>
      </c>
      <c r="Q122" s="143" t="s">
        <v>195</v>
      </c>
      <c r="R122" s="143" t="s">
        <v>202</v>
      </c>
      <c r="S122" s="210">
        <f t="shared" ca="1" si="23"/>
        <v>36471.33</v>
      </c>
      <c r="T122" s="135">
        <f t="shared" ca="1" si="24"/>
        <v>36094.426805309413</v>
      </c>
      <c r="U122" s="135">
        <f t="shared" si="25"/>
        <v>5873</v>
      </c>
      <c r="Z122"/>
    </row>
    <row r="123" spans="13:31">
      <c r="M123" s="208" t="s">
        <v>505</v>
      </c>
      <c r="N123" s="490" t="s">
        <v>29</v>
      </c>
      <c r="O123" s="436" t="s">
        <v>279</v>
      </c>
      <c r="P123" s="493" t="s">
        <v>4</v>
      </c>
      <c r="Q123" s="143" t="s">
        <v>195</v>
      </c>
      <c r="R123" s="59" t="s">
        <v>6</v>
      </c>
      <c r="S123" s="210">
        <f t="shared" ca="1" si="23"/>
        <v>149837.9115521558</v>
      </c>
      <c r="T123" s="135">
        <f t="shared" ca="1" si="24"/>
        <v>148166.94568951393</v>
      </c>
      <c r="U123" s="135">
        <f>SUMIFS(S$8:S$39,P$8:P$39,P123,Q$8:Q$39,Q123,R$8:R$39,"kWh*")</f>
        <v>2291099.5650176727</v>
      </c>
      <c r="W123" s="304"/>
      <c r="Z123"/>
    </row>
    <row r="124" spans="13:31">
      <c r="M124" s="208" t="s">
        <v>505</v>
      </c>
      <c r="N124" s="490" t="s">
        <v>29</v>
      </c>
      <c r="O124" s="436" t="s">
        <v>279</v>
      </c>
      <c r="P124" s="493" t="s">
        <v>4</v>
      </c>
      <c r="Q124" s="143" t="s">
        <v>195</v>
      </c>
      <c r="R124" s="143" t="s">
        <v>201</v>
      </c>
      <c r="S124" s="210">
        <f t="shared" si="23"/>
        <v>0</v>
      </c>
      <c r="T124" s="135">
        <f t="shared" si="24"/>
        <v>0</v>
      </c>
      <c r="U124" s="135">
        <f t="shared" ref="U124:U134" si="26">SUMIFS(S$8:S$39,P$8:P$39,P124,Q$8:Q$39,Q124,R$8:R$39,R124)</f>
        <v>0</v>
      </c>
      <c r="W124" s="304"/>
      <c r="Z124"/>
    </row>
    <row r="125" spans="13:31">
      <c r="M125" s="208" t="s">
        <v>505</v>
      </c>
      <c r="N125" s="490" t="s">
        <v>29</v>
      </c>
      <c r="O125" s="436" t="s">
        <v>279</v>
      </c>
      <c r="P125" s="493" t="s">
        <v>4</v>
      </c>
      <c r="Q125" s="143" t="s">
        <v>195</v>
      </c>
      <c r="R125" s="143" t="s">
        <v>367</v>
      </c>
      <c r="S125" s="210">
        <f t="shared" si="23"/>
        <v>0</v>
      </c>
      <c r="T125" s="135">
        <f t="shared" si="24"/>
        <v>0</v>
      </c>
      <c r="U125" s="135">
        <f t="shared" si="26"/>
        <v>0</v>
      </c>
      <c r="Z125"/>
    </row>
    <row r="126" spans="13:31">
      <c r="M126" s="208" t="s">
        <v>505</v>
      </c>
      <c r="N126" s="490" t="s">
        <v>29</v>
      </c>
      <c r="O126" s="436" t="s">
        <v>279</v>
      </c>
      <c r="P126" s="493" t="s">
        <v>4</v>
      </c>
      <c r="Q126" s="143" t="s">
        <v>195</v>
      </c>
      <c r="R126" s="143" t="s">
        <v>358</v>
      </c>
      <c r="S126" s="210">
        <f t="shared" si="23"/>
        <v>0</v>
      </c>
      <c r="T126" s="135">
        <f t="shared" si="24"/>
        <v>0</v>
      </c>
      <c r="U126" s="135">
        <f t="shared" si="26"/>
        <v>0</v>
      </c>
      <c r="Z126"/>
    </row>
    <row r="127" spans="13:31">
      <c r="M127" s="208" t="s">
        <v>505</v>
      </c>
      <c r="N127" s="490" t="s">
        <v>29</v>
      </c>
      <c r="O127" s="436" t="s">
        <v>279</v>
      </c>
      <c r="P127" s="493" t="s">
        <v>4</v>
      </c>
      <c r="Q127" s="143" t="s">
        <v>195</v>
      </c>
      <c r="R127" s="143" t="s">
        <v>368</v>
      </c>
      <c r="S127" s="210">
        <f t="shared" si="23"/>
        <v>0</v>
      </c>
      <c r="T127" s="135">
        <f t="shared" si="24"/>
        <v>0</v>
      </c>
      <c r="U127" s="135">
        <f t="shared" si="26"/>
        <v>0</v>
      </c>
      <c r="Z127"/>
    </row>
    <row r="128" spans="13:31">
      <c r="M128" s="208" t="s">
        <v>505</v>
      </c>
      <c r="N128" s="490" t="s">
        <v>29</v>
      </c>
      <c r="O128" s="436" t="s">
        <v>279</v>
      </c>
      <c r="P128" s="493" t="s">
        <v>4</v>
      </c>
      <c r="Q128" s="95" t="s">
        <v>195</v>
      </c>
      <c r="R128" s="208" t="s">
        <v>168</v>
      </c>
      <c r="S128" s="210">
        <f t="shared" si="23"/>
        <v>6831.3392740641229</v>
      </c>
      <c r="T128" s="135">
        <f t="shared" si="24"/>
        <v>6831.3392740641229</v>
      </c>
      <c r="U128" s="135">
        <f t="shared" si="26"/>
        <v>0</v>
      </c>
      <c r="Z128"/>
    </row>
    <row r="129" spans="13:26">
      <c r="M129" s="208" t="s">
        <v>505</v>
      </c>
      <c r="N129" s="490" t="s">
        <v>29</v>
      </c>
      <c r="O129" s="436" t="s">
        <v>279</v>
      </c>
      <c r="P129" s="494" t="s">
        <v>5</v>
      </c>
      <c r="Q129" s="143" t="s">
        <v>203</v>
      </c>
      <c r="R129" s="143" t="s">
        <v>335</v>
      </c>
      <c r="S129" s="210">
        <f t="shared" ca="1" si="23"/>
        <v>55746.574212419364</v>
      </c>
      <c r="T129" s="135">
        <f t="shared" ca="1" si="24"/>
        <v>55127.495424040855</v>
      </c>
      <c r="U129" s="135">
        <f t="shared" si="26"/>
        <v>231.48648041034534</v>
      </c>
      <c r="Z129"/>
    </row>
    <row r="130" spans="13:26">
      <c r="M130" s="208" t="s">
        <v>505</v>
      </c>
      <c r="N130" s="490" t="s">
        <v>29</v>
      </c>
      <c r="O130" s="436" t="s">
        <v>279</v>
      </c>
      <c r="P130" s="494" t="s">
        <v>5</v>
      </c>
      <c r="Q130" s="143" t="s">
        <v>284</v>
      </c>
      <c r="R130" s="143" t="s">
        <v>335</v>
      </c>
      <c r="S130" s="210">
        <f t="shared" ca="1" si="23"/>
        <v>722795.75506545324</v>
      </c>
      <c r="T130" s="135">
        <f t="shared" ca="1" si="24"/>
        <v>714749.15205174405</v>
      </c>
      <c r="U130" s="135">
        <f t="shared" si="26"/>
        <v>8003.4963466443714</v>
      </c>
      <c r="Z130"/>
    </row>
    <row r="131" spans="13:26">
      <c r="M131" s="208" t="s">
        <v>505</v>
      </c>
      <c r="N131" s="490" t="s">
        <v>29</v>
      </c>
      <c r="O131" s="436" t="s">
        <v>279</v>
      </c>
      <c r="P131" s="494" t="s">
        <v>5</v>
      </c>
      <c r="Q131" s="143" t="s">
        <v>204</v>
      </c>
      <c r="R131" s="143" t="s">
        <v>335</v>
      </c>
      <c r="S131" s="210">
        <f t="shared" ca="1" si="23"/>
        <v>613916.79694789054</v>
      </c>
      <c r="T131" s="135">
        <f t="shared" ca="1" si="24"/>
        <v>607112.46145500429</v>
      </c>
      <c r="U131" s="135">
        <f t="shared" si="26"/>
        <v>3417.4838396119494</v>
      </c>
      <c r="Z131"/>
    </row>
    <row r="132" spans="13:26">
      <c r="M132" s="208" t="s">
        <v>505</v>
      </c>
      <c r="N132" s="490" t="s">
        <v>29</v>
      </c>
      <c r="O132" s="436" t="s">
        <v>279</v>
      </c>
      <c r="P132" s="494" t="s">
        <v>5</v>
      </c>
      <c r="Q132" s="143" t="s">
        <v>284</v>
      </c>
      <c r="R132" s="143" t="s">
        <v>281</v>
      </c>
      <c r="S132" s="210">
        <f t="shared" ca="1" si="23"/>
        <v>3612451.3533333335</v>
      </c>
      <c r="T132" s="135">
        <f t="shared" ca="1" si="24"/>
        <v>3566330.5643522036</v>
      </c>
      <c r="U132" s="135">
        <f t="shared" si="26"/>
        <v>1389404.3666666667</v>
      </c>
      <c r="Z132"/>
    </row>
    <row r="133" spans="13:26">
      <c r="M133" s="208" t="s">
        <v>505</v>
      </c>
      <c r="N133" s="490" t="s">
        <v>29</v>
      </c>
      <c r="O133" s="436" t="s">
        <v>279</v>
      </c>
      <c r="P133" s="494" t="s">
        <v>5</v>
      </c>
      <c r="Q133" s="143" t="s">
        <v>204</v>
      </c>
      <c r="R133" s="143" t="s">
        <v>281</v>
      </c>
      <c r="S133" s="210">
        <f t="shared" ca="1" si="23"/>
        <v>3598822.7230405402</v>
      </c>
      <c r="T133" s="135">
        <f t="shared" ca="1" si="24"/>
        <v>3565849.3976756111</v>
      </c>
      <c r="U133" s="135">
        <f t="shared" si="26"/>
        <v>1689588.1328828828</v>
      </c>
      <c r="Z133"/>
    </row>
    <row r="134" spans="13:26">
      <c r="M134" s="208" t="s">
        <v>505</v>
      </c>
      <c r="N134" s="490" t="s">
        <v>29</v>
      </c>
      <c r="O134" s="436" t="s">
        <v>279</v>
      </c>
      <c r="P134" s="494" t="s">
        <v>5</v>
      </c>
      <c r="Q134" s="143" t="s">
        <v>195</v>
      </c>
      <c r="R134" s="143" t="s">
        <v>202</v>
      </c>
      <c r="S134" s="210">
        <f t="shared" ca="1" si="23"/>
        <v>14083612.425000001</v>
      </c>
      <c r="T134" s="135">
        <f t="shared" ca="1" si="24"/>
        <v>13938069.103279445</v>
      </c>
      <c r="U134" s="135">
        <f t="shared" si="26"/>
        <v>2267892.5</v>
      </c>
      <c r="Z134"/>
    </row>
    <row r="135" spans="13:26">
      <c r="M135" s="208" t="s">
        <v>505</v>
      </c>
      <c r="N135" s="490" t="s">
        <v>29</v>
      </c>
      <c r="O135" s="436" t="s">
        <v>279</v>
      </c>
      <c r="P135" s="494" t="s">
        <v>5</v>
      </c>
      <c r="Q135" s="143" t="s">
        <v>195</v>
      </c>
      <c r="R135" s="59" t="s">
        <v>6</v>
      </c>
      <c r="S135" s="210">
        <f t="shared" ca="1" si="23"/>
        <v>54718853.431737497</v>
      </c>
      <c r="T135" s="135">
        <f t="shared" ca="1" si="24"/>
        <v>54108638.46557714</v>
      </c>
      <c r="U135" s="135">
        <f>SUMIFS(S$8:S$39,P$8:P$39,P135,Q$8:Q$39,Q135,R$8:R$39,"kWh*")</f>
        <v>836679716.08161306</v>
      </c>
      <c r="Z135"/>
    </row>
    <row r="136" spans="13:26">
      <c r="M136" s="208" t="s">
        <v>505</v>
      </c>
      <c r="N136" s="490" t="s">
        <v>29</v>
      </c>
      <c r="O136" s="436" t="s">
        <v>279</v>
      </c>
      <c r="P136" s="494" t="s">
        <v>5</v>
      </c>
      <c r="Q136" s="143" t="s">
        <v>195</v>
      </c>
      <c r="R136" s="143" t="s">
        <v>201</v>
      </c>
      <c r="S136" s="210">
        <f t="shared" si="23"/>
        <v>190315.56758620689</v>
      </c>
      <c r="T136" s="135">
        <f t="shared" si="24"/>
        <v>187089.88000000003</v>
      </c>
      <c r="U136" s="135">
        <f t="shared" ref="U136:U146" si="27">SUMIFS(S$8:S$39,P$8:P$39,P136,Q$8:Q$39,Q136,R$8:R$39,R136)</f>
        <v>322568.75862068968</v>
      </c>
      <c r="Z136"/>
    </row>
    <row r="137" spans="13:26">
      <c r="M137" s="208" t="s">
        <v>505</v>
      </c>
      <c r="N137" s="490" t="s">
        <v>29</v>
      </c>
      <c r="O137" s="436" t="s">
        <v>279</v>
      </c>
      <c r="P137" s="494" t="s">
        <v>5</v>
      </c>
      <c r="Q137" s="143" t="s">
        <v>195</v>
      </c>
      <c r="R137" s="143" t="s">
        <v>367</v>
      </c>
      <c r="S137" s="210">
        <f t="shared" si="23"/>
        <v>-9070.42</v>
      </c>
      <c r="T137" s="135">
        <f t="shared" si="24"/>
        <v>-9070.42</v>
      </c>
      <c r="U137" s="135">
        <f t="shared" si="27"/>
        <v>907042</v>
      </c>
      <c r="Z137"/>
    </row>
    <row r="138" spans="13:26">
      <c r="M138" s="208" t="s">
        <v>505</v>
      </c>
      <c r="N138" s="490" t="s">
        <v>29</v>
      </c>
      <c r="O138" s="436" t="s">
        <v>279</v>
      </c>
      <c r="P138" s="494" t="s">
        <v>5</v>
      </c>
      <c r="Q138" s="143" t="s">
        <v>195</v>
      </c>
      <c r="R138" s="143" t="s">
        <v>358</v>
      </c>
      <c r="S138" s="210">
        <f t="shared" si="23"/>
        <v>-13342.199999999999</v>
      </c>
      <c r="T138" s="135">
        <f t="shared" si="24"/>
        <v>-13342.199999999999</v>
      </c>
      <c r="U138" s="135">
        <f t="shared" si="27"/>
        <v>44474</v>
      </c>
      <c r="Z138"/>
    </row>
    <row r="139" spans="13:26">
      <c r="M139" s="208" t="s">
        <v>505</v>
      </c>
      <c r="N139" s="490" t="s">
        <v>29</v>
      </c>
      <c r="O139" s="436" t="s">
        <v>279</v>
      </c>
      <c r="P139" s="494" t="s">
        <v>5</v>
      </c>
      <c r="Q139" s="143" t="s">
        <v>195</v>
      </c>
      <c r="R139" s="143" t="s">
        <v>368</v>
      </c>
      <c r="S139" s="210">
        <f t="shared" si="23"/>
        <v>6480</v>
      </c>
      <c r="T139" s="135">
        <f t="shared" si="24"/>
        <v>6480</v>
      </c>
      <c r="U139" s="135">
        <f t="shared" si="27"/>
        <v>108</v>
      </c>
      <c r="Z139"/>
    </row>
    <row r="140" spans="13:26">
      <c r="M140" s="208" t="s">
        <v>505</v>
      </c>
      <c r="N140" s="490" t="s">
        <v>29</v>
      </c>
      <c r="O140" s="436" t="s">
        <v>279</v>
      </c>
      <c r="P140" s="494" t="s">
        <v>5</v>
      </c>
      <c r="Q140" s="95" t="s">
        <v>195</v>
      </c>
      <c r="R140" s="208" t="s">
        <v>168</v>
      </c>
      <c r="S140" s="210">
        <f t="shared" si="23"/>
        <v>1072849.6731901476</v>
      </c>
      <c r="T140" s="135">
        <f t="shared" si="24"/>
        <v>1072849.6731901476</v>
      </c>
      <c r="U140" s="135">
        <f t="shared" si="27"/>
        <v>0</v>
      </c>
      <c r="Z140"/>
    </row>
    <row r="141" spans="13:26">
      <c r="M141" s="208" t="s">
        <v>505</v>
      </c>
      <c r="N141" s="490" t="s">
        <v>29</v>
      </c>
      <c r="O141" s="436" t="s">
        <v>279</v>
      </c>
      <c r="P141" s="493" t="s">
        <v>7</v>
      </c>
      <c r="Q141" s="143" t="s">
        <v>203</v>
      </c>
      <c r="R141" s="143" t="s">
        <v>335</v>
      </c>
      <c r="S141" s="210">
        <f t="shared" ca="1" si="23"/>
        <v>11262.348666666667</v>
      </c>
      <c r="T141" s="135">
        <f t="shared" ca="1" si="24"/>
        <v>11137.277641848374</v>
      </c>
      <c r="U141" s="135">
        <f t="shared" si="27"/>
        <v>46.766666666666666</v>
      </c>
      <c r="Z141"/>
    </row>
    <row r="142" spans="13:26">
      <c r="M142" s="208" t="s">
        <v>505</v>
      </c>
      <c r="N142" s="490" t="s">
        <v>29</v>
      </c>
      <c r="O142" s="436" t="s">
        <v>279</v>
      </c>
      <c r="P142" s="493" t="s">
        <v>7</v>
      </c>
      <c r="Q142" s="143" t="s">
        <v>284</v>
      </c>
      <c r="R142" s="143" t="s">
        <v>335</v>
      </c>
      <c r="S142" s="210">
        <f t="shared" ca="1" si="23"/>
        <v>58755.686000000002</v>
      </c>
      <c r="T142" s="135">
        <f t="shared" ca="1" si="24"/>
        <v>58101.581881752471</v>
      </c>
      <c r="U142" s="135">
        <f t="shared" si="27"/>
        <v>650.6</v>
      </c>
      <c r="Z142"/>
    </row>
    <row r="143" spans="13:26">
      <c r="M143" s="208" t="s">
        <v>505</v>
      </c>
      <c r="N143" s="490" t="s">
        <v>29</v>
      </c>
      <c r="O143" s="436" t="s">
        <v>279</v>
      </c>
      <c r="P143" s="493" t="s">
        <v>7</v>
      </c>
      <c r="Q143" s="143" t="s">
        <v>204</v>
      </c>
      <c r="R143" s="143" t="s">
        <v>335</v>
      </c>
      <c r="S143" s="210">
        <f t="shared" ca="1" si="23"/>
        <v>81017.64</v>
      </c>
      <c r="T143" s="135">
        <f t="shared" ca="1" si="24"/>
        <v>80119.682481745825</v>
      </c>
      <c r="U143" s="135">
        <f t="shared" si="27"/>
        <v>451</v>
      </c>
      <c r="Z143"/>
    </row>
    <row r="144" spans="13:26">
      <c r="M144" s="208" t="s">
        <v>505</v>
      </c>
      <c r="N144" s="490" t="s">
        <v>29</v>
      </c>
      <c r="O144" s="436" t="s">
        <v>279</v>
      </c>
      <c r="P144" s="493" t="s">
        <v>7</v>
      </c>
      <c r="Q144" s="143" t="s">
        <v>284</v>
      </c>
      <c r="R144" s="143" t="s">
        <v>281</v>
      </c>
      <c r="S144" s="210">
        <f t="shared" ca="1" si="23"/>
        <v>306073.73333333334</v>
      </c>
      <c r="T144" s="135">
        <f t="shared" ca="1" si="24"/>
        <v>302166.03723253804</v>
      </c>
      <c r="U144" s="135">
        <f t="shared" si="27"/>
        <v>117720.66666666666</v>
      </c>
      <c r="Z144"/>
    </row>
    <row r="145" spans="13:26">
      <c r="M145" s="208" t="s">
        <v>505</v>
      </c>
      <c r="N145" s="490" t="s">
        <v>29</v>
      </c>
      <c r="O145" s="436" t="s">
        <v>279</v>
      </c>
      <c r="P145" s="493" t="s">
        <v>7</v>
      </c>
      <c r="Q145" s="143" t="s">
        <v>204</v>
      </c>
      <c r="R145" s="143" t="s">
        <v>281</v>
      </c>
      <c r="S145" s="210">
        <f t="shared" ca="1" si="23"/>
        <v>534532.02</v>
      </c>
      <c r="T145" s="135">
        <f t="shared" ca="1" si="24"/>
        <v>529634.50223659608</v>
      </c>
      <c r="U145" s="135">
        <f t="shared" si="27"/>
        <v>250954</v>
      </c>
      <c r="Z145"/>
    </row>
    <row r="146" spans="13:26">
      <c r="M146" s="208" t="s">
        <v>505</v>
      </c>
      <c r="N146" s="490" t="s">
        <v>29</v>
      </c>
      <c r="O146" s="436" t="s">
        <v>279</v>
      </c>
      <c r="P146" s="493" t="s">
        <v>7</v>
      </c>
      <c r="Q146" s="143" t="s">
        <v>195</v>
      </c>
      <c r="R146" s="143" t="s">
        <v>202</v>
      </c>
      <c r="S146" s="210">
        <f t="shared" ca="1" si="23"/>
        <v>1778399.7209999999</v>
      </c>
      <c r="T146" s="135">
        <f t="shared" ca="1" si="24"/>
        <v>1760021.3252496463</v>
      </c>
      <c r="U146" s="135">
        <f t="shared" si="27"/>
        <v>286376.76666666666</v>
      </c>
      <c r="Z146"/>
    </row>
    <row r="147" spans="13:26">
      <c r="M147" s="208" t="s">
        <v>505</v>
      </c>
      <c r="N147" s="490" t="s">
        <v>29</v>
      </c>
      <c r="O147" s="436" t="s">
        <v>279</v>
      </c>
      <c r="P147" s="493" t="s">
        <v>7</v>
      </c>
      <c r="Q147" s="143" t="s">
        <v>195</v>
      </c>
      <c r="R147" s="59" t="s">
        <v>6</v>
      </c>
      <c r="S147" s="210">
        <f t="shared" ca="1" si="23"/>
        <v>5717818.3289871663</v>
      </c>
      <c r="T147" s="135">
        <f t="shared" ca="1" si="24"/>
        <v>5654054.2312527969</v>
      </c>
      <c r="U147" s="135">
        <f>SUMIFS(S$8:S$39,P$8:P$39,P147,Q$8:Q$39,Q147,R$8:R$39,"kWh*")</f>
        <v>87428414.816317528</v>
      </c>
      <c r="Z147"/>
    </row>
    <row r="148" spans="13:26">
      <c r="M148" s="208" t="s">
        <v>505</v>
      </c>
      <c r="N148" s="490" t="s">
        <v>29</v>
      </c>
      <c r="O148" s="436" t="s">
        <v>279</v>
      </c>
      <c r="P148" s="493" t="s">
        <v>7</v>
      </c>
      <c r="Q148" s="143" t="s">
        <v>195</v>
      </c>
      <c r="R148" s="143" t="s">
        <v>201</v>
      </c>
      <c r="S148" s="210">
        <f t="shared" si="23"/>
        <v>48031.157413793102</v>
      </c>
      <c r="T148" s="135">
        <f t="shared" si="24"/>
        <v>47217.070000000007</v>
      </c>
      <c r="U148" s="135">
        <f>SUMIFS(S$8:S$39,P$8:P$39,P148,Q$8:Q$39,Q148,R$8:R$39,R148)</f>
        <v>81408.741379310348</v>
      </c>
      <c r="Z148"/>
    </row>
    <row r="149" spans="13:26">
      <c r="M149" s="208" t="s">
        <v>505</v>
      </c>
      <c r="N149" s="490" t="s">
        <v>29</v>
      </c>
      <c r="O149" s="436" t="s">
        <v>279</v>
      </c>
      <c r="P149" s="493" t="s">
        <v>7</v>
      </c>
      <c r="Q149" s="143" t="s">
        <v>195</v>
      </c>
      <c r="R149" s="143" t="s">
        <v>367</v>
      </c>
      <c r="S149" s="210">
        <f t="shared" si="23"/>
        <v>-184.39000000000001</v>
      </c>
      <c r="T149" s="135">
        <f t="shared" si="24"/>
        <v>-184.39000000000001</v>
      </c>
      <c r="U149" s="135">
        <f>SUMIFS(S$8:S$39,P$8:P$39,P149,Q$8:Q$39,Q149,R$8:R$39,R149)</f>
        <v>18439</v>
      </c>
      <c r="Z149"/>
    </row>
    <row r="150" spans="13:26">
      <c r="M150" s="208" t="s">
        <v>505</v>
      </c>
      <c r="N150" s="490" t="s">
        <v>29</v>
      </c>
      <c r="O150" s="436" t="s">
        <v>279</v>
      </c>
      <c r="P150" s="493" t="s">
        <v>7</v>
      </c>
      <c r="Q150" s="143" t="s">
        <v>195</v>
      </c>
      <c r="R150" s="143" t="s">
        <v>358</v>
      </c>
      <c r="S150" s="210">
        <f t="shared" si="23"/>
        <v>-256.5</v>
      </c>
      <c r="T150" s="135">
        <f t="shared" si="24"/>
        <v>-256.5</v>
      </c>
      <c r="U150" s="135">
        <f>SUMIFS(S$8:S$39,P$8:P$39,P150,Q$8:Q$39,Q150,R$8:R$39,R150)</f>
        <v>855</v>
      </c>
      <c r="Z150"/>
    </row>
    <row r="151" spans="13:26">
      <c r="M151" s="208" t="s">
        <v>505</v>
      </c>
      <c r="N151" s="490" t="s">
        <v>29</v>
      </c>
      <c r="O151" s="436" t="s">
        <v>279</v>
      </c>
      <c r="P151" s="493" t="s">
        <v>7</v>
      </c>
      <c r="Q151" s="143" t="s">
        <v>195</v>
      </c>
      <c r="R151" s="143" t="s">
        <v>368</v>
      </c>
      <c r="S151" s="210">
        <f t="shared" si="23"/>
        <v>600</v>
      </c>
      <c r="T151" s="135">
        <f t="shared" si="24"/>
        <v>600</v>
      </c>
      <c r="U151" s="135">
        <f>SUMIFS(S$8:S$39,P$8:P$39,P151,Q$8:Q$39,Q151,R$8:R$39,R151)</f>
        <v>10</v>
      </c>
      <c r="Z151"/>
    </row>
    <row r="152" spans="13:26">
      <c r="M152" s="209" t="s">
        <v>505</v>
      </c>
      <c r="N152" s="491" t="s">
        <v>29</v>
      </c>
      <c r="O152" s="437" t="s">
        <v>279</v>
      </c>
      <c r="P152" s="495" t="s">
        <v>7</v>
      </c>
      <c r="Q152" s="147" t="s">
        <v>195</v>
      </c>
      <c r="R152" s="209" t="s">
        <v>168</v>
      </c>
      <c r="S152" s="211">
        <f t="shared" si="23"/>
        <v>158606.6540112104</v>
      </c>
      <c r="T152" s="135">
        <f t="shared" si="24"/>
        <v>158606.6540112104</v>
      </c>
      <c r="U152" s="135">
        <f>SUMIFS(S$8:S$39,P$8:P$39,P152,Q$8:Q$39,Q152,R$8:R$39,R152)</f>
        <v>0</v>
      </c>
      <c r="Z152"/>
    </row>
    <row r="153" spans="13:26">
      <c r="M153" s="342" t="s">
        <v>540</v>
      </c>
      <c r="N153" s="256" t="s">
        <v>29</v>
      </c>
      <c r="O153" s="139" t="s">
        <v>279</v>
      </c>
      <c r="P153" s="212" t="s">
        <v>195</v>
      </c>
      <c r="Q153" s="212" t="s">
        <v>195</v>
      </c>
      <c r="R153" s="212" t="s">
        <v>195</v>
      </c>
      <c r="S153" s="213">
        <f ca="1">'Cost of Service and Proposed $'!W123</f>
        <v>694106.91335082683</v>
      </c>
      <c r="Z153"/>
    </row>
    <row r="154" spans="13:26">
      <c r="M154" s="220" t="s">
        <v>541</v>
      </c>
      <c r="N154" s="85" t="s">
        <v>29</v>
      </c>
      <c r="O154" s="95" t="s">
        <v>279</v>
      </c>
      <c r="P154" s="208" t="s">
        <v>195</v>
      </c>
      <c r="Q154" s="208" t="s">
        <v>195</v>
      </c>
      <c r="R154" s="208" t="s">
        <v>195</v>
      </c>
      <c r="S154" s="210">
        <f ca="1">'Cost of Service and Proposed $'!W124</f>
        <v>30667968.575895347</v>
      </c>
      <c r="Z154"/>
    </row>
    <row r="155" spans="13:26">
      <c r="M155" s="220" t="s">
        <v>542</v>
      </c>
      <c r="N155" s="85" t="s">
        <v>29</v>
      </c>
      <c r="O155" s="95" t="s">
        <v>279</v>
      </c>
      <c r="P155" s="208" t="s">
        <v>195</v>
      </c>
      <c r="Q155" s="208" t="s">
        <v>195</v>
      </c>
      <c r="R155" s="208" t="s">
        <v>195</v>
      </c>
      <c r="S155" s="210">
        <f ca="1">'Cost of Service and Proposed $'!W125</f>
        <v>9685604.2711726557</v>
      </c>
      <c r="Z155"/>
    </row>
    <row r="156" spans="13:26">
      <c r="M156" s="329" t="s">
        <v>543</v>
      </c>
      <c r="N156" s="257" t="s">
        <v>29</v>
      </c>
      <c r="O156" s="147" t="s">
        <v>279</v>
      </c>
      <c r="P156" s="209" t="s">
        <v>195</v>
      </c>
      <c r="Q156" s="209" t="s">
        <v>195</v>
      </c>
      <c r="R156" s="209" t="s">
        <v>195</v>
      </c>
      <c r="S156" s="211">
        <f ca="1">'Cost of Service and Proposed $'!W126</f>
        <v>51172425.17539005</v>
      </c>
      <c r="W156" s="138"/>
      <c r="Z156"/>
    </row>
    <row r="157" spans="13:26">
      <c r="M157" s="438" t="s">
        <v>535</v>
      </c>
      <c r="N157" s="438" t="s">
        <v>29</v>
      </c>
      <c r="O157" s="438" t="s">
        <v>351</v>
      </c>
      <c r="P157" s="212" t="s">
        <v>195</v>
      </c>
      <c r="Q157" s="141" t="s">
        <v>195</v>
      </c>
      <c r="R157" s="141" t="s">
        <v>335</v>
      </c>
      <c r="S157" s="212">
        <f ca="1">(T157*(U157-V157)+V157*100)/100</f>
        <v>1537453.1572827371</v>
      </c>
      <c r="T157" s="229">
        <f>$T$94</f>
        <v>10</v>
      </c>
      <c r="U157" s="135">
        <f ca="1">S153*(1-SUM(U161:U165)/SUM(S153:S156))</f>
        <v>683141.95508902648</v>
      </c>
      <c r="V157" s="135">
        <f ca="1">SUMIFS(S$117:S$152,R$117:R$152,R157)/SUM(S$117:S$123,S$129:S$135,S$141:S$147)*(SUM(S$153:S$156)-SUM(V$161:V$165))</f>
        <v>1632376.6241931494</v>
      </c>
      <c r="Z157"/>
    </row>
    <row r="158" spans="13:26">
      <c r="M158" s="436" t="s">
        <v>535</v>
      </c>
      <c r="N158" s="436" t="s">
        <v>29</v>
      </c>
      <c r="O158" s="436" t="s">
        <v>351</v>
      </c>
      <c r="P158" s="208" t="s">
        <v>195</v>
      </c>
      <c r="Q158" s="143" t="s">
        <v>195</v>
      </c>
      <c r="R158" s="143" t="s">
        <v>281</v>
      </c>
      <c r="S158" s="208">
        <f t="shared" ref="S158:S165" ca="1" si="28">(T158*(U158-V158)+V158*100)/100</f>
        <v>10674582.406970909</v>
      </c>
      <c r="T158" s="229">
        <f t="shared" ref="T158:T165" si="29">$T$94</f>
        <v>10</v>
      </c>
      <c r="U158" s="135">
        <f ca="1">S154*(1-SUM(U161:U165)/SUM(S153:S156))</f>
        <v>30183499.989081357</v>
      </c>
      <c r="V158" s="135">
        <f t="shared" ref="V158:V160" ca="1" si="30">SUMIFS(S$117:S$152,R$117:R$152,R158)/SUM(S$117:S$123,S$129:S$135,S$141:S$147)*(SUM(S$153:S$156)-SUM(V$161:V$165))</f>
        <v>8506924.8978475258</v>
      </c>
      <c r="Z158"/>
    </row>
    <row r="159" spans="13:26">
      <c r="M159" s="436" t="s">
        <v>535</v>
      </c>
      <c r="N159" s="436" t="s">
        <v>29</v>
      </c>
      <c r="O159" s="436" t="s">
        <v>351</v>
      </c>
      <c r="P159" s="208" t="s">
        <v>195</v>
      </c>
      <c r="Q159" s="143" t="s">
        <v>195</v>
      </c>
      <c r="R159" s="143" t="s">
        <v>202</v>
      </c>
      <c r="S159" s="208">
        <f t="shared" ca="1" si="28"/>
        <v>16036207.487665353</v>
      </c>
      <c r="T159" s="229">
        <f t="shared" si="29"/>
        <v>10</v>
      </c>
      <c r="U159" s="135">
        <f ca="1">S155*(1-SUM(U161:U165)/SUM(S153:S156))</f>
        <v>9532598.6685328148</v>
      </c>
      <c r="V159" s="135">
        <f t="shared" ca="1" si="30"/>
        <v>16758830.68979119</v>
      </c>
      <c r="Z159"/>
    </row>
    <row r="160" spans="13:26">
      <c r="M160" s="436" t="s">
        <v>535</v>
      </c>
      <c r="N160" s="436" t="s">
        <v>29</v>
      </c>
      <c r="O160" s="436" t="s">
        <v>351</v>
      </c>
      <c r="P160" s="208" t="s">
        <v>195</v>
      </c>
      <c r="Q160" s="143" t="s">
        <v>195</v>
      </c>
      <c r="R160" s="143" t="s">
        <v>6</v>
      </c>
      <c r="S160" s="208">
        <f t="shared" ca="1" si="28"/>
        <v>62515040.777414456</v>
      </c>
      <c r="T160" s="229">
        <f t="shared" si="29"/>
        <v>10</v>
      </c>
      <c r="U160" s="135">
        <f ca="1">S156*(1-SUM(U161:U165)/SUM(S153:S156))</f>
        <v>50364043.216630265</v>
      </c>
      <c r="V160" s="135">
        <f t="shared" ca="1" si="30"/>
        <v>63865151.617501579</v>
      </c>
      <c r="Z160"/>
    </row>
    <row r="161" spans="13:26">
      <c r="M161" s="436" t="s">
        <v>535</v>
      </c>
      <c r="N161" s="436" t="s">
        <v>29</v>
      </c>
      <c r="O161" s="436" t="s">
        <v>351</v>
      </c>
      <c r="P161" s="208" t="s">
        <v>195</v>
      </c>
      <c r="Q161" s="143" t="s">
        <v>195</v>
      </c>
      <c r="R161" s="143" t="s">
        <v>201</v>
      </c>
      <c r="S161" s="208">
        <f t="shared" si="28"/>
        <v>234306.95</v>
      </c>
      <c r="T161" s="229">
        <f t="shared" si="29"/>
        <v>10</v>
      </c>
      <c r="U161" s="135">
        <f>SUMIFS($S$55:$S$89,$R$55:$R$89,R161)</f>
        <v>234306.95</v>
      </c>
      <c r="V161" s="135">
        <f>SUMIFS($S$55:$S$89,$R$55:$R$89,R161)</f>
        <v>234306.95</v>
      </c>
      <c r="Z161"/>
    </row>
    <row r="162" spans="13:26">
      <c r="M162" s="436" t="s">
        <v>535</v>
      </c>
      <c r="N162" s="436" t="s">
        <v>29</v>
      </c>
      <c r="O162" s="436" t="s">
        <v>351</v>
      </c>
      <c r="P162" s="208" t="s">
        <v>195</v>
      </c>
      <c r="Q162" s="143" t="s">
        <v>195</v>
      </c>
      <c r="R162" s="143" t="s">
        <v>367</v>
      </c>
      <c r="S162" s="208">
        <f t="shared" si="28"/>
        <v>-9254.81</v>
      </c>
      <c r="T162" s="229">
        <f t="shared" si="29"/>
        <v>10</v>
      </c>
      <c r="U162" s="135">
        <f t="shared" ref="U162:U165" si="31">SUMIFS($S$55:$S$89,$R$55:$R$89,R162)</f>
        <v>-9254.81</v>
      </c>
      <c r="V162" s="135">
        <f t="shared" ref="V162:V165" si="32">SUMIFS($S$55:$S$89,$R$55:$R$89,R162)</f>
        <v>-9254.81</v>
      </c>
      <c r="Z162"/>
    </row>
    <row r="163" spans="13:26">
      <c r="M163" s="436" t="s">
        <v>535</v>
      </c>
      <c r="N163" s="436" t="s">
        <v>29</v>
      </c>
      <c r="O163" s="436" t="s">
        <v>351</v>
      </c>
      <c r="P163" s="208" t="s">
        <v>195</v>
      </c>
      <c r="Q163" s="143" t="s">
        <v>195</v>
      </c>
      <c r="R163" s="143" t="s">
        <v>358</v>
      </c>
      <c r="S163" s="208">
        <f t="shared" si="28"/>
        <v>-13598.7</v>
      </c>
      <c r="T163" s="229">
        <f t="shared" si="29"/>
        <v>10</v>
      </c>
      <c r="U163" s="135">
        <f t="shared" si="31"/>
        <v>-13598.699999999999</v>
      </c>
      <c r="V163" s="135">
        <f t="shared" si="32"/>
        <v>-13598.699999999999</v>
      </c>
      <c r="Z163"/>
    </row>
    <row r="164" spans="13:26">
      <c r="M164" s="436" t="s">
        <v>535</v>
      </c>
      <c r="N164" s="436" t="s">
        <v>29</v>
      </c>
      <c r="O164" s="436" t="s">
        <v>351</v>
      </c>
      <c r="P164" s="208" t="s">
        <v>195</v>
      </c>
      <c r="Q164" s="143" t="s">
        <v>195</v>
      </c>
      <c r="R164" s="143" t="s">
        <v>368</v>
      </c>
      <c r="S164" s="208">
        <f t="shared" si="28"/>
        <v>7080</v>
      </c>
      <c r="T164" s="229">
        <f t="shared" si="29"/>
        <v>10</v>
      </c>
      <c r="U164" s="135">
        <f t="shared" si="31"/>
        <v>7080</v>
      </c>
      <c r="V164" s="135">
        <f t="shared" si="32"/>
        <v>7080</v>
      </c>
      <c r="Z164"/>
    </row>
    <row r="165" spans="13:26">
      <c r="M165" s="437" t="s">
        <v>535</v>
      </c>
      <c r="N165" s="437" t="s">
        <v>29</v>
      </c>
      <c r="O165" s="437" t="s">
        <v>351</v>
      </c>
      <c r="P165" s="209" t="s">
        <v>195</v>
      </c>
      <c r="Q165" s="147" t="s">
        <v>195</v>
      </c>
      <c r="R165" s="209" t="s">
        <v>168</v>
      </c>
      <c r="S165" s="209">
        <f t="shared" si="28"/>
        <v>1238287.6664754222</v>
      </c>
      <c r="T165" s="229">
        <f t="shared" si="29"/>
        <v>10</v>
      </c>
      <c r="U165" s="135">
        <f t="shared" si="31"/>
        <v>1238287.6664754222</v>
      </c>
      <c r="V165" s="135">
        <f t="shared" si="32"/>
        <v>1238287.6664754222</v>
      </c>
      <c r="Z165"/>
    </row>
    <row r="166" spans="13:26">
      <c r="M166" s="212" t="s">
        <v>506</v>
      </c>
      <c r="N166" s="212" t="s">
        <v>403</v>
      </c>
      <c r="O166" s="438" t="s">
        <v>351</v>
      </c>
      <c r="P166" s="212" t="s">
        <v>195</v>
      </c>
      <c r="Q166" s="141" t="s">
        <v>203</v>
      </c>
      <c r="R166" s="141" t="s">
        <v>335</v>
      </c>
      <c r="S166" s="315">
        <f ca="1">ROUND(T166/100*W166*X166/Y166/Z166,U166)</f>
        <v>241.72</v>
      </c>
      <c r="T166" s="229">
        <f>100+Summary!$R$10</f>
        <v>101.1</v>
      </c>
      <c r="U166" s="135">
        <v>2</v>
      </c>
      <c r="V166" s="303">
        <f ca="1">W166*X166/Y166/Z166</f>
        <v>239.09037397491986</v>
      </c>
      <c r="W166" s="2">
        <f ca="1">SUMIFS(S$157:S$165,R$157:R$165,R166)</f>
        <v>1537453.1572827371</v>
      </c>
      <c r="X166" s="135">
        <f ca="1">SUMIFS(S$117:S$152,Q$117:Q$152,Q166,R$117:R$152,R166)</f>
        <v>67490.562879086036</v>
      </c>
      <c r="Y166" s="135">
        <f t="shared" ref="Y166:Y176" ca="1" si="33">SUMIFS(S$117:S$152,R$117:R$152,R166)</f>
        <v>1548575.39089243</v>
      </c>
      <c r="Z166" s="135">
        <f>SUMIFS(S$8:S$39,Q$8:Q$39,Q166,R$8:R$39,R166)</f>
        <v>280.25314707701199</v>
      </c>
    </row>
    <row r="167" spans="13:26">
      <c r="M167" s="208" t="s">
        <v>506</v>
      </c>
      <c r="N167" s="208" t="s">
        <v>403</v>
      </c>
      <c r="O167" s="436" t="s">
        <v>351</v>
      </c>
      <c r="P167" s="208" t="s">
        <v>195</v>
      </c>
      <c r="Q167" s="143" t="s">
        <v>284</v>
      </c>
      <c r="R167" s="143" t="s">
        <v>335</v>
      </c>
      <c r="S167" s="316">
        <f t="shared" ref="S167:S176" ca="1" si="34">ROUND(T167/100*W167*X167/Y167/Z167,U167)</f>
        <v>90.65</v>
      </c>
      <c r="T167" s="229">
        <f>100+Summary!$R$10</f>
        <v>101.1</v>
      </c>
      <c r="U167" s="135">
        <v>2</v>
      </c>
      <c r="V167" s="303">
        <f t="shared" ref="V167:V177" ca="1" si="35">W167*X167/Y167/Z167</f>
        <v>89.661372285005442</v>
      </c>
      <c r="W167" s="2">
        <f t="shared" ref="W167:W176" ca="1" si="36">SUMIFS(S$157:S$165,R$157:R$165,R167)</f>
        <v>1537453.1572827371</v>
      </c>
      <c r="X167" s="135">
        <f ca="1">SUMIFS(S$117:S$152,Q$117:Q$152,Q167,R$117:R$152,R167)</f>
        <v>784892.9110654532</v>
      </c>
      <c r="Y167" s="135">
        <f t="shared" ca="1" si="33"/>
        <v>1548575.39089243</v>
      </c>
      <c r="Z167" s="135">
        <f t="shared" ref="Z167:Z176" si="37">SUMIFS(S$8:S$39,Q$8:Q$39,Q167,R$8:R$39,R167)</f>
        <v>8691.0963466443718</v>
      </c>
    </row>
    <row r="168" spans="13:26">
      <c r="M168" s="208" t="s">
        <v>506</v>
      </c>
      <c r="N168" s="208" t="s">
        <v>403</v>
      </c>
      <c r="O168" s="436" t="s">
        <v>351</v>
      </c>
      <c r="P168" s="208" t="s">
        <v>195</v>
      </c>
      <c r="Q168" s="143" t="s">
        <v>204</v>
      </c>
      <c r="R168" s="143" t="s">
        <v>335</v>
      </c>
      <c r="S168" s="316">
        <f t="shared" ca="1" si="34"/>
        <v>180.31</v>
      </c>
      <c r="T168" s="229">
        <f>100+Summary!$R$10</f>
        <v>101.1</v>
      </c>
      <c r="U168" s="135">
        <v>2</v>
      </c>
      <c r="V168" s="303">
        <f t="shared" ca="1" si="35"/>
        <v>178.34978316109374</v>
      </c>
      <c r="W168" s="2">
        <f t="shared" ca="1" si="36"/>
        <v>1537453.1572827371</v>
      </c>
      <c r="X168" s="135">
        <f ca="1">SUMIFS(S$117:S$152,Q$117:Q$152,Q168,R$117:R$152,R168)</f>
        <v>696191.91694789054</v>
      </c>
      <c r="Y168" s="135">
        <f t="shared" ca="1" si="33"/>
        <v>1548575.39089243</v>
      </c>
      <c r="Z168" s="135">
        <f t="shared" si="37"/>
        <v>3875.4838396119494</v>
      </c>
    </row>
    <row r="169" spans="13:26">
      <c r="M169" s="208" t="s">
        <v>506</v>
      </c>
      <c r="N169" s="208" t="s">
        <v>403</v>
      </c>
      <c r="O169" s="436" t="s">
        <v>351</v>
      </c>
      <c r="P169" s="208" t="s">
        <v>195</v>
      </c>
      <c r="Q169" s="143" t="s">
        <v>284</v>
      </c>
      <c r="R169" s="143" t="s">
        <v>281</v>
      </c>
      <c r="S169" s="316">
        <f t="shared" ca="1" si="34"/>
        <v>3.48</v>
      </c>
      <c r="T169" s="229">
        <f>100+Summary!$R$10</f>
        <v>101.1</v>
      </c>
      <c r="U169" s="135">
        <v>2</v>
      </c>
      <c r="V169" s="303">
        <f t="shared" ca="1" si="35"/>
        <v>3.4390592419710719</v>
      </c>
      <c r="W169" s="2">
        <f t="shared" ca="1" si="36"/>
        <v>10674582.406970909</v>
      </c>
      <c r="X169" s="135">
        <f t="shared" ref="X169:X176" ca="1" si="38">SUMIFS(S$117:S$152,Q$117:Q$152,Q169,R$117:R$152,R169)</f>
        <v>3932234.8866666667</v>
      </c>
      <c r="Y169" s="135">
        <f t="shared" ca="1" si="33"/>
        <v>8070205.3397072069</v>
      </c>
      <c r="Z169" s="135">
        <f t="shared" si="37"/>
        <v>1512398.0333333334</v>
      </c>
    </row>
    <row r="170" spans="13:26">
      <c r="M170" s="208" t="s">
        <v>506</v>
      </c>
      <c r="N170" s="208" t="s">
        <v>403</v>
      </c>
      <c r="O170" s="436" t="s">
        <v>351</v>
      </c>
      <c r="P170" s="208" t="s">
        <v>195</v>
      </c>
      <c r="Q170" s="143" t="s">
        <v>204</v>
      </c>
      <c r="R170" s="143" t="s">
        <v>281</v>
      </c>
      <c r="S170" s="316">
        <f t="shared" ca="1" si="34"/>
        <v>2.85</v>
      </c>
      <c r="T170" s="229">
        <f>100+Summary!$R$10</f>
        <v>101.1</v>
      </c>
      <c r="U170" s="135">
        <v>2</v>
      </c>
      <c r="V170" s="303">
        <f t="shared" ca="1" si="35"/>
        <v>2.8173831482301472</v>
      </c>
      <c r="W170" s="2">
        <f t="shared" ca="1" si="36"/>
        <v>10674582.406970909</v>
      </c>
      <c r="X170" s="135">
        <f t="shared" ca="1" si="38"/>
        <v>4137970.4530405402</v>
      </c>
      <c r="Y170" s="135">
        <f t="shared" ca="1" si="33"/>
        <v>8070205.3397072069</v>
      </c>
      <c r="Z170" s="135">
        <f t="shared" si="37"/>
        <v>1942709.1328828828</v>
      </c>
    </row>
    <row r="171" spans="13:26">
      <c r="M171" s="208" t="s">
        <v>506</v>
      </c>
      <c r="N171" s="208" t="s">
        <v>403</v>
      </c>
      <c r="O171" s="436" t="s">
        <v>351</v>
      </c>
      <c r="P171" s="208" t="s">
        <v>195</v>
      </c>
      <c r="Q171" s="143" t="s">
        <v>195</v>
      </c>
      <c r="R171" s="143" t="s">
        <v>202</v>
      </c>
      <c r="S171" s="316">
        <f t="shared" ca="1" si="34"/>
        <v>6.33</v>
      </c>
      <c r="T171" s="229">
        <f>100+Summary!$R$10</f>
        <v>101.1</v>
      </c>
      <c r="U171" s="135">
        <v>2</v>
      </c>
      <c r="V171" s="303">
        <f t="shared" ca="1" si="35"/>
        <v>6.2637954524865807</v>
      </c>
      <c r="W171" s="2">
        <f t="shared" ca="1" si="36"/>
        <v>16036207.487665353</v>
      </c>
      <c r="X171" s="135">
        <f t="shared" ca="1" si="38"/>
        <v>15898483.476</v>
      </c>
      <c r="Y171" s="135">
        <f t="shared" ca="1" si="33"/>
        <v>15898483.476</v>
      </c>
      <c r="Z171" s="135">
        <f t="shared" si="37"/>
        <v>2560142.2666666666</v>
      </c>
    </row>
    <row r="172" spans="13:26">
      <c r="M172" s="208" t="s">
        <v>506</v>
      </c>
      <c r="N172" s="208" t="s">
        <v>403</v>
      </c>
      <c r="O172" s="436" t="s">
        <v>351</v>
      </c>
      <c r="P172" s="208" t="s">
        <v>195</v>
      </c>
      <c r="Q172" s="143" t="s">
        <v>195</v>
      </c>
      <c r="R172" s="59" t="s">
        <v>6</v>
      </c>
      <c r="S172" s="316">
        <f t="shared" ca="1" si="34"/>
        <v>6.8220000000000003E-2</v>
      </c>
      <c r="T172" s="229">
        <f>100+Summary!$R$10</f>
        <v>101.1</v>
      </c>
      <c r="U172" s="135">
        <v>5</v>
      </c>
      <c r="V172" s="303">
        <f t="shared" ca="1" si="35"/>
        <v>6.7481749467963079E-2</v>
      </c>
      <c r="W172" s="2">
        <f t="shared" ca="1" si="36"/>
        <v>62515040.777414456</v>
      </c>
      <c r="X172" s="135">
        <f t="shared" ca="1" si="38"/>
        <v>60586509.672276817</v>
      </c>
      <c r="Y172" s="135">
        <f t="shared" ca="1" si="33"/>
        <v>60586509.672276817</v>
      </c>
      <c r="Z172" s="135">
        <f>SUMIFS(S$8:S$39,Q$8:Q$39,Q172,R$8:R$39,"kWh*")</f>
        <v>926399230.4629482</v>
      </c>
    </row>
    <row r="173" spans="13:26">
      <c r="M173" s="208" t="s">
        <v>506</v>
      </c>
      <c r="N173" s="208" t="s">
        <v>403</v>
      </c>
      <c r="O173" s="436" t="s">
        <v>351</v>
      </c>
      <c r="P173" s="208" t="s">
        <v>195</v>
      </c>
      <c r="Q173" s="143" t="s">
        <v>195</v>
      </c>
      <c r="R173" s="143" t="s">
        <v>201</v>
      </c>
      <c r="S173" s="316">
        <f t="shared" si="34"/>
        <v>0.59</v>
      </c>
      <c r="T173" s="229">
        <f>100+Summary!$R$10</f>
        <v>101.1</v>
      </c>
      <c r="U173" s="135">
        <v>2</v>
      </c>
      <c r="V173" s="303">
        <f t="shared" si="35"/>
        <v>0.58000000000000007</v>
      </c>
      <c r="W173" s="2">
        <f t="shared" si="36"/>
        <v>234306.95</v>
      </c>
      <c r="X173" s="135">
        <f t="shared" si="38"/>
        <v>238346.72499999998</v>
      </c>
      <c r="Y173" s="135">
        <f t="shared" si="33"/>
        <v>238346.72499999998</v>
      </c>
      <c r="Z173" s="135">
        <f t="shared" si="37"/>
        <v>403977.5</v>
      </c>
    </row>
    <row r="174" spans="13:26">
      <c r="M174" s="208" t="s">
        <v>506</v>
      </c>
      <c r="N174" s="208" t="s">
        <v>403</v>
      </c>
      <c r="O174" s="436" t="s">
        <v>351</v>
      </c>
      <c r="P174" s="208" t="s">
        <v>195</v>
      </c>
      <c r="Q174" s="143" t="s">
        <v>195</v>
      </c>
      <c r="R174" s="143" t="s">
        <v>367</v>
      </c>
      <c r="S174" s="316">
        <f t="shared" si="34"/>
        <v>-0.01</v>
      </c>
      <c r="T174" s="505">
        <v>100</v>
      </c>
      <c r="U174" s="135">
        <v>2</v>
      </c>
      <c r="V174" s="303">
        <f t="shared" si="35"/>
        <v>-0.01</v>
      </c>
      <c r="W174" s="2">
        <f t="shared" si="36"/>
        <v>-9254.81</v>
      </c>
      <c r="X174" s="135">
        <f t="shared" si="38"/>
        <v>-9254.81</v>
      </c>
      <c r="Y174" s="135">
        <f t="shared" si="33"/>
        <v>-9254.81</v>
      </c>
      <c r="Z174" s="135">
        <f t="shared" si="37"/>
        <v>925481</v>
      </c>
    </row>
    <row r="175" spans="13:26">
      <c r="M175" s="208" t="s">
        <v>506</v>
      </c>
      <c r="N175" s="208" t="s">
        <v>403</v>
      </c>
      <c r="O175" s="436" t="s">
        <v>351</v>
      </c>
      <c r="P175" s="208" t="s">
        <v>195</v>
      </c>
      <c r="Q175" s="143" t="s">
        <v>195</v>
      </c>
      <c r="R175" s="143" t="s">
        <v>358</v>
      </c>
      <c r="S175" s="316">
        <f t="shared" si="34"/>
        <v>-0.3</v>
      </c>
      <c r="T175" s="505">
        <v>100</v>
      </c>
      <c r="U175" s="135">
        <v>2</v>
      </c>
      <c r="V175" s="303">
        <f t="shared" si="35"/>
        <v>-0.3</v>
      </c>
      <c r="W175" s="2">
        <f t="shared" si="36"/>
        <v>-13598.7</v>
      </c>
      <c r="X175" s="135">
        <f t="shared" si="38"/>
        <v>-13598.699999999999</v>
      </c>
      <c r="Y175" s="135">
        <f t="shared" si="33"/>
        <v>-13598.699999999999</v>
      </c>
      <c r="Z175" s="135">
        <f t="shared" si="37"/>
        <v>45329</v>
      </c>
    </row>
    <row r="176" spans="13:26">
      <c r="M176" s="208" t="s">
        <v>506</v>
      </c>
      <c r="N176" s="208" t="s">
        <v>403</v>
      </c>
      <c r="O176" s="436" t="s">
        <v>351</v>
      </c>
      <c r="P176" s="208" t="s">
        <v>195</v>
      </c>
      <c r="Q176" s="143" t="s">
        <v>195</v>
      </c>
      <c r="R176" s="143" t="s">
        <v>368</v>
      </c>
      <c r="S176" s="316">
        <f t="shared" si="34"/>
        <v>60</v>
      </c>
      <c r="T176" s="505">
        <v>100</v>
      </c>
      <c r="U176" s="135">
        <v>2</v>
      </c>
      <c r="V176" s="303">
        <f t="shared" si="35"/>
        <v>60</v>
      </c>
      <c r="W176" s="2">
        <f t="shared" si="36"/>
        <v>7080</v>
      </c>
      <c r="X176" s="135">
        <f t="shared" si="38"/>
        <v>7080</v>
      </c>
      <c r="Y176" s="135">
        <f t="shared" si="33"/>
        <v>7080</v>
      </c>
      <c r="Z176" s="135">
        <f t="shared" si="37"/>
        <v>118</v>
      </c>
    </row>
    <row r="177" spans="13:28">
      <c r="M177" s="208" t="s">
        <v>506</v>
      </c>
      <c r="N177" s="208" t="s">
        <v>403</v>
      </c>
      <c r="O177" s="436" t="s">
        <v>489</v>
      </c>
      <c r="P177" s="208" t="s">
        <v>195</v>
      </c>
      <c r="Q177" s="208" t="s">
        <v>195</v>
      </c>
      <c r="R177" s="208" t="s">
        <v>335</v>
      </c>
      <c r="S177" s="316">
        <f ca="1">ROUND(T177/100*W177*X177/Y177/Z177,U177)</f>
        <v>17.59</v>
      </c>
      <c r="T177" s="229">
        <f>100+Summary!$R$10</f>
        <v>101.1</v>
      </c>
      <c r="U177" s="135">
        <v>2</v>
      </c>
      <c r="V177" s="303">
        <f t="shared" ca="1" si="35"/>
        <v>17.396322269633927</v>
      </c>
      <c r="W177" s="2">
        <f ca="1">Sch.24!S183+S157</f>
        <v>4568504.1454267707</v>
      </c>
      <c r="X177" s="25">
        <v>1</v>
      </c>
      <c r="Y177" s="25">
        <v>1</v>
      </c>
      <c r="Z177" s="135">
        <f>Sch.24!Z192+Sch.24!Z194+Z166+Z167+Z168</f>
        <v>262613.2164383562</v>
      </c>
    </row>
    <row r="178" spans="13:28">
      <c r="M178" s="208" t="s">
        <v>506</v>
      </c>
      <c r="N178" s="208" t="s">
        <v>403</v>
      </c>
      <c r="O178" s="436" t="s">
        <v>489</v>
      </c>
      <c r="P178" s="208" t="s">
        <v>195</v>
      </c>
      <c r="Q178" s="208" t="s">
        <v>195</v>
      </c>
      <c r="R178" s="96" t="s">
        <v>197</v>
      </c>
      <c r="S178" s="316">
        <f ca="1">ROUND(T178/100*W178*X178/Y178/Z178,U178)+AA178+AB178</f>
        <v>0.21143000000000001</v>
      </c>
      <c r="T178" s="229">
        <f>100+Summary!$R$10</f>
        <v>101.1</v>
      </c>
      <c r="U178" s="135">
        <v>5</v>
      </c>
      <c r="V178" s="303">
        <f ca="1">W178*X178/Y178/Z178+AA178+AB178</f>
        <v>0.21032985204578761</v>
      </c>
      <c r="W178" s="2">
        <f ca="1">SUM(Sch.24!S184:S190,S158:S164)</f>
        <v>147183014.3188231</v>
      </c>
      <c r="X178" s="2">
        <v>1</v>
      </c>
      <c r="Y178" s="2">
        <v>1</v>
      </c>
      <c r="Z178" s="135">
        <f>Sch.24!Z199+Sch.24!Z201+Z172</f>
        <v>1470508860.8932304</v>
      </c>
      <c r="AA178" s="520">
        <f ca="1">ROUND((S115-S116)*(1-AE115/100),5)</f>
        <v>9.7189999999999999E-2</v>
      </c>
      <c r="AB178" s="336">
        <f>ROUND(0.01866*(1-AE116/100),5)</f>
        <v>1.3050000000000001E-2</v>
      </c>
    </row>
    <row r="179" spans="13:28">
      <c r="M179" s="209" t="s">
        <v>506</v>
      </c>
      <c r="N179" s="209" t="s">
        <v>403</v>
      </c>
      <c r="O179" s="437" t="s">
        <v>489</v>
      </c>
      <c r="P179" s="209" t="s">
        <v>195</v>
      </c>
      <c r="Q179" s="209" t="s">
        <v>195</v>
      </c>
      <c r="R179" s="411" t="s">
        <v>198</v>
      </c>
      <c r="S179" s="317">
        <f ca="1">ROUND(T179/100*W179*X179/Y179/Z179,U179)+AA179+AB179</f>
        <v>9.6710000000000004E-2</v>
      </c>
      <c r="T179" s="229">
        <f>100+Summary!$R$10</f>
        <v>101.1</v>
      </c>
      <c r="U179" s="135">
        <v>5</v>
      </c>
      <c r="V179" s="303">
        <f ca="1">W179*X179/Y179/Z179+AA179+AB179</f>
        <v>9.5609852045787605E-2</v>
      </c>
      <c r="W179" s="2">
        <f ca="1">SUM(Sch.24!S184:S190,S158:S164)</f>
        <v>147183014.3188231</v>
      </c>
      <c r="X179" s="2">
        <v>1</v>
      </c>
      <c r="Y179" s="2">
        <v>1</v>
      </c>
      <c r="Z179" s="135">
        <f>Sch.24!Z199+Sch.24!Z201+Z172</f>
        <v>1470508860.8932304</v>
      </c>
      <c r="AA179" s="520">
        <f ca="1">ROUND((S116-S115)*AE115/100,5)</f>
        <v>-1.753E-2</v>
      </c>
      <c r="AB179" s="336">
        <f>ROUND(0.01866*(1-AE116/100),5)</f>
        <v>1.3050000000000001E-2</v>
      </c>
    </row>
    <row r="180" spans="13:28">
      <c r="M180" s="212" t="s">
        <v>506</v>
      </c>
      <c r="N180" s="212" t="s">
        <v>29</v>
      </c>
      <c r="O180" s="438" t="s">
        <v>279</v>
      </c>
      <c r="P180" s="141" t="s">
        <v>4</v>
      </c>
      <c r="Q180" s="141" t="s">
        <v>203</v>
      </c>
      <c r="R180" s="141" t="s">
        <v>335</v>
      </c>
      <c r="S180" s="213">
        <f t="shared" ref="S180:S215" ca="1" si="39">IF(R180="Unbilled",SUMIFS(S$117:S$152,P$117:P$152,P180,R$117:R$152,R180),SUMIFS(S$166:S$176,Q$166:Q$176,Q180,R$166:R$176,R180)*U180)</f>
        <v>483.44</v>
      </c>
      <c r="T180" s="135">
        <f t="shared" ref="T180:T215" ca="1" si="40">IF(R180="Unbilled",SUMIFS(S$117:S$152,P$117:P$152,P180,R$117:R$152,R180),SUMIFS(V$166:V$176,Q$166:Q$176,Q180,R$166:R$176,R180)*U180)</f>
        <v>478.18074794983971</v>
      </c>
      <c r="U180" s="135">
        <f t="shared" ref="U180:U185" si="41">SUMIFS(S$8:S$39,P$8:P$39,P180,Q$8:Q$39,Q180,R$8:R$39,R180)</f>
        <v>2</v>
      </c>
      <c r="Z180"/>
    </row>
    <row r="181" spans="13:28">
      <c r="M181" s="208" t="s">
        <v>506</v>
      </c>
      <c r="N181" s="208" t="s">
        <v>29</v>
      </c>
      <c r="O181" s="436" t="s">
        <v>279</v>
      </c>
      <c r="P181" s="143" t="s">
        <v>4</v>
      </c>
      <c r="Q181" s="143" t="s">
        <v>284</v>
      </c>
      <c r="R181" s="143" t="s">
        <v>335</v>
      </c>
      <c r="S181" s="210">
        <f t="shared" ca="1" si="39"/>
        <v>3354.05</v>
      </c>
      <c r="T181" s="135">
        <f t="shared" ca="1" si="40"/>
        <v>3317.4707745452015</v>
      </c>
      <c r="U181" s="135">
        <f t="shared" si="41"/>
        <v>37</v>
      </c>
      <c r="Z181"/>
    </row>
    <row r="182" spans="13:28">
      <c r="M182" s="208" t="s">
        <v>506</v>
      </c>
      <c r="N182" s="208" t="s">
        <v>29</v>
      </c>
      <c r="O182" s="436" t="s">
        <v>279</v>
      </c>
      <c r="P182" s="143" t="s">
        <v>4</v>
      </c>
      <c r="Q182" s="143" t="s">
        <v>204</v>
      </c>
      <c r="R182" s="143" t="s">
        <v>335</v>
      </c>
      <c r="S182" s="210">
        <f t="shared" ca="1" si="39"/>
        <v>1262.17</v>
      </c>
      <c r="T182" s="135">
        <f t="shared" ca="1" si="40"/>
        <v>1248.4484821276562</v>
      </c>
      <c r="U182" s="135">
        <f t="shared" si="41"/>
        <v>7</v>
      </c>
      <c r="Z182"/>
    </row>
    <row r="183" spans="13:28">
      <c r="M183" s="208" t="s">
        <v>506</v>
      </c>
      <c r="N183" s="208" t="s">
        <v>29</v>
      </c>
      <c r="O183" s="436" t="s">
        <v>279</v>
      </c>
      <c r="P183" s="143" t="s">
        <v>4</v>
      </c>
      <c r="Q183" s="143" t="s">
        <v>284</v>
      </c>
      <c r="R183" s="143" t="s">
        <v>281</v>
      </c>
      <c r="S183" s="210">
        <f t="shared" ca="1" si="39"/>
        <v>18350.04</v>
      </c>
      <c r="T183" s="135">
        <f t="shared" ca="1" si="40"/>
        <v>18134.159382913462</v>
      </c>
      <c r="U183" s="135">
        <f t="shared" si="41"/>
        <v>5273</v>
      </c>
      <c r="Z183"/>
    </row>
    <row r="184" spans="13:28">
      <c r="M184" s="208" t="s">
        <v>506</v>
      </c>
      <c r="N184" s="208" t="s">
        <v>29</v>
      </c>
      <c r="O184" s="436" t="s">
        <v>279</v>
      </c>
      <c r="P184" s="143" t="s">
        <v>4</v>
      </c>
      <c r="Q184" s="143" t="s">
        <v>204</v>
      </c>
      <c r="R184" s="143" t="s">
        <v>281</v>
      </c>
      <c r="S184" s="210">
        <f t="shared" ca="1" si="39"/>
        <v>6175.95</v>
      </c>
      <c r="T184" s="135">
        <f t="shared" ca="1" si="40"/>
        <v>6105.2692822147292</v>
      </c>
      <c r="U184" s="135">
        <f t="shared" si="41"/>
        <v>2167</v>
      </c>
      <c r="Z184"/>
    </row>
    <row r="185" spans="13:28">
      <c r="M185" s="208" t="s">
        <v>506</v>
      </c>
      <c r="N185" s="208" t="s">
        <v>29</v>
      </c>
      <c r="O185" s="436" t="s">
        <v>279</v>
      </c>
      <c r="P185" s="143" t="s">
        <v>4</v>
      </c>
      <c r="Q185" s="143" t="s">
        <v>195</v>
      </c>
      <c r="R185" s="143" t="s">
        <v>202</v>
      </c>
      <c r="S185" s="210">
        <f t="shared" ca="1" si="39"/>
        <v>37176.090000000004</v>
      </c>
      <c r="T185" s="135">
        <f t="shared" ca="1" si="40"/>
        <v>36787.270692453691</v>
      </c>
      <c r="U185" s="135">
        <f t="shared" si="41"/>
        <v>5873</v>
      </c>
      <c r="Z185"/>
    </row>
    <row r="186" spans="13:28">
      <c r="M186" s="208" t="s">
        <v>506</v>
      </c>
      <c r="N186" s="208" t="s">
        <v>29</v>
      </c>
      <c r="O186" s="436" t="s">
        <v>279</v>
      </c>
      <c r="P186" s="143" t="s">
        <v>4</v>
      </c>
      <c r="Q186" s="143" t="s">
        <v>195</v>
      </c>
      <c r="R186" s="59" t="s">
        <v>6</v>
      </c>
      <c r="S186" s="210">
        <f t="shared" ca="1" si="39"/>
        <v>156298.81232550563</v>
      </c>
      <c r="T186" s="135">
        <f t="shared" ca="1" si="40"/>
        <v>154607.40685268177</v>
      </c>
      <c r="U186" s="135">
        <f>SUMIFS(S$8:S$39,P$8:P$39,P186,Q$8:Q$39,Q186,R$8:R$39,"kWh*")</f>
        <v>2291099.5650176727</v>
      </c>
      <c r="Z186"/>
    </row>
    <row r="187" spans="13:28">
      <c r="M187" s="208" t="s">
        <v>506</v>
      </c>
      <c r="N187" s="208" t="s">
        <v>29</v>
      </c>
      <c r="O187" s="436" t="s">
        <v>279</v>
      </c>
      <c r="P187" s="143" t="s">
        <v>4</v>
      </c>
      <c r="Q187" s="143" t="s">
        <v>195</v>
      </c>
      <c r="R187" s="143" t="s">
        <v>201</v>
      </c>
      <c r="S187" s="210">
        <f t="shared" si="39"/>
        <v>0</v>
      </c>
      <c r="T187" s="135">
        <f t="shared" si="40"/>
        <v>0</v>
      </c>
      <c r="U187" s="135">
        <f t="shared" ref="U187:U197" si="42">SUMIFS(S$8:S$39,P$8:P$39,P187,Q$8:Q$39,Q187,R$8:R$39,R187)</f>
        <v>0</v>
      </c>
      <c r="Z187"/>
    </row>
    <row r="188" spans="13:28">
      <c r="M188" s="208" t="s">
        <v>506</v>
      </c>
      <c r="N188" s="208" t="s">
        <v>29</v>
      </c>
      <c r="O188" s="436" t="s">
        <v>279</v>
      </c>
      <c r="P188" s="143" t="s">
        <v>4</v>
      </c>
      <c r="Q188" s="143" t="s">
        <v>195</v>
      </c>
      <c r="R188" s="143" t="s">
        <v>367</v>
      </c>
      <c r="S188" s="210">
        <f t="shared" si="39"/>
        <v>0</v>
      </c>
      <c r="T188" s="135">
        <f t="shared" si="40"/>
        <v>0</v>
      </c>
      <c r="U188" s="135">
        <f t="shared" si="42"/>
        <v>0</v>
      </c>
      <c r="Z188"/>
    </row>
    <row r="189" spans="13:28">
      <c r="M189" s="208" t="s">
        <v>506</v>
      </c>
      <c r="N189" s="208" t="s">
        <v>29</v>
      </c>
      <c r="O189" s="436" t="s">
        <v>279</v>
      </c>
      <c r="P189" s="143" t="s">
        <v>4</v>
      </c>
      <c r="Q189" s="143" t="s">
        <v>195</v>
      </c>
      <c r="R189" s="143" t="s">
        <v>358</v>
      </c>
      <c r="S189" s="210">
        <f t="shared" si="39"/>
        <v>0</v>
      </c>
      <c r="T189" s="135">
        <f t="shared" si="40"/>
        <v>0</v>
      </c>
      <c r="U189" s="135">
        <f t="shared" si="42"/>
        <v>0</v>
      </c>
      <c r="Z189"/>
    </row>
    <row r="190" spans="13:28">
      <c r="M190" s="208" t="s">
        <v>506</v>
      </c>
      <c r="N190" s="208" t="s">
        <v>29</v>
      </c>
      <c r="O190" s="436" t="s">
        <v>279</v>
      </c>
      <c r="P190" s="143" t="s">
        <v>4</v>
      </c>
      <c r="Q190" s="143" t="s">
        <v>195</v>
      </c>
      <c r="R190" s="143" t="s">
        <v>368</v>
      </c>
      <c r="S190" s="210">
        <f t="shared" si="39"/>
        <v>0</v>
      </c>
      <c r="T190" s="135">
        <f t="shared" si="40"/>
        <v>0</v>
      </c>
      <c r="U190" s="135">
        <f t="shared" si="42"/>
        <v>0</v>
      </c>
      <c r="Z190"/>
    </row>
    <row r="191" spans="13:28">
      <c r="M191" s="208" t="s">
        <v>506</v>
      </c>
      <c r="N191" s="208" t="s">
        <v>29</v>
      </c>
      <c r="O191" s="436" t="s">
        <v>279</v>
      </c>
      <c r="P191" s="143" t="s">
        <v>4</v>
      </c>
      <c r="Q191" s="95" t="s">
        <v>195</v>
      </c>
      <c r="R191" s="208" t="s">
        <v>168</v>
      </c>
      <c r="S191" s="210">
        <f t="shared" si="39"/>
        <v>6831.3392740641229</v>
      </c>
      <c r="T191" s="135">
        <f t="shared" si="40"/>
        <v>6831.3392740641229</v>
      </c>
      <c r="U191" s="135">
        <f t="shared" si="42"/>
        <v>0</v>
      </c>
      <c r="Z191"/>
    </row>
    <row r="192" spans="13:28">
      <c r="M192" s="208" t="s">
        <v>506</v>
      </c>
      <c r="N192" s="208" t="s">
        <v>29</v>
      </c>
      <c r="O192" s="436" t="s">
        <v>279</v>
      </c>
      <c r="P192" s="95" t="s">
        <v>5</v>
      </c>
      <c r="Q192" s="143" t="s">
        <v>203</v>
      </c>
      <c r="R192" s="143" t="s">
        <v>335</v>
      </c>
      <c r="S192" s="210">
        <f t="shared" ca="1" si="39"/>
        <v>55954.912044788674</v>
      </c>
      <c r="T192" s="135">
        <f t="shared" ca="1" si="40"/>
        <v>55346.189171447426</v>
      </c>
      <c r="U192" s="135">
        <f t="shared" si="42"/>
        <v>231.48648041034534</v>
      </c>
      <c r="Z192"/>
    </row>
    <row r="193" spans="13:26">
      <c r="M193" s="208" t="s">
        <v>506</v>
      </c>
      <c r="N193" s="208" t="s">
        <v>29</v>
      </c>
      <c r="O193" s="436" t="s">
        <v>279</v>
      </c>
      <c r="P193" s="95" t="s">
        <v>5</v>
      </c>
      <c r="Q193" s="143" t="s">
        <v>284</v>
      </c>
      <c r="R193" s="143" t="s">
        <v>335</v>
      </c>
      <c r="S193" s="210">
        <f t="shared" ca="1" si="39"/>
        <v>725516.94382331229</v>
      </c>
      <c r="T193" s="135">
        <f t="shared" ca="1" si="40"/>
        <v>717604.465518162</v>
      </c>
      <c r="U193" s="135">
        <f t="shared" si="42"/>
        <v>8003.4963466443714</v>
      </c>
      <c r="Z193"/>
    </row>
    <row r="194" spans="13:26">
      <c r="M194" s="208" t="s">
        <v>506</v>
      </c>
      <c r="N194" s="208" t="s">
        <v>29</v>
      </c>
      <c r="O194" s="436" t="s">
        <v>279</v>
      </c>
      <c r="P194" s="95" t="s">
        <v>5</v>
      </c>
      <c r="Q194" s="143" t="s">
        <v>204</v>
      </c>
      <c r="R194" s="143" t="s">
        <v>335</v>
      </c>
      <c r="S194" s="210">
        <f t="shared" ca="1" si="39"/>
        <v>616206.51112043066</v>
      </c>
      <c r="T194" s="135">
        <f t="shared" ca="1" si="40"/>
        <v>609507.50175133324</v>
      </c>
      <c r="U194" s="135">
        <f t="shared" si="42"/>
        <v>3417.4838396119494</v>
      </c>
      <c r="Z194"/>
    </row>
    <row r="195" spans="13:26">
      <c r="M195" s="208" t="s">
        <v>506</v>
      </c>
      <c r="N195" s="208" t="s">
        <v>29</v>
      </c>
      <c r="O195" s="436" t="s">
        <v>279</v>
      </c>
      <c r="P195" s="95" t="s">
        <v>5</v>
      </c>
      <c r="Q195" s="143" t="s">
        <v>284</v>
      </c>
      <c r="R195" s="143" t="s">
        <v>281</v>
      </c>
      <c r="S195" s="210">
        <f t="shared" ca="1" si="39"/>
        <v>4835127.1960000005</v>
      </c>
      <c r="T195" s="135">
        <f t="shared" ca="1" si="40"/>
        <v>4778243.9280199641</v>
      </c>
      <c r="U195" s="135">
        <f t="shared" si="42"/>
        <v>1389404.3666666667</v>
      </c>
      <c r="Z195"/>
    </row>
    <row r="196" spans="13:26">
      <c r="M196" s="208" t="s">
        <v>506</v>
      </c>
      <c r="N196" s="208" t="s">
        <v>29</v>
      </c>
      <c r="O196" s="436" t="s">
        <v>279</v>
      </c>
      <c r="P196" s="95" t="s">
        <v>5</v>
      </c>
      <c r="Q196" s="143" t="s">
        <v>204</v>
      </c>
      <c r="R196" s="143" t="s">
        <v>281</v>
      </c>
      <c r="S196" s="210">
        <f t="shared" ca="1" si="39"/>
        <v>4815326.1787162162</v>
      </c>
      <c r="T196" s="135">
        <f t="shared" ca="1" si="40"/>
        <v>4760217.1330338726</v>
      </c>
      <c r="U196" s="135">
        <f t="shared" si="42"/>
        <v>1689588.1328828828</v>
      </c>
      <c r="Z196"/>
    </row>
    <row r="197" spans="13:26">
      <c r="M197" s="208" t="s">
        <v>506</v>
      </c>
      <c r="N197" s="208" t="s">
        <v>29</v>
      </c>
      <c r="O197" s="436" t="s">
        <v>279</v>
      </c>
      <c r="P197" s="95" t="s">
        <v>5</v>
      </c>
      <c r="Q197" s="143" t="s">
        <v>195</v>
      </c>
      <c r="R197" s="143" t="s">
        <v>202</v>
      </c>
      <c r="S197" s="210">
        <f t="shared" ca="1" si="39"/>
        <v>14355759.525</v>
      </c>
      <c r="T197" s="135">
        <f t="shared" ca="1" si="40"/>
        <v>14205614.728228422</v>
      </c>
      <c r="U197" s="135">
        <f t="shared" si="42"/>
        <v>2267892.5</v>
      </c>
      <c r="Z197"/>
    </row>
    <row r="198" spans="13:26">
      <c r="M198" s="208" t="s">
        <v>506</v>
      </c>
      <c r="N198" s="208" t="s">
        <v>29</v>
      </c>
      <c r="O198" s="436" t="s">
        <v>279</v>
      </c>
      <c r="P198" s="95" t="s">
        <v>5</v>
      </c>
      <c r="Q198" s="143" t="s">
        <v>195</v>
      </c>
      <c r="R198" s="59" t="s">
        <v>6</v>
      </c>
      <c r="S198" s="210">
        <f t="shared" ca="1" si="39"/>
        <v>57078290.231087647</v>
      </c>
      <c r="T198" s="135">
        <f t="shared" ca="1" si="40"/>
        <v>56460610.985545889</v>
      </c>
      <c r="U198" s="135">
        <f>SUMIFS(S$8:S$39,P$8:P$39,P198,Q$8:Q$39,Q198,R$8:R$39,"kWh*")</f>
        <v>836679716.08161306</v>
      </c>
      <c r="Z198"/>
    </row>
    <row r="199" spans="13:26">
      <c r="M199" s="208" t="s">
        <v>506</v>
      </c>
      <c r="N199" s="208" t="s">
        <v>29</v>
      </c>
      <c r="O199" s="436" t="s">
        <v>279</v>
      </c>
      <c r="P199" s="95" t="s">
        <v>5</v>
      </c>
      <c r="Q199" s="143" t="s">
        <v>195</v>
      </c>
      <c r="R199" s="143" t="s">
        <v>201</v>
      </c>
      <c r="S199" s="210">
        <f t="shared" si="39"/>
        <v>190315.56758620689</v>
      </c>
      <c r="T199" s="135">
        <f t="shared" si="40"/>
        <v>187089.88000000003</v>
      </c>
      <c r="U199" s="135">
        <f t="shared" ref="U199:U209" si="43">SUMIFS(S$8:S$39,P$8:P$39,P199,Q$8:Q$39,Q199,R$8:R$39,R199)</f>
        <v>322568.75862068968</v>
      </c>
      <c r="Z199"/>
    </row>
    <row r="200" spans="13:26">
      <c r="M200" s="208" t="s">
        <v>506</v>
      </c>
      <c r="N200" s="208" t="s">
        <v>29</v>
      </c>
      <c r="O200" s="436" t="s">
        <v>279</v>
      </c>
      <c r="P200" s="95" t="s">
        <v>5</v>
      </c>
      <c r="Q200" s="143" t="s">
        <v>195</v>
      </c>
      <c r="R200" s="143" t="s">
        <v>367</v>
      </c>
      <c r="S200" s="210">
        <f t="shared" si="39"/>
        <v>-9070.42</v>
      </c>
      <c r="T200" s="135">
        <f t="shared" si="40"/>
        <v>-9070.42</v>
      </c>
      <c r="U200" s="135">
        <f t="shared" si="43"/>
        <v>907042</v>
      </c>
      <c r="Z200"/>
    </row>
    <row r="201" spans="13:26">
      <c r="M201" s="208" t="s">
        <v>506</v>
      </c>
      <c r="N201" s="208" t="s">
        <v>29</v>
      </c>
      <c r="O201" s="436" t="s">
        <v>279</v>
      </c>
      <c r="P201" s="95" t="s">
        <v>5</v>
      </c>
      <c r="Q201" s="143" t="s">
        <v>195</v>
      </c>
      <c r="R201" s="143" t="s">
        <v>358</v>
      </c>
      <c r="S201" s="210">
        <f t="shared" si="39"/>
        <v>-13342.199999999999</v>
      </c>
      <c r="T201" s="135">
        <f t="shared" si="40"/>
        <v>-13342.199999999999</v>
      </c>
      <c r="U201" s="135">
        <f t="shared" si="43"/>
        <v>44474</v>
      </c>
      <c r="Z201"/>
    </row>
    <row r="202" spans="13:26">
      <c r="M202" s="208" t="s">
        <v>506</v>
      </c>
      <c r="N202" s="208" t="s">
        <v>29</v>
      </c>
      <c r="O202" s="436" t="s">
        <v>279</v>
      </c>
      <c r="P202" s="95" t="s">
        <v>5</v>
      </c>
      <c r="Q202" s="143" t="s">
        <v>195</v>
      </c>
      <c r="R202" s="143" t="s">
        <v>368</v>
      </c>
      <c r="S202" s="210">
        <f t="shared" si="39"/>
        <v>6480</v>
      </c>
      <c r="T202" s="135">
        <f t="shared" si="40"/>
        <v>6480</v>
      </c>
      <c r="U202" s="135">
        <f t="shared" si="43"/>
        <v>108</v>
      </c>
      <c r="Z202"/>
    </row>
    <row r="203" spans="13:26">
      <c r="M203" s="208" t="s">
        <v>506</v>
      </c>
      <c r="N203" s="208" t="s">
        <v>29</v>
      </c>
      <c r="O203" s="436" t="s">
        <v>279</v>
      </c>
      <c r="P203" s="95" t="s">
        <v>5</v>
      </c>
      <c r="Q203" s="95" t="s">
        <v>195</v>
      </c>
      <c r="R203" s="208" t="s">
        <v>168</v>
      </c>
      <c r="S203" s="210">
        <f t="shared" si="39"/>
        <v>1072849.6731901476</v>
      </c>
      <c r="T203" s="135">
        <f t="shared" si="40"/>
        <v>1072849.6731901476</v>
      </c>
      <c r="U203" s="135">
        <f t="shared" si="43"/>
        <v>0</v>
      </c>
      <c r="Z203"/>
    </row>
    <row r="204" spans="13:26">
      <c r="M204" s="208" t="s">
        <v>506</v>
      </c>
      <c r="N204" s="208" t="s">
        <v>29</v>
      </c>
      <c r="O204" s="436" t="s">
        <v>279</v>
      </c>
      <c r="P204" s="143" t="s">
        <v>7</v>
      </c>
      <c r="Q204" s="143" t="s">
        <v>203</v>
      </c>
      <c r="R204" s="143" t="s">
        <v>335</v>
      </c>
      <c r="S204" s="210">
        <f t="shared" ca="1" si="39"/>
        <v>11304.438666666667</v>
      </c>
      <c r="T204" s="135">
        <f t="shared" ca="1" si="40"/>
        <v>11181.459822893752</v>
      </c>
      <c r="U204" s="135">
        <f t="shared" si="43"/>
        <v>46.766666666666666</v>
      </c>
      <c r="Z204"/>
    </row>
    <row r="205" spans="13:26">
      <c r="M205" s="208" t="s">
        <v>506</v>
      </c>
      <c r="N205" s="208" t="s">
        <v>29</v>
      </c>
      <c r="O205" s="436" t="s">
        <v>279</v>
      </c>
      <c r="P205" s="143" t="s">
        <v>7</v>
      </c>
      <c r="Q205" s="143" t="s">
        <v>284</v>
      </c>
      <c r="R205" s="143" t="s">
        <v>335</v>
      </c>
      <c r="S205" s="210">
        <f t="shared" ca="1" si="39"/>
        <v>58976.890000000007</v>
      </c>
      <c r="T205" s="135">
        <f t="shared" ca="1" si="40"/>
        <v>58333.688808624545</v>
      </c>
      <c r="U205" s="135">
        <f t="shared" si="43"/>
        <v>650.6</v>
      </c>
      <c r="Z205"/>
    </row>
    <row r="206" spans="13:26">
      <c r="M206" s="208" t="s">
        <v>506</v>
      </c>
      <c r="N206" s="208" t="s">
        <v>29</v>
      </c>
      <c r="O206" s="436" t="s">
        <v>279</v>
      </c>
      <c r="P206" s="143" t="s">
        <v>7</v>
      </c>
      <c r="Q206" s="143" t="s">
        <v>204</v>
      </c>
      <c r="R206" s="143" t="s">
        <v>335</v>
      </c>
      <c r="S206" s="210">
        <f t="shared" ca="1" si="39"/>
        <v>81319.81</v>
      </c>
      <c r="T206" s="135">
        <f t="shared" ca="1" si="40"/>
        <v>80435.752205653276</v>
      </c>
      <c r="U206" s="135">
        <f t="shared" si="43"/>
        <v>451</v>
      </c>
      <c r="Z206"/>
    </row>
    <row r="207" spans="13:26">
      <c r="M207" s="208" t="s">
        <v>506</v>
      </c>
      <c r="N207" s="208" t="s">
        <v>29</v>
      </c>
      <c r="O207" s="436" t="s">
        <v>279</v>
      </c>
      <c r="P207" s="143" t="s">
        <v>7</v>
      </c>
      <c r="Q207" s="143" t="s">
        <v>284</v>
      </c>
      <c r="R207" s="143" t="s">
        <v>281</v>
      </c>
      <c r="S207" s="210">
        <f t="shared" ca="1" si="39"/>
        <v>409667.92</v>
      </c>
      <c r="T207" s="135">
        <f t="shared" ca="1" si="40"/>
        <v>404848.34667099587</v>
      </c>
      <c r="U207" s="135">
        <f t="shared" si="43"/>
        <v>117720.66666666666</v>
      </c>
      <c r="Z207"/>
    </row>
    <row r="208" spans="13:26">
      <c r="M208" s="208" t="s">
        <v>506</v>
      </c>
      <c r="N208" s="208" t="s">
        <v>29</v>
      </c>
      <c r="O208" s="436" t="s">
        <v>279</v>
      </c>
      <c r="P208" s="143" t="s">
        <v>7</v>
      </c>
      <c r="Q208" s="143" t="s">
        <v>204</v>
      </c>
      <c r="R208" s="143" t="s">
        <v>281</v>
      </c>
      <c r="S208" s="210">
        <f t="shared" ca="1" si="39"/>
        <v>715218.9</v>
      </c>
      <c r="T208" s="135">
        <f t="shared" ca="1" si="40"/>
        <v>707033.57058094838</v>
      </c>
      <c r="U208" s="135">
        <f t="shared" si="43"/>
        <v>250954</v>
      </c>
      <c r="Z208"/>
    </row>
    <row r="209" spans="13:26">
      <c r="M209" s="208" t="s">
        <v>506</v>
      </c>
      <c r="N209" s="208" t="s">
        <v>29</v>
      </c>
      <c r="O209" s="436" t="s">
        <v>279</v>
      </c>
      <c r="P209" s="143" t="s">
        <v>7</v>
      </c>
      <c r="Q209" s="143" t="s">
        <v>195</v>
      </c>
      <c r="R209" s="143" t="s">
        <v>202</v>
      </c>
      <c r="S209" s="210">
        <f t="shared" ca="1" si="39"/>
        <v>1812764.933</v>
      </c>
      <c r="T209" s="135">
        <f t="shared" ca="1" si="40"/>
        <v>1793805.4887444773</v>
      </c>
      <c r="U209" s="135">
        <f t="shared" si="43"/>
        <v>286376.76666666666</v>
      </c>
      <c r="Z209"/>
    </row>
    <row r="210" spans="13:26">
      <c r="M210" s="208" t="s">
        <v>506</v>
      </c>
      <c r="N210" s="208" t="s">
        <v>29</v>
      </c>
      <c r="O210" s="436" t="s">
        <v>279</v>
      </c>
      <c r="P210" s="143" t="s">
        <v>7</v>
      </c>
      <c r="Q210" s="143" t="s">
        <v>195</v>
      </c>
      <c r="R210" s="59" t="s">
        <v>6</v>
      </c>
      <c r="S210" s="210">
        <f t="shared" ca="1" si="39"/>
        <v>5964366.4587691817</v>
      </c>
      <c r="T210" s="135">
        <f t="shared" ca="1" si="40"/>
        <v>5899822.3850158909</v>
      </c>
      <c r="U210" s="135">
        <f>SUMIFS(S$8:S$39,P$8:P$39,P210,Q$8:Q$39,Q210,R$8:R$39,"kWh*")</f>
        <v>87428414.816317528</v>
      </c>
      <c r="Z210"/>
    </row>
    <row r="211" spans="13:26">
      <c r="M211" s="208" t="s">
        <v>506</v>
      </c>
      <c r="N211" s="208" t="s">
        <v>29</v>
      </c>
      <c r="O211" s="436" t="s">
        <v>279</v>
      </c>
      <c r="P211" s="143" t="s">
        <v>7</v>
      </c>
      <c r="Q211" s="143" t="s">
        <v>195</v>
      </c>
      <c r="R211" s="143" t="s">
        <v>201</v>
      </c>
      <c r="S211" s="210">
        <f t="shared" si="39"/>
        <v>48031.157413793102</v>
      </c>
      <c r="T211" s="135">
        <f t="shared" si="40"/>
        <v>47217.070000000007</v>
      </c>
      <c r="U211" s="135">
        <f>SUMIFS(S$8:S$39,P$8:P$39,P211,Q$8:Q$39,Q211,R$8:R$39,R211)</f>
        <v>81408.741379310348</v>
      </c>
      <c r="Z211"/>
    </row>
    <row r="212" spans="13:26">
      <c r="M212" s="208" t="s">
        <v>506</v>
      </c>
      <c r="N212" s="208" t="s">
        <v>29</v>
      </c>
      <c r="O212" s="436" t="s">
        <v>279</v>
      </c>
      <c r="P212" s="143" t="s">
        <v>7</v>
      </c>
      <c r="Q212" s="143" t="s">
        <v>195</v>
      </c>
      <c r="R212" s="143" t="s">
        <v>367</v>
      </c>
      <c r="S212" s="210">
        <f t="shared" si="39"/>
        <v>-184.39000000000001</v>
      </c>
      <c r="T212" s="135">
        <f t="shared" si="40"/>
        <v>-184.39000000000001</v>
      </c>
      <c r="U212" s="135">
        <f>SUMIFS(S$8:S$39,P$8:P$39,P212,Q$8:Q$39,Q212,R$8:R$39,R212)</f>
        <v>18439</v>
      </c>
      <c r="Z212"/>
    </row>
    <row r="213" spans="13:26">
      <c r="M213" s="208" t="s">
        <v>506</v>
      </c>
      <c r="N213" s="208" t="s">
        <v>29</v>
      </c>
      <c r="O213" s="436" t="s">
        <v>279</v>
      </c>
      <c r="P213" s="143" t="s">
        <v>7</v>
      </c>
      <c r="Q213" s="143" t="s">
        <v>195</v>
      </c>
      <c r="R213" s="143" t="s">
        <v>358</v>
      </c>
      <c r="S213" s="210">
        <f t="shared" si="39"/>
        <v>-256.5</v>
      </c>
      <c r="T213" s="135">
        <f t="shared" si="40"/>
        <v>-256.5</v>
      </c>
      <c r="U213" s="135">
        <f>SUMIFS(S$8:S$39,P$8:P$39,P213,Q$8:Q$39,Q213,R$8:R$39,R213)</f>
        <v>855</v>
      </c>
      <c r="Z213"/>
    </row>
    <row r="214" spans="13:26">
      <c r="M214" s="208" t="s">
        <v>506</v>
      </c>
      <c r="N214" s="208" t="s">
        <v>29</v>
      </c>
      <c r="O214" s="436" t="s">
        <v>279</v>
      </c>
      <c r="P214" s="143" t="s">
        <v>7</v>
      </c>
      <c r="Q214" s="143" t="s">
        <v>195</v>
      </c>
      <c r="R214" s="143" t="s">
        <v>368</v>
      </c>
      <c r="S214" s="210">
        <f t="shared" si="39"/>
        <v>600</v>
      </c>
      <c r="T214" s="135">
        <f t="shared" si="40"/>
        <v>600</v>
      </c>
      <c r="U214" s="135">
        <f>SUMIFS(S$8:S$39,P$8:P$39,P214,Q$8:Q$39,Q214,R$8:R$39,R214)</f>
        <v>10</v>
      </c>
      <c r="Z214"/>
    </row>
    <row r="215" spans="13:26">
      <c r="M215" s="209" t="s">
        <v>506</v>
      </c>
      <c r="N215" s="209" t="s">
        <v>29</v>
      </c>
      <c r="O215" s="437" t="s">
        <v>279</v>
      </c>
      <c r="P215" s="146" t="s">
        <v>7</v>
      </c>
      <c r="Q215" s="147" t="s">
        <v>195</v>
      </c>
      <c r="R215" s="209" t="s">
        <v>168</v>
      </c>
      <c r="S215" s="211">
        <f t="shared" si="39"/>
        <v>158606.6540112104</v>
      </c>
      <c r="T215" s="135">
        <f t="shared" si="40"/>
        <v>158606.6540112104</v>
      </c>
      <c r="U215" s="135">
        <f>SUMIFS(S$8:S$39,P$8:P$39,P215,Q$8:Q$39,Q215,R$8:R$39,R215)</f>
        <v>0</v>
      </c>
      <c r="Z215"/>
    </row>
    <row r="216" spans="13:26">
      <c r="Z216"/>
    </row>
    <row r="217" spans="13:26">
      <c r="S217" s="547" t="s">
        <v>215</v>
      </c>
      <c r="T217" s="201"/>
      <c r="Z217"/>
    </row>
    <row r="218" spans="13:26">
      <c r="S218" s="548" t="s">
        <v>501</v>
      </c>
      <c r="T218" s="546">
        <f ca="1">SUM(T117:T152)-SUM(S90:S93)</f>
        <v>0</v>
      </c>
      <c r="Z218"/>
    </row>
    <row r="219" spans="13:26">
      <c r="S219" s="549" t="s">
        <v>503</v>
      </c>
      <c r="T219" s="534">
        <f ca="1">SUM(T180:T215)-SUM(S153:S156)</f>
        <v>0</v>
      </c>
      <c r="Z219"/>
    </row>
    <row r="220" spans="13:26">
      <c r="Z220"/>
    </row>
  </sheetData>
  <phoneticPr fontId="46" type="noConversion"/>
  <printOptions horizontalCentered="1"/>
  <pageMargins left="0.2" right="0.2" top="0.2" bottom="0.2" header="0" footer="0"/>
  <pageSetup scale="87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9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13.6640625" style="135" bestFit="1" customWidth="1"/>
    <col min="2" max="2" width="7.1640625" style="135" bestFit="1" customWidth="1"/>
    <col min="3" max="3" width="6.6640625" style="135" bestFit="1" customWidth="1"/>
    <col min="4" max="5" width="7.5" style="135" bestFit="1" customWidth="1"/>
    <col min="6" max="6" width="9.6640625" bestFit="1" customWidth="1"/>
    <col min="7" max="13" width="10.1640625" customWidth="1"/>
    <col min="14" max="14" width="57.33203125" style="152" customWidth="1"/>
    <col min="15" max="15" width="7.1640625" style="152" bestFit="1" customWidth="1"/>
    <col min="16" max="16" width="12.6640625" style="152" bestFit="1" customWidth="1"/>
    <col min="17" max="17" width="13.6640625" style="152" bestFit="1" customWidth="1"/>
    <col min="18" max="18" width="10.5" style="152" bestFit="1" customWidth="1"/>
    <col min="19" max="19" width="15.1640625" style="152" bestFit="1" customWidth="1"/>
    <col min="20" max="20" width="13.33203125" style="153" bestFit="1" customWidth="1"/>
    <col min="21" max="21" width="13.33203125" style="153" customWidth="1"/>
    <col min="22" max="23" width="13.33203125" style="76" customWidth="1"/>
    <col min="24" max="24" width="13.33203125" style="153" customWidth="1"/>
    <col min="25" max="31" width="13.33203125" customWidth="1"/>
  </cols>
  <sheetData>
    <row r="1" spans="1:24">
      <c r="A1" s="375" t="s">
        <v>172</v>
      </c>
      <c r="B1" s="376"/>
      <c r="C1" s="376"/>
      <c r="D1" s="376"/>
      <c r="E1" s="376"/>
      <c r="F1" s="370"/>
      <c r="G1" s="370"/>
      <c r="H1" s="370"/>
      <c r="I1" s="370"/>
      <c r="J1" s="370"/>
      <c r="K1" s="370"/>
      <c r="L1" s="370"/>
      <c r="M1" s="371"/>
    </row>
    <row r="2" spans="1:24">
      <c r="A2" s="378" t="s">
        <v>484</v>
      </c>
      <c r="B2" s="335"/>
      <c r="C2" s="335"/>
      <c r="D2" s="335"/>
      <c r="E2" s="335"/>
      <c r="F2" s="368"/>
      <c r="G2" s="368"/>
      <c r="H2" s="368"/>
      <c r="I2" s="368"/>
      <c r="J2" s="368"/>
      <c r="K2" s="368"/>
      <c r="L2" s="368"/>
      <c r="M2" s="372"/>
    </row>
    <row r="3" spans="1:24">
      <c r="A3" s="378" t="s">
        <v>508</v>
      </c>
      <c r="B3" s="335"/>
      <c r="C3" s="335"/>
      <c r="D3" s="335"/>
      <c r="E3" s="335"/>
      <c r="F3" s="373"/>
      <c r="G3" s="373"/>
      <c r="H3" s="373"/>
      <c r="I3" s="373"/>
      <c r="J3" s="373"/>
      <c r="K3" s="373"/>
      <c r="L3" s="373"/>
      <c r="M3" s="374"/>
    </row>
    <row r="4" spans="1:24">
      <c r="A4" s="427"/>
      <c r="B4" s="427"/>
      <c r="C4" s="427"/>
      <c r="D4" s="427"/>
      <c r="E4" s="427"/>
      <c r="F4" s="503" t="s">
        <v>622</v>
      </c>
      <c r="G4" s="200"/>
      <c r="H4" s="200"/>
      <c r="I4" s="200"/>
      <c r="J4" s="200"/>
      <c r="K4" s="200"/>
      <c r="L4" s="200"/>
      <c r="M4" s="201"/>
      <c r="N4" s="253" t="s">
        <v>172</v>
      </c>
      <c r="O4" s="244"/>
      <c r="P4" s="244"/>
      <c r="Q4" s="244"/>
      <c r="R4" s="244"/>
      <c r="S4" s="244"/>
      <c r="T4" s="246"/>
      <c r="U4" s="76"/>
      <c r="X4" s="324"/>
    </row>
    <row r="5" spans="1:24">
      <c r="A5" s="283"/>
      <c r="B5" s="283"/>
      <c r="C5" s="418" t="s">
        <v>490</v>
      </c>
      <c r="D5" s="136" t="s">
        <v>528</v>
      </c>
      <c r="E5" s="419"/>
      <c r="F5" s="400" t="s">
        <v>501</v>
      </c>
      <c r="G5" s="400"/>
      <c r="H5" s="376"/>
      <c r="I5" s="425"/>
      <c r="J5" s="375" t="s">
        <v>503</v>
      </c>
      <c r="K5" s="400"/>
      <c r="L5" s="376"/>
      <c r="M5" s="425"/>
      <c r="N5" s="268" t="s">
        <v>484</v>
      </c>
      <c r="O5" s="247"/>
      <c r="P5" s="247"/>
      <c r="Q5" s="247"/>
      <c r="R5" s="247"/>
      <c r="S5" s="247"/>
      <c r="T5" s="263"/>
      <c r="U5" s="76"/>
      <c r="X5" s="324"/>
    </row>
    <row r="6" spans="1:24">
      <c r="A6" s="136"/>
      <c r="B6" s="136" t="s">
        <v>490</v>
      </c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248" t="s">
        <v>407</v>
      </c>
      <c r="O6" s="249"/>
      <c r="P6" s="250"/>
      <c r="Q6" s="250"/>
      <c r="R6" s="250"/>
      <c r="S6" s="251"/>
      <c r="T6" s="252"/>
      <c r="U6" s="76"/>
      <c r="X6" s="324"/>
    </row>
    <row r="7" spans="1:24">
      <c r="A7" s="302" t="s">
        <v>178</v>
      </c>
      <c r="B7" s="302" t="s">
        <v>527</v>
      </c>
      <c r="C7" s="420" t="s">
        <v>529</v>
      </c>
      <c r="D7" s="420" t="s">
        <v>529</v>
      </c>
      <c r="E7" s="420" t="s">
        <v>528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178</v>
      </c>
      <c r="R7" s="227" t="s">
        <v>194</v>
      </c>
      <c r="S7" s="227" t="s">
        <v>401</v>
      </c>
      <c r="T7" s="228" t="s">
        <v>206</v>
      </c>
    </row>
    <row r="8" spans="1:24">
      <c r="A8" s="323" t="s">
        <v>176</v>
      </c>
      <c r="B8" s="323" t="s">
        <v>203</v>
      </c>
      <c r="C8" s="301">
        <v>1</v>
      </c>
      <c r="D8" s="301">
        <v>300</v>
      </c>
      <c r="E8" s="301">
        <f>C8*D8</f>
        <v>300</v>
      </c>
      <c r="F8" s="260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60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31162.25</v>
      </c>
      <c r="H8" s="260">
        <f ca="1">G8-F8</f>
        <v>2643.2499999999964</v>
      </c>
      <c r="I8" s="504">
        <f ca="1">IFERROR(H8/F8*100,100)</f>
        <v>9.2683824818541893</v>
      </c>
      <c r="J8" s="260">
        <f ca="1">G8</f>
        <v>31162.25</v>
      </c>
      <c r="K8" s="260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33217.453263248368</v>
      </c>
      <c r="L8" s="260">
        <f ca="1">K8-J8</f>
        <v>2055.2032632483679</v>
      </c>
      <c r="M8" s="504">
        <f ca="1">IFERROR(L8/J8*100,100)</f>
        <v>6.5951696788529972</v>
      </c>
      <c r="N8" s="254" t="s">
        <v>217</v>
      </c>
      <c r="O8" s="140" t="s">
        <v>402</v>
      </c>
      <c r="P8" s="139" t="s">
        <v>5</v>
      </c>
      <c r="Q8" s="139" t="s">
        <v>176</v>
      </c>
      <c r="R8" s="139" t="s">
        <v>203</v>
      </c>
      <c r="S8" s="139" t="s">
        <v>335</v>
      </c>
      <c r="T8" s="139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86"/>
      <c r="V8" s="326"/>
      <c r="W8" s="326"/>
      <c r="X8" s="86"/>
    </row>
    <row r="9" spans="1:24">
      <c r="A9" s="294" t="s">
        <v>176</v>
      </c>
      <c r="B9" s="294" t="s">
        <v>203</v>
      </c>
      <c r="C9" s="319">
        <v>1</v>
      </c>
      <c r="D9" s="319">
        <v>500</v>
      </c>
      <c r="E9" s="319">
        <f t="shared" ref="E9:E19" si="3">C9*D9</f>
        <v>500</v>
      </c>
      <c r="F9" s="136">
        <f t="shared" si="0"/>
        <v>40023</v>
      </c>
      <c r="G9" s="136">
        <f t="shared" ca="1" si="1"/>
        <v>43498.25</v>
      </c>
      <c r="H9" s="136">
        <f t="shared" ref="H9:H45" ca="1" si="4">G9-F9</f>
        <v>3475.25</v>
      </c>
      <c r="I9" s="499">
        <f t="shared" ref="I9:I45" ca="1" si="5">IFERROR(H9/F9*100,100)</f>
        <v>8.6831321989855841</v>
      </c>
      <c r="J9" s="136">
        <f t="shared" ref="J9:J45" ca="1" si="6">G9</f>
        <v>43498.25</v>
      </c>
      <c r="K9" s="136">
        <f t="shared" ca="1" si="2"/>
        <v>46140.422105413942</v>
      </c>
      <c r="L9" s="136">
        <f t="shared" ref="L9:L45" ca="1" si="7">K9-J9</f>
        <v>2642.1721054139416</v>
      </c>
      <c r="M9" s="499">
        <f t="shared" ref="M9:M45" ca="1" si="8">IFERROR(L9/J9*100,100)</f>
        <v>6.0742032275182138</v>
      </c>
      <c r="N9" s="230" t="s">
        <v>217</v>
      </c>
      <c r="O9" s="97" t="s">
        <v>402</v>
      </c>
      <c r="P9" s="95" t="s">
        <v>5</v>
      </c>
      <c r="Q9" s="95" t="s">
        <v>176</v>
      </c>
      <c r="R9" s="95" t="s">
        <v>203</v>
      </c>
      <c r="S9" s="95" t="s">
        <v>281</v>
      </c>
      <c r="T9" s="95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86"/>
      <c r="V9" s="326"/>
      <c r="W9" s="326"/>
      <c r="X9" s="86"/>
    </row>
    <row r="10" spans="1:24">
      <c r="A10" s="381" t="s">
        <v>176</v>
      </c>
      <c r="B10" s="381" t="s">
        <v>203</v>
      </c>
      <c r="C10" s="220">
        <v>1</v>
      </c>
      <c r="D10" s="220">
        <v>700</v>
      </c>
      <c r="E10" s="319">
        <f t="shared" si="3"/>
        <v>700</v>
      </c>
      <c r="F10" s="136">
        <f t="shared" si="0"/>
        <v>51527.000000000007</v>
      </c>
      <c r="G10" s="136">
        <f t="shared" ca="1" si="1"/>
        <v>55834.250000000007</v>
      </c>
      <c r="H10" s="136">
        <f t="shared" ca="1" si="4"/>
        <v>4307.25</v>
      </c>
      <c r="I10" s="499">
        <f t="shared" ca="1" si="5"/>
        <v>8.3592097347021941</v>
      </c>
      <c r="J10" s="136">
        <f t="shared" ca="1" si="6"/>
        <v>55834.250000000007</v>
      </c>
      <c r="K10" s="136">
        <f t="shared" ca="1" si="2"/>
        <v>59063.390947579523</v>
      </c>
      <c r="L10" s="136">
        <f t="shared" ca="1" si="7"/>
        <v>3229.1409475795153</v>
      </c>
      <c r="M10" s="499">
        <f t="shared" ca="1" si="8"/>
        <v>5.7834410734979249</v>
      </c>
      <c r="N10" s="230" t="s">
        <v>217</v>
      </c>
      <c r="O10" s="97" t="s">
        <v>402</v>
      </c>
      <c r="P10" s="95" t="s">
        <v>5</v>
      </c>
      <c r="Q10" s="95" t="s">
        <v>176</v>
      </c>
      <c r="R10" s="95" t="s">
        <v>195</v>
      </c>
      <c r="S10" s="95" t="s">
        <v>202</v>
      </c>
      <c r="T10" s="95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86"/>
      <c r="V10" s="326"/>
      <c r="W10" s="326"/>
      <c r="X10" s="86"/>
    </row>
    <row r="11" spans="1:24">
      <c r="A11" s="294" t="s">
        <v>176</v>
      </c>
      <c r="B11" s="294" t="s">
        <v>203</v>
      </c>
      <c r="C11" s="319">
        <v>2</v>
      </c>
      <c r="D11" s="319">
        <f>D8</f>
        <v>300</v>
      </c>
      <c r="E11" s="319">
        <f t="shared" si="3"/>
        <v>600</v>
      </c>
      <c r="F11" s="136">
        <f t="shared" si="0"/>
        <v>55725.000000000007</v>
      </c>
      <c r="G11" s="136">
        <f t="shared" ca="1" si="1"/>
        <v>61006.25</v>
      </c>
      <c r="H11" s="136">
        <f t="shared" ca="1" si="4"/>
        <v>5281.2499999999927</v>
      </c>
      <c r="I11" s="499">
        <f t="shared" ca="1" si="5"/>
        <v>9.4773441004934806</v>
      </c>
      <c r="J11" s="136">
        <f t="shared" ca="1" si="6"/>
        <v>61006.25</v>
      </c>
      <c r="K11" s="136">
        <f t="shared" ca="1" si="2"/>
        <v>65141.906526496736</v>
      </c>
      <c r="L11" s="136">
        <f t="shared" ca="1" si="7"/>
        <v>4135.6565264967358</v>
      </c>
      <c r="M11" s="499">
        <f t="shared" ca="1" si="8"/>
        <v>6.7790702206687605</v>
      </c>
      <c r="N11" s="230" t="s">
        <v>217</v>
      </c>
      <c r="O11" s="97" t="s">
        <v>402</v>
      </c>
      <c r="P11" s="95" t="s">
        <v>5</v>
      </c>
      <c r="Q11" s="95" t="s">
        <v>176</v>
      </c>
      <c r="R11" s="95" t="s">
        <v>195</v>
      </c>
      <c r="S11" s="95" t="s">
        <v>207</v>
      </c>
      <c r="T11" s="95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86"/>
      <c r="V11" s="326"/>
      <c r="W11" s="326"/>
      <c r="X11" s="86"/>
    </row>
    <row r="12" spans="1:24">
      <c r="A12" s="294" t="s">
        <v>176</v>
      </c>
      <c r="B12" s="294" t="s">
        <v>203</v>
      </c>
      <c r="C12" s="319">
        <v>2</v>
      </c>
      <c r="D12" s="319">
        <f t="shared" ref="D12:D19" si="9">D9</f>
        <v>500</v>
      </c>
      <c r="E12" s="319">
        <f t="shared" si="3"/>
        <v>1000</v>
      </c>
      <c r="F12" s="136">
        <f t="shared" si="0"/>
        <v>78733</v>
      </c>
      <c r="G12" s="136">
        <f t="shared" ca="1" si="1"/>
        <v>85678.25</v>
      </c>
      <c r="H12" s="136">
        <f t="shared" ca="1" si="4"/>
        <v>6945.25</v>
      </c>
      <c r="I12" s="499">
        <f t="shared" ca="1" si="5"/>
        <v>8.8212693533842224</v>
      </c>
      <c r="J12" s="136">
        <f t="shared" ca="1" si="6"/>
        <v>85678.25</v>
      </c>
      <c r="K12" s="136">
        <f t="shared" ca="1" si="2"/>
        <v>90987.844210827883</v>
      </c>
      <c r="L12" s="136">
        <f t="shared" ca="1" si="7"/>
        <v>5309.5942108278832</v>
      </c>
      <c r="M12" s="499">
        <f t="shared" ca="1" si="8"/>
        <v>6.1971319568593932</v>
      </c>
      <c r="N12" s="230" t="s">
        <v>217</v>
      </c>
      <c r="O12" s="97" t="s">
        <v>402</v>
      </c>
      <c r="P12" s="95" t="s">
        <v>5</v>
      </c>
      <c r="Q12" s="95" t="s">
        <v>176</v>
      </c>
      <c r="R12" s="95" t="s">
        <v>195</v>
      </c>
      <c r="S12" s="95" t="s">
        <v>208</v>
      </c>
      <c r="T12" s="95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86"/>
      <c r="V12" s="326"/>
      <c r="W12" s="326"/>
      <c r="X12" s="86"/>
    </row>
    <row r="13" spans="1:24">
      <c r="A13" s="294" t="s">
        <v>176</v>
      </c>
      <c r="B13" s="294" t="s">
        <v>203</v>
      </c>
      <c r="C13" s="319">
        <v>2</v>
      </c>
      <c r="D13" s="319">
        <f t="shared" si="9"/>
        <v>700</v>
      </c>
      <c r="E13" s="319">
        <f t="shared" si="3"/>
        <v>1400</v>
      </c>
      <c r="F13" s="136">
        <f t="shared" si="0"/>
        <v>101741.00000000001</v>
      </c>
      <c r="G13" s="136">
        <f t="shared" ca="1" si="1"/>
        <v>110350.25000000001</v>
      </c>
      <c r="H13" s="136">
        <f t="shared" ca="1" si="4"/>
        <v>8609.25</v>
      </c>
      <c r="I13" s="499">
        <f t="shared" ca="1" si="5"/>
        <v>8.4619278363688188</v>
      </c>
      <c r="J13" s="136">
        <f t="shared" ca="1" si="6"/>
        <v>110350.25000000001</v>
      </c>
      <c r="K13" s="136">
        <f t="shared" ca="1" si="2"/>
        <v>116833.78189515905</v>
      </c>
      <c r="L13" s="136">
        <f t="shared" ca="1" si="7"/>
        <v>6483.5318951590307</v>
      </c>
      <c r="M13" s="499">
        <f t="shared" ca="1" si="8"/>
        <v>5.8754120585671803</v>
      </c>
      <c r="N13" s="230" t="s">
        <v>217</v>
      </c>
      <c r="O13" s="97" t="s">
        <v>402</v>
      </c>
      <c r="P13" s="95" t="s">
        <v>5</v>
      </c>
      <c r="Q13" s="95" t="s">
        <v>176</v>
      </c>
      <c r="R13" s="95" t="s">
        <v>195</v>
      </c>
      <c r="S13" s="95" t="s">
        <v>201</v>
      </c>
      <c r="T13" s="95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86"/>
      <c r="V13" s="326"/>
      <c r="W13" s="326"/>
      <c r="X13" s="86"/>
    </row>
    <row r="14" spans="1:24">
      <c r="A14" s="294" t="s">
        <v>176</v>
      </c>
      <c r="B14" s="294" t="s">
        <v>204</v>
      </c>
      <c r="C14" s="319">
        <v>4</v>
      </c>
      <c r="D14" s="319">
        <f t="shared" si="9"/>
        <v>300</v>
      </c>
      <c r="E14" s="319">
        <f t="shared" si="3"/>
        <v>1200</v>
      </c>
      <c r="F14" s="136">
        <f t="shared" si="0"/>
        <v>109891</v>
      </c>
      <c r="G14" s="136">
        <f t="shared" ca="1" si="1"/>
        <v>119969.34</v>
      </c>
      <c r="H14" s="136">
        <f t="shared" ca="1" si="4"/>
        <v>10078.339999999997</v>
      </c>
      <c r="I14" s="499">
        <f t="shared" ca="1" si="5"/>
        <v>9.1712151131575794</v>
      </c>
      <c r="J14" s="136">
        <f t="shared" ca="1" si="6"/>
        <v>119969.34</v>
      </c>
      <c r="K14" s="136">
        <f t="shared" ca="1" si="2"/>
        <v>127780.63305299348</v>
      </c>
      <c r="L14" s="136">
        <f t="shared" ca="1" si="7"/>
        <v>7811.293052993482</v>
      </c>
      <c r="M14" s="499">
        <f t="shared" ca="1" si="8"/>
        <v>6.5110744570183368</v>
      </c>
      <c r="N14" s="230" t="s">
        <v>217</v>
      </c>
      <c r="O14" s="97" t="s">
        <v>402</v>
      </c>
      <c r="P14" s="95" t="s">
        <v>5</v>
      </c>
      <c r="Q14" s="95" t="s">
        <v>177</v>
      </c>
      <c r="R14" s="95" t="s">
        <v>203</v>
      </c>
      <c r="S14" s="95" t="s">
        <v>335</v>
      </c>
      <c r="T14" s="95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86"/>
      <c r="V14" s="326"/>
      <c r="W14" s="326"/>
      <c r="X14" s="86"/>
    </row>
    <row r="15" spans="1:24">
      <c r="A15" s="294" t="s">
        <v>176</v>
      </c>
      <c r="B15" s="294" t="s">
        <v>204</v>
      </c>
      <c r="C15" s="319">
        <v>4</v>
      </c>
      <c r="D15" s="319">
        <f t="shared" si="9"/>
        <v>500</v>
      </c>
      <c r="E15" s="319">
        <f t="shared" si="3"/>
        <v>2000</v>
      </c>
      <c r="F15" s="136">
        <f t="shared" si="0"/>
        <v>155907</v>
      </c>
      <c r="G15" s="136">
        <f t="shared" ca="1" si="1"/>
        <v>169313.34</v>
      </c>
      <c r="H15" s="136">
        <f t="shared" ca="1" si="4"/>
        <v>13406.339999999997</v>
      </c>
      <c r="I15" s="499">
        <f t="shared" ca="1" si="5"/>
        <v>8.5989339798726139</v>
      </c>
      <c r="J15" s="136">
        <f t="shared" ca="1" si="6"/>
        <v>169313.34</v>
      </c>
      <c r="K15" s="136">
        <f t="shared" ca="1" si="2"/>
        <v>179472.50842165577</v>
      </c>
      <c r="L15" s="136">
        <f t="shared" ca="1" si="7"/>
        <v>10159.168421655777</v>
      </c>
      <c r="M15" s="499">
        <f t="shared" ca="1" si="8"/>
        <v>6.0002173612875254</v>
      </c>
      <c r="N15" s="230" t="s">
        <v>217</v>
      </c>
      <c r="O15" s="97" t="s">
        <v>402</v>
      </c>
      <c r="P15" s="95" t="s">
        <v>5</v>
      </c>
      <c r="Q15" s="95" t="s">
        <v>177</v>
      </c>
      <c r="R15" s="95" t="s">
        <v>204</v>
      </c>
      <c r="S15" s="95" t="s">
        <v>335</v>
      </c>
      <c r="T15" s="95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86"/>
      <c r="V15" s="326"/>
      <c r="W15" s="326"/>
      <c r="X15" s="86"/>
    </row>
    <row r="16" spans="1:24">
      <c r="A16" s="294" t="s">
        <v>176</v>
      </c>
      <c r="B16" s="294" t="s">
        <v>204</v>
      </c>
      <c r="C16" s="319">
        <v>4</v>
      </c>
      <c r="D16" s="319">
        <f t="shared" si="9"/>
        <v>700</v>
      </c>
      <c r="E16" s="319">
        <f t="shared" si="3"/>
        <v>2800</v>
      </c>
      <c r="F16" s="136">
        <f t="shared" si="0"/>
        <v>201923</v>
      </c>
      <c r="G16" s="136">
        <f t="shared" ca="1" si="1"/>
        <v>218657.34000000003</v>
      </c>
      <c r="H16" s="136">
        <f t="shared" ca="1" si="4"/>
        <v>16734.340000000026</v>
      </c>
      <c r="I16" s="499">
        <f t="shared" ca="1" si="5"/>
        <v>8.2874858238041362</v>
      </c>
      <c r="J16" s="136">
        <f t="shared" ca="1" si="6"/>
        <v>218657.34000000003</v>
      </c>
      <c r="K16" s="136">
        <f t="shared" ca="1" si="2"/>
        <v>231164.3837903181</v>
      </c>
      <c r="L16" s="136">
        <f t="shared" ca="1" si="7"/>
        <v>12507.043790318072</v>
      </c>
      <c r="M16" s="499">
        <f t="shared" ca="1" si="8"/>
        <v>5.7199286291135119</v>
      </c>
      <c r="N16" s="230" t="s">
        <v>217</v>
      </c>
      <c r="O16" s="97" t="s">
        <v>402</v>
      </c>
      <c r="P16" s="95" t="s">
        <v>5</v>
      </c>
      <c r="Q16" s="95" t="s">
        <v>177</v>
      </c>
      <c r="R16" s="95" t="s">
        <v>203</v>
      </c>
      <c r="S16" s="95" t="s">
        <v>281</v>
      </c>
      <c r="T16" s="95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86"/>
      <c r="V16" s="326"/>
      <c r="W16" s="326"/>
      <c r="X16" s="86"/>
    </row>
    <row r="17" spans="1:24">
      <c r="A17" s="294" t="s">
        <v>176</v>
      </c>
      <c r="B17" s="294" t="s">
        <v>204</v>
      </c>
      <c r="C17" s="319">
        <v>6</v>
      </c>
      <c r="D17" s="319">
        <f t="shared" si="9"/>
        <v>300</v>
      </c>
      <c r="E17" s="319">
        <f t="shared" si="3"/>
        <v>1800</v>
      </c>
      <c r="F17" s="136">
        <f t="shared" si="0"/>
        <v>164043.00000000003</v>
      </c>
      <c r="G17" s="136">
        <f t="shared" ca="1" si="1"/>
        <v>179157.34</v>
      </c>
      <c r="H17" s="136">
        <f t="shared" ca="1" si="4"/>
        <v>15114.339999999967</v>
      </c>
      <c r="I17" s="499">
        <f t="shared" ca="1" si="5"/>
        <v>9.2136452027821747</v>
      </c>
      <c r="J17" s="136">
        <f t="shared" ca="1" si="6"/>
        <v>179157.34</v>
      </c>
      <c r="K17" s="136">
        <f t="shared" ca="1" si="2"/>
        <v>190889.5395794902</v>
      </c>
      <c r="L17" s="136">
        <f t="shared" ca="1" si="7"/>
        <v>11732.199579490203</v>
      </c>
      <c r="M17" s="499">
        <f t="shared" ca="1" si="8"/>
        <v>6.5485453063157797</v>
      </c>
      <c r="N17" s="230" t="s">
        <v>217</v>
      </c>
      <c r="O17" s="97" t="s">
        <v>402</v>
      </c>
      <c r="P17" s="95" t="s">
        <v>5</v>
      </c>
      <c r="Q17" s="95" t="s">
        <v>177</v>
      </c>
      <c r="R17" s="95" t="s">
        <v>204</v>
      </c>
      <c r="S17" s="95" t="s">
        <v>281</v>
      </c>
      <c r="T17" s="95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86"/>
      <c r="V17" s="326"/>
      <c r="W17" s="326"/>
      <c r="X17" s="86"/>
    </row>
    <row r="18" spans="1:24">
      <c r="A18" s="294" t="s">
        <v>176</v>
      </c>
      <c r="B18" s="294" t="s">
        <v>204</v>
      </c>
      <c r="C18" s="319">
        <v>6</v>
      </c>
      <c r="D18" s="319">
        <f t="shared" si="9"/>
        <v>500</v>
      </c>
      <c r="E18" s="319">
        <f t="shared" si="3"/>
        <v>3000</v>
      </c>
      <c r="F18" s="136">
        <f t="shared" si="0"/>
        <v>233067.00000000003</v>
      </c>
      <c r="G18" s="136">
        <f t="shared" ca="1" si="1"/>
        <v>253173.33999999997</v>
      </c>
      <c r="H18" s="136">
        <f t="shared" ca="1" si="4"/>
        <v>20106.339999999938</v>
      </c>
      <c r="I18" s="499">
        <f t="shared" ca="1" si="5"/>
        <v>8.6268497899745284</v>
      </c>
      <c r="J18" s="136">
        <f t="shared" ca="1" si="6"/>
        <v>253173.33999999997</v>
      </c>
      <c r="K18" s="136">
        <f t="shared" ca="1" si="2"/>
        <v>268427.35263248364</v>
      </c>
      <c r="L18" s="136">
        <f t="shared" ca="1" si="7"/>
        <v>15254.012632483675</v>
      </c>
      <c r="M18" s="499">
        <f t="shared" ca="1" si="8"/>
        <v>6.0251259601361173</v>
      </c>
      <c r="N18" s="230" t="s">
        <v>217</v>
      </c>
      <c r="O18" s="97" t="s">
        <v>402</v>
      </c>
      <c r="P18" s="95" t="s">
        <v>5</v>
      </c>
      <c r="Q18" s="95" t="s">
        <v>177</v>
      </c>
      <c r="R18" s="95" t="s">
        <v>195</v>
      </c>
      <c r="S18" s="95" t="s">
        <v>202</v>
      </c>
      <c r="T18" s="95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86"/>
      <c r="V18" s="326"/>
      <c r="W18" s="326"/>
      <c r="X18" s="86"/>
    </row>
    <row r="19" spans="1:24">
      <c r="A19" s="298" t="s">
        <v>176</v>
      </c>
      <c r="B19" s="298" t="s">
        <v>204</v>
      </c>
      <c r="C19" s="302">
        <v>6</v>
      </c>
      <c r="D19" s="302">
        <f t="shared" si="9"/>
        <v>700</v>
      </c>
      <c r="E19" s="302">
        <f t="shared" si="3"/>
        <v>4200</v>
      </c>
      <c r="F19" s="137">
        <f t="shared" si="0"/>
        <v>302091</v>
      </c>
      <c r="G19" s="137">
        <f t="shared" ca="1" si="1"/>
        <v>327189.34000000003</v>
      </c>
      <c r="H19" s="137">
        <f t="shared" ca="1" si="4"/>
        <v>25098.340000000026</v>
      </c>
      <c r="I19" s="500">
        <f t="shared" ca="1" si="5"/>
        <v>8.3082051434832636</v>
      </c>
      <c r="J19" s="137">
        <f t="shared" ca="1" si="6"/>
        <v>327189.34000000003</v>
      </c>
      <c r="K19" s="137">
        <f t="shared" ca="1" si="2"/>
        <v>345965.16568547708</v>
      </c>
      <c r="L19" s="137">
        <f t="shared" ca="1" si="7"/>
        <v>18775.825685477059</v>
      </c>
      <c r="M19" s="500">
        <f t="shared" ca="1" si="8"/>
        <v>5.7385199913533418</v>
      </c>
      <c r="N19" s="230" t="s">
        <v>217</v>
      </c>
      <c r="O19" s="97" t="s">
        <v>402</v>
      </c>
      <c r="P19" s="95" t="s">
        <v>5</v>
      </c>
      <c r="Q19" s="95" t="s">
        <v>177</v>
      </c>
      <c r="R19" s="95" t="s">
        <v>195</v>
      </c>
      <c r="S19" s="95" t="s">
        <v>207</v>
      </c>
      <c r="T19" s="95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86"/>
      <c r="V19" s="326"/>
      <c r="W19" s="326"/>
      <c r="X19" s="86"/>
    </row>
    <row r="20" spans="1:24">
      <c r="A20" s="421" t="s">
        <v>510</v>
      </c>
      <c r="B20" s="422"/>
      <c r="C20" s="422"/>
      <c r="D20" s="422"/>
      <c r="E20" s="422"/>
      <c r="F20" s="423"/>
      <c r="G20" s="423"/>
      <c r="H20" s="423"/>
      <c r="I20" s="518"/>
      <c r="J20" s="423"/>
      <c r="K20" s="423"/>
      <c r="L20" s="423"/>
      <c r="M20" s="509"/>
      <c r="N20" s="230" t="s">
        <v>217</v>
      </c>
      <c r="O20" s="97" t="s">
        <v>402</v>
      </c>
      <c r="P20" s="95" t="s">
        <v>5</v>
      </c>
      <c r="Q20" s="95" t="s">
        <v>177</v>
      </c>
      <c r="R20" s="95" t="s">
        <v>195</v>
      </c>
      <c r="S20" s="95" t="s">
        <v>208</v>
      </c>
      <c r="T20" s="95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86"/>
      <c r="V20" s="326"/>
      <c r="W20" s="326"/>
      <c r="X20" s="86"/>
    </row>
    <row r="21" spans="1:24">
      <c r="A21" s="323" t="s">
        <v>177</v>
      </c>
      <c r="B21" s="323" t="s">
        <v>203</v>
      </c>
      <c r="C21" s="301">
        <v>1</v>
      </c>
      <c r="D21" s="301">
        <f>D17</f>
        <v>300</v>
      </c>
      <c r="E21" s="301">
        <f t="shared" ref="E21:E32" si="10">C21*D21</f>
        <v>300</v>
      </c>
      <c r="F21" s="260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60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29941.37</v>
      </c>
      <c r="H21" s="260">
        <f t="shared" ca="1" si="4"/>
        <v>2090.369999999999</v>
      </c>
      <c r="I21" s="504">
        <f t="shared" ca="1" si="5"/>
        <v>7.5055473771139249</v>
      </c>
      <c r="J21" s="260">
        <f t="shared" ca="1" si="6"/>
        <v>29941.37</v>
      </c>
      <c r="K21" s="260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31428.299518009084</v>
      </c>
      <c r="L21" s="260">
        <f t="shared" ca="1" si="7"/>
        <v>1486.9295180090849</v>
      </c>
      <c r="M21" s="504">
        <f t="shared" ca="1" si="8"/>
        <v>4.9661372141925533</v>
      </c>
      <c r="N21" s="230" t="s">
        <v>217</v>
      </c>
      <c r="O21" s="97" t="s">
        <v>402</v>
      </c>
      <c r="P21" s="95" t="s">
        <v>5</v>
      </c>
      <c r="Q21" s="95" t="s">
        <v>177</v>
      </c>
      <c r="R21" s="95" t="s">
        <v>195</v>
      </c>
      <c r="S21" s="95" t="s">
        <v>201</v>
      </c>
      <c r="T21" s="95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86"/>
      <c r="V21" s="326"/>
      <c r="W21" s="326"/>
      <c r="X21" s="86"/>
    </row>
    <row r="22" spans="1:24">
      <c r="A22" s="294" t="s">
        <v>177</v>
      </c>
      <c r="B22" s="294" t="s">
        <v>203</v>
      </c>
      <c r="C22" s="319">
        <v>1</v>
      </c>
      <c r="D22" s="319">
        <f>D18</f>
        <v>500</v>
      </c>
      <c r="E22" s="319">
        <f t="shared" si="10"/>
        <v>500</v>
      </c>
      <c r="F22" s="136">
        <f t="shared" si="11"/>
        <v>39249</v>
      </c>
      <c r="G22" s="136">
        <f t="shared" ca="1" si="12"/>
        <v>42169.37</v>
      </c>
      <c r="H22" s="136">
        <f t="shared" ca="1" si="4"/>
        <v>2920.3700000000026</v>
      </c>
      <c r="I22" s="499">
        <f t="shared" ca="1" si="5"/>
        <v>7.4406226910239823</v>
      </c>
      <c r="J22" s="136">
        <f t="shared" ca="1" si="6"/>
        <v>42169.37</v>
      </c>
      <c r="K22" s="136">
        <f t="shared" ca="1" si="13"/>
        <v>44238.145863348473</v>
      </c>
      <c r="L22" s="136">
        <f t="shared" ca="1" si="7"/>
        <v>2068.77586334847</v>
      </c>
      <c r="M22" s="499">
        <f t="shared" ca="1" si="8"/>
        <v>4.905873299384055</v>
      </c>
      <c r="N22" s="230" t="s">
        <v>217</v>
      </c>
      <c r="O22" s="97" t="s">
        <v>402</v>
      </c>
      <c r="P22" s="95" t="s">
        <v>7</v>
      </c>
      <c r="Q22" s="95" t="s">
        <v>176</v>
      </c>
      <c r="R22" s="95" t="s">
        <v>203</v>
      </c>
      <c r="S22" s="95" t="s">
        <v>335</v>
      </c>
      <c r="T22" s="95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86"/>
      <c r="V22" s="326"/>
      <c r="W22" s="326"/>
      <c r="X22" s="86"/>
    </row>
    <row r="23" spans="1:24">
      <c r="A23" s="381" t="s">
        <v>177</v>
      </c>
      <c r="B23" s="381" t="s">
        <v>203</v>
      </c>
      <c r="C23" s="220">
        <v>1</v>
      </c>
      <c r="D23" s="220">
        <f>D19</f>
        <v>700</v>
      </c>
      <c r="E23" s="319">
        <f t="shared" si="10"/>
        <v>700</v>
      </c>
      <c r="F23" s="136">
        <f t="shared" si="11"/>
        <v>50647</v>
      </c>
      <c r="G23" s="136">
        <f t="shared" ca="1" si="12"/>
        <v>54397.37</v>
      </c>
      <c r="H23" s="136">
        <f t="shared" ca="1" si="4"/>
        <v>3750.3700000000026</v>
      </c>
      <c r="I23" s="499">
        <f t="shared" ca="1" si="5"/>
        <v>7.4049203309179275</v>
      </c>
      <c r="J23" s="136">
        <f t="shared" ca="1" si="6"/>
        <v>54397.37</v>
      </c>
      <c r="K23" s="136">
        <f t="shared" ca="1" si="13"/>
        <v>57047.992208687865</v>
      </c>
      <c r="L23" s="136">
        <f t="shared" ca="1" si="7"/>
        <v>2650.6222086878624</v>
      </c>
      <c r="M23" s="499">
        <f t="shared" ca="1" si="8"/>
        <v>4.8727028690686005</v>
      </c>
      <c r="N23" s="230" t="s">
        <v>217</v>
      </c>
      <c r="O23" s="97" t="s">
        <v>402</v>
      </c>
      <c r="P23" s="95" t="s">
        <v>7</v>
      </c>
      <c r="Q23" s="95" t="s">
        <v>176</v>
      </c>
      <c r="R23" s="95" t="s">
        <v>204</v>
      </c>
      <c r="S23" s="95" t="s">
        <v>335</v>
      </c>
      <c r="T23" s="95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86"/>
      <c r="V23" s="326"/>
      <c r="W23" s="326"/>
      <c r="X23" s="86"/>
    </row>
    <row r="24" spans="1:24">
      <c r="A24" s="294" t="s">
        <v>177</v>
      </c>
      <c r="B24" s="294" t="s">
        <v>203</v>
      </c>
      <c r="C24" s="319">
        <v>2</v>
      </c>
      <c r="D24" s="319">
        <f t="shared" ref="D24:D32" si="14">D21</f>
        <v>300</v>
      </c>
      <c r="E24" s="319">
        <f t="shared" si="10"/>
        <v>600</v>
      </c>
      <c r="F24" s="136">
        <f t="shared" si="11"/>
        <v>54358</v>
      </c>
      <c r="G24" s="136">
        <f t="shared" ca="1" si="12"/>
        <v>58533.37</v>
      </c>
      <c r="H24" s="136">
        <f t="shared" ca="1" si="4"/>
        <v>4175.3700000000026</v>
      </c>
      <c r="I24" s="499">
        <f t="shared" ca="1" si="5"/>
        <v>7.6812428713344909</v>
      </c>
      <c r="J24" s="136">
        <f t="shared" ca="1" si="6"/>
        <v>58533.37</v>
      </c>
      <c r="K24" s="136">
        <f t="shared" ca="1" si="13"/>
        <v>61533.069036018169</v>
      </c>
      <c r="L24" s="136">
        <f t="shared" ca="1" si="7"/>
        <v>2999.6990360181662</v>
      </c>
      <c r="M24" s="499">
        <f t="shared" ca="1" si="8"/>
        <v>5.1247673523977282</v>
      </c>
      <c r="N24" s="230" t="s">
        <v>217</v>
      </c>
      <c r="O24" s="97" t="s">
        <v>402</v>
      </c>
      <c r="P24" s="95" t="s">
        <v>7</v>
      </c>
      <c r="Q24" s="95" t="s">
        <v>176</v>
      </c>
      <c r="R24" s="95" t="s">
        <v>203</v>
      </c>
      <c r="S24" s="95" t="s">
        <v>281</v>
      </c>
      <c r="T24" s="95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86"/>
      <c r="V24" s="326"/>
      <c r="W24" s="326"/>
      <c r="X24" s="86"/>
    </row>
    <row r="25" spans="1:24">
      <c r="A25" s="294" t="s">
        <v>177</v>
      </c>
      <c r="B25" s="294" t="s">
        <v>203</v>
      </c>
      <c r="C25" s="319">
        <v>2</v>
      </c>
      <c r="D25" s="319">
        <f t="shared" si="14"/>
        <v>500</v>
      </c>
      <c r="E25" s="319">
        <f t="shared" si="10"/>
        <v>1000</v>
      </c>
      <c r="F25" s="136">
        <f t="shared" si="11"/>
        <v>77154</v>
      </c>
      <c r="G25" s="136">
        <f t="shared" ca="1" si="12"/>
        <v>82989.37</v>
      </c>
      <c r="H25" s="136">
        <f t="shared" ca="1" si="4"/>
        <v>5835.3699999999953</v>
      </c>
      <c r="I25" s="499">
        <f t="shared" ca="1" si="5"/>
        <v>7.5632760453119676</v>
      </c>
      <c r="J25" s="136">
        <f t="shared" ca="1" si="6"/>
        <v>82989.37</v>
      </c>
      <c r="K25" s="136">
        <f t="shared" ca="1" si="13"/>
        <v>87152.761726696946</v>
      </c>
      <c r="L25" s="136">
        <f t="shared" ca="1" si="7"/>
        <v>4163.3917266969511</v>
      </c>
      <c r="M25" s="499">
        <f t="shared" ca="1" si="8"/>
        <v>5.0167771206082801</v>
      </c>
      <c r="N25" s="230" t="s">
        <v>217</v>
      </c>
      <c r="O25" s="97" t="s">
        <v>402</v>
      </c>
      <c r="P25" s="95" t="s">
        <v>7</v>
      </c>
      <c r="Q25" s="95" t="s">
        <v>176</v>
      </c>
      <c r="R25" s="95" t="s">
        <v>204</v>
      </c>
      <c r="S25" s="95" t="s">
        <v>281</v>
      </c>
      <c r="T25" s="95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86"/>
      <c r="V25" s="326"/>
      <c r="W25" s="326"/>
      <c r="X25" s="86"/>
    </row>
    <row r="26" spans="1:24">
      <c r="A26" s="294" t="s">
        <v>177</v>
      </c>
      <c r="B26" s="294" t="s">
        <v>203</v>
      </c>
      <c r="C26" s="319">
        <v>2</v>
      </c>
      <c r="D26" s="319">
        <f t="shared" si="14"/>
        <v>700</v>
      </c>
      <c r="E26" s="319">
        <f t="shared" si="10"/>
        <v>1400</v>
      </c>
      <c r="F26" s="136">
        <f t="shared" si="11"/>
        <v>99950</v>
      </c>
      <c r="G26" s="136">
        <f t="shared" ca="1" si="12"/>
        <v>107445.37</v>
      </c>
      <c r="H26" s="136">
        <f t="shared" ca="1" si="4"/>
        <v>7495.3699999999953</v>
      </c>
      <c r="I26" s="499">
        <f t="shared" ca="1" si="5"/>
        <v>7.499119559779885</v>
      </c>
      <c r="J26" s="136">
        <f t="shared" ca="1" si="6"/>
        <v>107445.37</v>
      </c>
      <c r="K26" s="136">
        <f t="shared" ca="1" si="13"/>
        <v>112772.45441737573</v>
      </c>
      <c r="L26" s="136">
        <f t="shared" ca="1" si="7"/>
        <v>5327.0844173757359</v>
      </c>
      <c r="M26" s="499">
        <f t="shared" ca="1" si="8"/>
        <v>4.9579469244470342</v>
      </c>
      <c r="N26" s="230" t="s">
        <v>217</v>
      </c>
      <c r="O26" s="97" t="s">
        <v>402</v>
      </c>
      <c r="P26" s="95" t="s">
        <v>7</v>
      </c>
      <c r="Q26" s="95" t="s">
        <v>176</v>
      </c>
      <c r="R26" s="95" t="s">
        <v>195</v>
      </c>
      <c r="S26" s="95" t="s">
        <v>202</v>
      </c>
      <c r="T26" s="95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86"/>
      <c r="V26" s="326"/>
      <c r="W26" s="326"/>
      <c r="X26" s="86"/>
    </row>
    <row r="27" spans="1:24">
      <c r="A27" s="294" t="s">
        <v>177</v>
      </c>
      <c r="B27" s="294" t="s">
        <v>204</v>
      </c>
      <c r="C27" s="319">
        <v>4</v>
      </c>
      <c r="D27" s="319">
        <f t="shared" si="14"/>
        <v>300</v>
      </c>
      <c r="E27" s="319">
        <f t="shared" si="10"/>
        <v>1200</v>
      </c>
      <c r="F27" s="136">
        <f t="shared" si="11"/>
        <v>107206.00000000001</v>
      </c>
      <c r="G27" s="136">
        <f t="shared" ca="1" si="12"/>
        <v>115152.46999999999</v>
      </c>
      <c r="H27" s="136">
        <f t="shared" ca="1" si="4"/>
        <v>7946.4699999999721</v>
      </c>
      <c r="I27" s="499">
        <f t="shared" ca="1" si="5"/>
        <v>7.4123369960636261</v>
      </c>
      <c r="J27" s="136">
        <f t="shared" ca="1" si="6"/>
        <v>115152.46999999999</v>
      </c>
      <c r="K27" s="136">
        <f t="shared" ca="1" si="13"/>
        <v>120772.43807203634</v>
      </c>
      <c r="L27" s="136">
        <f t="shared" ca="1" si="7"/>
        <v>5619.968072036354</v>
      </c>
      <c r="M27" s="499">
        <f t="shared" ca="1" si="8"/>
        <v>4.8804581196012169</v>
      </c>
      <c r="N27" s="230" t="s">
        <v>217</v>
      </c>
      <c r="O27" s="97" t="s">
        <v>402</v>
      </c>
      <c r="P27" s="95" t="s">
        <v>7</v>
      </c>
      <c r="Q27" s="95" t="s">
        <v>176</v>
      </c>
      <c r="R27" s="95" t="s">
        <v>195</v>
      </c>
      <c r="S27" s="95" t="s">
        <v>207</v>
      </c>
      <c r="T27" s="95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86"/>
      <c r="V27" s="326"/>
      <c r="W27" s="326"/>
      <c r="X27" s="86"/>
    </row>
    <row r="28" spans="1:24">
      <c r="A28" s="294" t="s">
        <v>177</v>
      </c>
      <c r="B28" s="294" t="s">
        <v>204</v>
      </c>
      <c r="C28" s="319">
        <v>4</v>
      </c>
      <c r="D28" s="319">
        <f t="shared" si="14"/>
        <v>500</v>
      </c>
      <c r="E28" s="319">
        <f t="shared" si="10"/>
        <v>2000</v>
      </c>
      <c r="F28" s="136">
        <f t="shared" si="11"/>
        <v>152798</v>
      </c>
      <c r="G28" s="136">
        <f t="shared" ca="1" si="12"/>
        <v>164064.47</v>
      </c>
      <c r="H28" s="136">
        <f t="shared" ca="1" si="4"/>
        <v>11266.470000000001</v>
      </c>
      <c r="I28" s="499">
        <f t="shared" ca="1" si="5"/>
        <v>7.3734407518423026</v>
      </c>
      <c r="J28" s="136">
        <f t="shared" ca="1" si="6"/>
        <v>164064.47</v>
      </c>
      <c r="K28" s="136">
        <f t="shared" ca="1" si="13"/>
        <v>172011.82345339388</v>
      </c>
      <c r="L28" s="136">
        <f t="shared" ca="1" si="7"/>
        <v>7947.35345339388</v>
      </c>
      <c r="M28" s="499">
        <f t="shared" ca="1" si="8"/>
        <v>4.844042987122001</v>
      </c>
      <c r="N28" s="230" t="s">
        <v>217</v>
      </c>
      <c r="O28" s="97" t="s">
        <v>402</v>
      </c>
      <c r="P28" s="95" t="s">
        <v>7</v>
      </c>
      <c r="Q28" s="95" t="s">
        <v>176</v>
      </c>
      <c r="R28" s="95" t="s">
        <v>195</v>
      </c>
      <c r="S28" s="95" t="s">
        <v>208</v>
      </c>
      <c r="T28" s="95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86"/>
      <c r="V28" s="326"/>
      <c r="W28" s="326"/>
      <c r="X28" s="86"/>
    </row>
    <row r="29" spans="1:24">
      <c r="A29" s="294" t="s">
        <v>177</v>
      </c>
      <c r="B29" s="294" t="s">
        <v>204</v>
      </c>
      <c r="C29" s="319">
        <v>4</v>
      </c>
      <c r="D29" s="319">
        <f t="shared" si="14"/>
        <v>700</v>
      </c>
      <c r="E29" s="319">
        <f t="shared" si="10"/>
        <v>2800</v>
      </c>
      <c r="F29" s="136">
        <f t="shared" si="11"/>
        <v>198390</v>
      </c>
      <c r="G29" s="136">
        <f t="shared" ca="1" si="12"/>
        <v>212976.47</v>
      </c>
      <c r="H29" s="136">
        <f t="shared" ca="1" si="4"/>
        <v>14586.470000000001</v>
      </c>
      <c r="I29" s="499">
        <f t="shared" ca="1" si="5"/>
        <v>7.3524219970764664</v>
      </c>
      <c r="J29" s="136">
        <f t="shared" ca="1" si="6"/>
        <v>212976.47</v>
      </c>
      <c r="K29" s="136">
        <f t="shared" ca="1" si="13"/>
        <v>223251.20883475145</v>
      </c>
      <c r="L29" s="136">
        <f t="shared" ca="1" si="7"/>
        <v>10274.73883475145</v>
      </c>
      <c r="M29" s="499">
        <f t="shared" ca="1" si="8"/>
        <v>4.8243539930732489</v>
      </c>
      <c r="N29" s="230" t="s">
        <v>217</v>
      </c>
      <c r="O29" s="97" t="s">
        <v>402</v>
      </c>
      <c r="P29" s="95" t="s">
        <v>7</v>
      </c>
      <c r="Q29" s="95" t="s">
        <v>176</v>
      </c>
      <c r="R29" s="95" t="s">
        <v>195</v>
      </c>
      <c r="S29" s="95" t="s">
        <v>201</v>
      </c>
      <c r="T29" s="95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86"/>
      <c r="V29" s="326"/>
      <c r="W29" s="326"/>
      <c r="X29" s="86"/>
    </row>
    <row r="30" spans="1:24">
      <c r="A30" s="294" t="s">
        <v>177</v>
      </c>
      <c r="B30" s="294" t="s">
        <v>204</v>
      </c>
      <c r="C30" s="319">
        <v>6</v>
      </c>
      <c r="D30" s="319">
        <f t="shared" si="14"/>
        <v>300</v>
      </c>
      <c r="E30" s="319">
        <f t="shared" si="10"/>
        <v>1800</v>
      </c>
      <c r="F30" s="136">
        <f t="shared" si="11"/>
        <v>160000</v>
      </c>
      <c r="G30" s="136">
        <f t="shared" ca="1" si="12"/>
        <v>171916.47</v>
      </c>
      <c r="H30" s="136">
        <f t="shared" ca="1" si="4"/>
        <v>11916.470000000001</v>
      </c>
      <c r="I30" s="499">
        <f t="shared" ca="1" si="5"/>
        <v>7.4477937500000007</v>
      </c>
      <c r="J30" s="136">
        <f t="shared" ca="1" si="6"/>
        <v>171916.47</v>
      </c>
      <c r="K30" s="136">
        <f t="shared" ca="1" si="13"/>
        <v>180361.9771080545</v>
      </c>
      <c r="L30" s="136">
        <f t="shared" ca="1" si="7"/>
        <v>8445.5071080545022</v>
      </c>
      <c r="M30" s="499">
        <f t="shared" ca="1" si="8"/>
        <v>4.9125642866297232</v>
      </c>
      <c r="N30" s="230" t="s">
        <v>217</v>
      </c>
      <c r="O30" s="97" t="s">
        <v>402</v>
      </c>
      <c r="P30" s="95" t="s">
        <v>7</v>
      </c>
      <c r="Q30" s="95" t="s">
        <v>177</v>
      </c>
      <c r="R30" s="95" t="s">
        <v>203</v>
      </c>
      <c r="S30" s="95" t="s">
        <v>335</v>
      </c>
      <c r="T30" s="95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86"/>
      <c r="V30" s="326"/>
      <c r="W30" s="326"/>
      <c r="X30" s="86"/>
    </row>
    <row r="31" spans="1:24">
      <c r="A31" s="294" t="s">
        <v>177</v>
      </c>
      <c r="B31" s="294" t="s">
        <v>204</v>
      </c>
      <c r="C31" s="319">
        <v>6</v>
      </c>
      <c r="D31" s="319">
        <f t="shared" si="14"/>
        <v>500</v>
      </c>
      <c r="E31" s="319">
        <f t="shared" si="10"/>
        <v>3000</v>
      </c>
      <c r="F31" s="136">
        <f t="shared" si="11"/>
        <v>228388</v>
      </c>
      <c r="G31" s="136">
        <f t="shared" ca="1" si="12"/>
        <v>245284.46999999997</v>
      </c>
      <c r="H31" s="136">
        <f t="shared" ca="1" si="4"/>
        <v>16896.469999999972</v>
      </c>
      <c r="I31" s="499">
        <f t="shared" ca="1" si="5"/>
        <v>7.3981426344641461</v>
      </c>
      <c r="J31" s="136">
        <f t="shared" ca="1" si="6"/>
        <v>245284.46999999997</v>
      </c>
      <c r="K31" s="136">
        <f t="shared" ca="1" si="13"/>
        <v>257221.05518009086</v>
      </c>
      <c r="L31" s="136">
        <f t="shared" ca="1" si="7"/>
        <v>11936.585180090886</v>
      </c>
      <c r="M31" s="499">
        <f t="shared" ca="1" si="8"/>
        <v>4.8664251675170824</v>
      </c>
      <c r="N31" s="230" t="s">
        <v>217</v>
      </c>
      <c r="O31" s="97" t="s">
        <v>402</v>
      </c>
      <c r="P31" s="95" t="s">
        <v>7</v>
      </c>
      <c r="Q31" s="95" t="s">
        <v>177</v>
      </c>
      <c r="R31" s="95" t="s">
        <v>203</v>
      </c>
      <c r="S31" s="95" t="s">
        <v>281</v>
      </c>
      <c r="T31" s="95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86"/>
      <c r="V31" s="326"/>
      <c r="W31" s="326"/>
      <c r="X31" s="86"/>
    </row>
    <row r="32" spans="1:24">
      <c r="A32" s="298" t="s">
        <v>177</v>
      </c>
      <c r="B32" s="298" t="s">
        <v>204</v>
      </c>
      <c r="C32" s="302">
        <v>6</v>
      </c>
      <c r="D32" s="302">
        <f t="shared" si="14"/>
        <v>700</v>
      </c>
      <c r="E32" s="302">
        <f t="shared" si="10"/>
        <v>4200</v>
      </c>
      <c r="F32" s="137">
        <f t="shared" si="11"/>
        <v>296776</v>
      </c>
      <c r="G32" s="137">
        <f t="shared" ca="1" si="12"/>
        <v>318652.46999999997</v>
      </c>
      <c r="H32" s="137">
        <f t="shared" ca="1" si="4"/>
        <v>21876.469999999972</v>
      </c>
      <c r="I32" s="500">
        <f t="shared" ca="1" si="5"/>
        <v>7.37137436989513</v>
      </c>
      <c r="J32" s="137">
        <f t="shared" ca="1" si="6"/>
        <v>318652.46999999997</v>
      </c>
      <c r="K32" s="137">
        <f t="shared" ca="1" si="13"/>
        <v>334080.13325212715</v>
      </c>
      <c r="L32" s="137">
        <f t="shared" ca="1" si="7"/>
        <v>15427.663252127182</v>
      </c>
      <c r="M32" s="500">
        <f t="shared" ca="1" si="8"/>
        <v>4.841532611414304</v>
      </c>
      <c r="N32" s="230" t="s">
        <v>217</v>
      </c>
      <c r="O32" s="97" t="s">
        <v>402</v>
      </c>
      <c r="P32" s="95" t="s">
        <v>7</v>
      </c>
      <c r="Q32" s="95" t="s">
        <v>177</v>
      </c>
      <c r="R32" s="95" t="s">
        <v>195</v>
      </c>
      <c r="S32" s="95" t="s">
        <v>202</v>
      </c>
      <c r="T32" s="95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86"/>
      <c r="V32" s="326"/>
      <c r="W32" s="326"/>
      <c r="X32" s="86"/>
    </row>
    <row r="33" spans="1:25">
      <c r="A33" s="421" t="s">
        <v>510</v>
      </c>
      <c r="B33" s="422"/>
      <c r="C33" s="422"/>
      <c r="D33" s="422"/>
      <c r="E33" s="422"/>
      <c r="F33" s="423"/>
      <c r="G33" s="423"/>
      <c r="H33" s="423"/>
      <c r="I33" s="518"/>
      <c r="J33" s="423"/>
      <c r="K33" s="423"/>
      <c r="L33" s="423"/>
      <c r="M33" s="509"/>
      <c r="N33" s="230" t="s">
        <v>217</v>
      </c>
      <c r="O33" s="97" t="s">
        <v>402</v>
      </c>
      <c r="P33" s="95" t="s">
        <v>7</v>
      </c>
      <c r="Q33" s="95" t="s">
        <v>177</v>
      </c>
      <c r="R33" s="95" t="s">
        <v>195</v>
      </c>
      <c r="S33" s="95" t="s">
        <v>207</v>
      </c>
      <c r="T33" s="95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86"/>
      <c r="V33" s="326"/>
      <c r="W33" s="326"/>
      <c r="X33" s="86"/>
    </row>
    <row r="34" spans="1:25">
      <c r="A34" s="323" t="s">
        <v>509</v>
      </c>
      <c r="B34" s="323" t="s">
        <v>195</v>
      </c>
      <c r="C34" s="301">
        <v>1</v>
      </c>
      <c r="D34" s="301">
        <f>D30</f>
        <v>300</v>
      </c>
      <c r="E34" s="301">
        <f t="shared" ref="E34:E45" si="15">C34*D34</f>
        <v>300</v>
      </c>
      <c r="F34" s="260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60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29173.57</v>
      </c>
      <c r="H34" s="260">
        <f t="shared" ca="1" si="4"/>
        <v>29173.57</v>
      </c>
      <c r="I34" s="504">
        <f t="shared" ca="1" si="5"/>
        <v>100</v>
      </c>
      <c r="J34" s="260">
        <f t="shared" ca="1" si="6"/>
        <v>29173.57</v>
      </c>
      <c r="K34" s="260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31458.93</v>
      </c>
      <c r="L34" s="260">
        <f t="shared" ca="1" si="7"/>
        <v>2285.3600000000006</v>
      </c>
      <c r="M34" s="504">
        <f t="shared" ca="1" si="8"/>
        <v>7.8336658831949624</v>
      </c>
      <c r="N34" s="230" t="s">
        <v>217</v>
      </c>
      <c r="O34" s="97" t="s">
        <v>402</v>
      </c>
      <c r="P34" s="95" t="s">
        <v>7</v>
      </c>
      <c r="Q34" s="95" t="s">
        <v>177</v>
      </c>
      <c r="R34" s="95" t="s">
        <v>195</v>
      </c>
      <c r="S34" s="95" t="s">
        <v>208</v>
      </c>
      <c r="T34" s="95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86"/>
      <c r="V34" s="326"/>
      <c r="W34" s="326"/>
      <c r="X34" s="86"/>
    </row>
    <row r="35" spans="1:25">
      <c r="A35" s="294" t="s">
        <v>509</v>
      </c>
      <c r="B35" s="294" t="s">
        <v>195</v>
      </c>
      <c r="C35" s="319">
        <v>1</v>
      </c>
      <c r="D35" s="319">
        <f>D31</f>
        <v>500</v>
      </c>
      <c r="E35" s="319">
        <f t="shared" si="15"/>
        <v>500</v>
      </c>
      <c r="F35" s="136">
        <f t="shared" si="16"/>
        <v>0</v>
      </c>
      <c r="G35" s="136">
        <f t="shared" ca="1" si="17"/>
        <v>39865.57</v>
      </c>
      <c r="H35" s="136">
        <f t="shared" ca="1" si="4"/>
        <v>39865.57</v>
      </c>
      <c r="I35" s="499">
        <f t="shared" ca="1" si="5"/>
        <v>100</v>
      </c>
      <c r="J35" s="136">
        <f t="shared" ca="1" si="6"/>
        <v>39865.57</v>
      </c>
      <c r="K35" s="136">
        <f t="shared" ca="1" si="18"/>
        <v>42664.93</v>
      </c>
      <c r="L35" s="136">
        <f t="shared" ca="1" si="7"/>
        <v>2799.3600000000006</v>
      </c>
      <c r="M35" s="499">
        <f t="shared" ca="1" si="8"/>
        <v>7.0219991837568125</v>
      </c>
      <c r="N35" s="255" t="s">
        <v>217</v>
      </c>
      <c r="O35" s="145" t="s">
        <v>402</v>
      </c>
      <c r="P35" s="147" t="s">
        <v>7</v>
      </c>
      <c r="Q35" s="147" t="s">
        <v>177</v>
      </c>
      <c r="R35" s="147" t="s">
        <v>195</v>
      </c>
      <c r="S35" s="147" t="s">
        <v>201</v>
      </c>
      <c r="T35" s="147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86"/>
      <c r="V35" s="326"/>
      <c r="W35" s="326"/>
      <c r="X35" s="86"/>
    </row>
    <row r="36" spans="1:25" s="135" customFormat="1">
      <c r="A36" s="381" t="s">
        <v>509</v>
      </c>
      <c r="B36" s="381" t="s">
        <v>195</v>
      </c>
      <c r="C36" s="220">
        <v>1</v>
      </c>
      <c r="D36" s="220">
        <f>D32</f>
        <v>700</v>
      </c>
      <c r="E36" s="319">
        <f t="shared" si="15"/>
        <v>700</v>
      </c>
      <c r="F36" s="136">
        <f t="shared" si="16"/>
        <v>0</v>
      </c>
      <c r="G36" s="136">
        <f t="shared" ca="1" si="17"/>
        <v>50557.569999999992</v>
      </c>
      <c r="H36" s="136">
        <f t="shared" ca="1" si="4"/>
        <v>50557.569999999992</v>
      </c>
      <c r="I36" s="499">
        <f t="shared" ca="1" si="5"/>
        <v>100</v>
      </c>
      <c r="J36" s="136">
        <f t="shared" ca="1" si="6"/>
        <v>50557.569999999992</v>
      </c>
      <c r="K36" s="136">
        <f t="shared" ca="1" si="18"/>
        <v>53870.930000000008</v>
      </c>
      <c r="L36" s="136">
        <f t="shared" ca="1" si="7"/>
        <v>3313.3600000000151</v>
      </c>
      <c r="M36" s="499">
        <f t="shared" ca="1" si="8"/>
        <v>6.5536377638403422</v>
      </c>
      <c r="N36" s="140" t="s">
        <v>406</v>
      </c>
      <c r="O36" s="140" t="s">
        <v>403</v>
      </c>
      <c r="P36" s="139" t="s">
        <v>195</v>
      </c>
      <c r="Q36" s="139" t="s">
        <v>176</v>
      </c>
      <c r="R36" s="139" t="s">
        <v>203</v>
      </c>
      <c r="S36" s="140" t="s">
        <v>335</v>
      </c>
      <c r="T36" s="315">
        <v>1313</v>
      </c>
      <c r="U36" s="318"/>
      <c r="V36" s="327"/>
      <c r="W36" s="327"/>
      <c r="X36" s="347"/>
    </row>
    <row r="37" spans="1:25" s="135" customFormat="1">
      <c r="A37" s="294" t="s">
        <v>509</v>
      </c>
      <c r="B37" s="294" t="s">
        <v>195</v>
      </c>
      <c r="C37" s="319">
        <v>2</v>
      </c>
      <c r="D37" s="319">
        <f t="shared" ref="D37:D45" si="19">D34</f>
        <v>300</v>
      </c>
      <c r="E37" s="319">
        <f t="shared" si="15"/>
        <v>600</v>
      </c>
      <c r="F37" s="136">
        <f t="shared" si="16"/>
        <v>0</v>
      </c>
      <c r="G37" s="136">
        <f t="shared" ca="1" si="17"/>
        <v>54721.57</v>
      </c>
      <c r="H37" s="136">
        <f t="shared" ca="1" si="4"/>
        <v>54721.57</v>
      </c>
      <c r="I37" s="499">
        <f t="shared" ca="1" si="5"/>
        <v>100</v>
      </c>
      <c r="J37" s="136">
        <f t="shared" ca="1" si="6"/>
        <v>54721.57</v>
      </c>
      <c r="K37" s="136">
        <f t="shared" ca="1" si="18"/>
        <v>58717.93</v>
      </c>
      <c r="L37" s="136">
        <f t="shared" ca="1" si="7"/>
        <v>3996.3600000000006</v>
      </c>
      <c r="M37" s="499">
        <f t="shared" ca="1" si="8"/>
        <v>7.3030799372167152</v>
      </c>
      <c r="N37" s="97" t="s">
        <v>406</v>
      </c>
      <c r="O37" s="97" t="s">
        <v>403</v>
      </c>
      <c r="P37" s="95" t="s">
        <v>195</v>
      </c>
      <c r="Q37" s="95" t="s">
        <v>176</v>
      </c>
      <c r="R37" s="95" t="s">
        <v>203</v>
      </c>
      <c r="S37" s="95" t="s">
        <v>281</v>
      </c>
      <c r="T37" s="316">
        <v>1.22</v>
      </c>
      <c r="U37" s="318"/>
      <c r="V37" s="327"/>
      <c r="W37" s="327"/>
      <c r="X37" s="347"/>
    </row>
    <row r="38" spans="1:25" s="135" customFormat="1">
      <c r="A38" s="294" t="s">
        <v>509</v>
      </c>
      <c r="B38" s="294" t="s">
        <v>195</v>
      </c>
      <c r="C38" s="319">
        <v>2</v>
      </c>
      <c r="D38" s="319">
        <f t="shared" si="19"/>
        <v>500</v>
      </c>
      <c r="E38" s="319">
        <f t="shared" si="15"/>
        <v>1000</v>
      </c>
      <c r="F38" s="136">
        <f t="shared" si="16"/>
        <v>0</v>
      </c>
      <c r="G38" s="136">
        <f t="shared" ca="1" si="17"/>
        <v>76105.570000000007</v>
      </c>
      <c r="H38" s="136">
        <f t="shared" ca="1" si="4"/>
        <v>76105.570000000007</v>
      </c>
      <c r="I38" s="499">
        <f t="shared" ca="1" si="5"/>
        <v>100</v>
      </c>
      <c r="J38" s="136">
        <f t="shared" ca="1" si="6"/>
        <v>76105.570000000007</v>
      </c>
      <c r="K38" s="136">
        <f t="shared" ca="1" si="18"/>
        <v>81129.929999999993</v>
      </c>
      <c r="L38" s="136">
        <f t="shared" ca="1" si="7"/>
        <v>5024.359999999986</v>
      </c>
      <c r="M38" s="499">
        <f t="shared" ca="1" si="8"/>
        <v>6.6018295375752194</v>
      </c>
      <c r="N38" s="97" t="s">
        <v>406</v>
      </c>
      <c r="O38" s="97" t="s">
        <v>403</v>
      </c>
      <c r="P38" s="95" t="s">
        <v>195</v>
      </c>
      <c r="Q38" s="95" t="s">
        <v>176</v>
      </c>
      <c r="R38" s="95" t="s">
        <v>204</v>
      </c>
      <c r="S38" s="97" t="s">
        <v>335</v>
      </c>
      <c r="T38" s="316">
        <v>1587</v>
      </c>
      <c r="U38" s="318"/>
      <c r="V38" s="327"/>
      <c r="W38" s="327"/>
      <c r="X38" s="347"/>
    </row>
    <row r="39" spans="1:25" s="135" customFormat="1">
      <c r="A39" s="294" t="s">
        <v>509</v>
      </c>
      <c r="B39" s="294" t="s">
        <v>195</v>
      </c>
      <c r="C39" s="319">
        <v>2</v>
      </c>
      <c r="D39" s="319">
        <f t="shared" si="19"/>
        <v>700</v>
      </c>
      <c r="E39" s="319">
        <f t="shared" si="15"/>
        <v>1400</v>
      </c>
      <c r="F39" s="136">
        <f t="shared" si="16"/>
        <v>0</v>
      </c>
      <c r="G39" s="136">
        <f t="shared" ca="1" si="17"/>
        <v>97489.569999999992</v>
      </c>
      <c r="H39" s="136">
        <f t="shared" ca="1" si="4"/>
        <v>97489.569999999992</v>
      </c>
      <c r="I39" s="499">
        <f t="shared" ca="1" si="5"/>
        <v>100</v>
      </c>
      <c r="J39" s="136">
        <f t="shared" ca="1" si="6"/>
        <v>97489.569999999992</v>
      </c>
      <c r="K39" s="136">
        <f t="shared" ca="1" si="18"/>
        <v>103541.93000000002</v>
      </c>
      <c r="L39" s="136">
        <f t="shared" ca="1" si="7"/>
        <v>6052.3600000000297</v>
      </c>
      <c r="M39" s="499">
        <f t="shared" ca="1" si="8"/>
        <v>6.2082128375374213</v>
      </c>
      <c r="N39" s="97" t="s">
        <v>406</v>
      </c>
      <c r="O39" s="97" t="s">
        <v>403</v>
      </c>
      <c r="P39" s="95" t="s">
        <v>195</v>
      </c>
      <c r="Q39" s="95" t="s">
        <v>176</v>
      </c>
      <c r="R39" s="95" t="s">
        <v>204</v>
      </c>
      <c r="S39" s="95" t="s">
        <v>281</v>
      </c>
      <c r="T39" s="316">
        <v>1.0900000000000001</v>
      </c>
      <c r="U39" s="318"/>
      <c r="V39" s="327"/>
      <c r="W39" s="327"/>
      <c r="X39" s="347"/>
    </row>
    <row r="40" spans="1:25" s="135" customFormat="1">
      <c r="A40" s="294" t="s">
        <v>509</v>
      </c>
      <c r="B40" s="294" t="s">
        <v>195</v>
      </c>
      <c r="C40" s="319">
        <v>4</v>
      </c>
      <c r="D40" s="319">
        <f t="shared" si="19"/>
        <v>300</v>
      </c>
      <c r="E40" s="319">
        <f t="shared" si="15"/>
        <v>1200</v>
      </c>
      <c r="F40" s="136">
        <f t="shared" si="16"/>
        <v>0</v>
      </c>
      <c r="G40" s="136">
        <f t="shared" ca="1" si="17"/>
        <v>105817.57</v>
      </c>
      <c r="H40" s="136">
        <f t="shared" ca="1" si="4"/>
        <v>105817.57</v>
      </c>
      <c r="I40" s="499">
        <f t="shared" ca="1" si="5"/>
        <v>100</v>
      </c>
      <c r="J40" s="136">
        <f t="shared" ca="1" si="6"/>
        <v>105817.57</v>
      </c>
      <c r="K40" s="136">
        <f t="shared" ca="1" si="18"/>
        <v>113235.93</v>
      </c>
      <c r="L40" s="136">
        <f t="shared" ca="1" si="7"/>
        <v>7418.359999999986</v>
      </c>
      <c r="M40" s="499">
        <f t="shared" ca="1" si="8"/>
        <v>7.0105181965527894</v>
      </c>
      <c r="N40" s="97" t="s">
        <v>406</v>
      </c>
      <c r="O40" s="97" t="s">
        <v>403</v>
      </c>
      <c r="P40" s="95" t="s">
        <v>195</v>
      </c>
      <c r="Q40" s="95" t="s">
        <v>176</v>
      </c>
      <c r="R40" s="95" t="s">
        <v>195</v>
      </c>
      <c r="S40" s="95" t="s">
        <v>202</v>
      </c>
      <c r="T40" s="316">
        <v>8.73</v>
      </c>
      <c r="U40" s="318"/>
      <c r="V40" s="327"/>
      <c r="W40" s="327"/>
      <c r="X40" s="347"/>
    </row>
    <row r="41" spans="1:25" s="135" customFormat="1">
      <c r="A41" s="294" t="s">
        <v>509</v>
      </c>
      <c r="B41" s="294" t="s">
        <v>195</v>
      </c>
      <c r="C41" s="319">
        <v>4</v>
      </c>
      <c r="D41" s="319">
        <f t="shared" si="19"/>
        <v>500</v>
      </c>
      <c r="E41" s="319">
        <f t="shared" si="15"/>
        <v>2000</v>
      </c>
      <c r="F41" s="136">
        <f t="shared" si="16"/>
        <v>0</v>
      </c>
      <c r="G41" s="136">
        <f t="shared" ca="1" si="17"/>
        <v>148585.57</v>
      </c>
      <c r="H41" s="136">
        <f t="shared" ca="1" si="4"/>
        <v>148585.57</v>
      </c>
      <c r="I41" s="499">
        <f t="shared" ca="1" si="5"/>
        <v>100</v>
      </c>
      <c r="J41" s="136">
        <f t="shared" ca="1" si="6"/>
        <v>148585.57</v>
      </c>
      <c r="K41" s="136">
        <f t="shared" ca="1" si="18"/>
        <v>158059.93</v>
      </c>
      <c r="L41" s="136">
        <f t="shared" ca="1" si="7"/>
        <v>9474.359999999986</v>
      </c>
      <c r="M41" s="499">
        <f t="shared" ca="1" si="8"/>
        <v>6.3763661572250827</v>
      </c>
      <c r="N41" s="97" t="s">
        <v>406</v>
      </c>
      <c r="O41" s="97" t="s">
        <v>403</v>
      </c>
      <c r="P41" s="95" t="s">
        <v>195</v>
      </c>
      <c r="Q41" s="95" t="s">
        <v>176</v>
      </c>
      <c r="R41" s="95" t="s">
        <v>195</v>
      </c>
      <c r="S41" s="95" t="s">
        <v>207</v>
      </c>
      <c r="T41" s="316">
        <v>6.318E-2</v>
      </c>
      <c r="U41" s="318"/>
      <c r="V41" s="327"/>
      <c r="W41" s="327"/>
      <c r="X41" s="347"/>
    </row>
    <row r="42" spans="1:25" s="135" customFormat="1">
      <c r="A42" s="294" t="s">
        <v>509</v>
      </c>
      <c r="B42" s="294" t="s">
        <v>195</v>
      </c>
      <c r="C42" s="319">
        <v>4</v>
      </c>
      <c r="D42" s="319">
        <f t="shared" si="19"/>
        <v>700</v>
      </c>
      <c r="E42" s="319">
        <f t="shared" si="15"/>
        <v>2800</v>
      </c>
      <c r="F42" s="136">
        <f t="shared" si="16"/>
        <v>0</v>
      </c>
      <c r="G42" s="136">
        <f t="shared" ca="1" si="17"/>
        <v>191353.56999999998</v>
      </c>
      <c r="H42" s="136">
        <f t="shared" ca="1" si="4"/>
        <v>191353.56999999998</v>
      </c>
      <c r="I42" s="499">
        <f t="shared" ca="1" si="5"/>
        <v>100</v>
      </c>
      <c r="J42" s="136">
        <f t="shared" ca="1" si="6"/>
        <v>191353.56999999998</v>
      </c>
      <c r="K42" s="136">
        <f t="shared" ca="1" si="18"/>
        <v>202883.93000000002</v>
      </c>
      <c r="L42" s="136">
        <f t="shared" ca="1" si="7"/>
        <v>11530.360000000044</v>
      </c>
      <c r="M42" s="499">
        <f t="shared" ca="1" si="8"/>
        <v>6.0256832417602899</v>
      </c>
      <c r="N42" s="97" t="s">
        <v>406</v>
      </c>
      <c r="O42" s="97" t="s">
        <v>403</v>
      </c>
      <c r="P42" s="95" t="s">
        <v>195</v>
      </c>
      <c r="Q42" s="95" t="s">
        <v>176</v>
      </c>
      <c r="R42" s="95" t="s">
        <v>195</v>
      </c>
      <c r="S42" s="95" t="s">
        <v>208</v>
      </c>
      <c r="T42" s="316">
        <v>5.3850000000000002E-2</v>
      </c>
      <c r="U42" s="382">
        <f>ROUND(18875456.7440604/328149970.819057,5)</f>
        <v>5.7520000000000002E-2</v>
      </c>
      <c r="V42" s="327"/>
      <c r="W42" s="327"/>
      <c r="X42" s="347"/>
      <c r="Y42" s="303"/>
    </row>
    <row r="43" spans="1:25" s="135" customFormat="1">
      <c r="A43" s="294" t="s">
        <v>509</v>
      </c>
      <c r="B43" s="294" t="s">
        <v>195</v>
      </c>
      <c r="C43" s="319">
        <v>6</v>
      </c>
      <c r="D43" s="319">
        <f t="shared" si="19"/>
        <v>300</v>
      </c>
      <c r="E43" s="319">
        <f t="shared" si="15"/>
        <v>1800</v>
      </c>
      <c r="F43" s="136">
        <f t="shared" si="16"/>
        <v>0</v>
      </c>
      <c r="G43" s="136">
        <f t="shared" ca="1" si="17"/>
        <v>156913.57</v>
      </c>
      <c r="H43" s="136">
        <f t="shared" ca="1" si="4"/>
        <v>156913.57</v>
      </c>
      <c r="I43" s="499">
        <f t="shared" ca="1" si="5"/>
        <v>100</v>
      </c>
      <c r="J43" s="136">
        <f t="shared" ca="1" si="6"/>
        <v>156913.57</v>
      </c>
      <c r="K43" s="136">
        <f t="shared" ca="1" si="18"/>
        <v>167753.93</v>
      </c>
      <c r="L43" s="136">
        <f t="shared" ca="1" si="7"/>
        <v>10840.359999999986</v>
      </c>
      <c r="M43" s="499">
        <f t="shared" ca="1" si="8"/>
        <v>6.9084910884380406</v>
      </c>
      <c r="N43" s="97" t="s">
        <v>406</v>
      </c>
      <c r="O43" s="97" t="s">
        <v>403</v>
      </c>
      <c r="P43" s="95" t="s">
        <v>195</v>
      </c>
      <c r="Q43" s="95" t="s">
        <v>176</v>
      </c>
      <c r="R43" s="95" t="s">
        <v>195</v>
      </c>
      <c r="S43" s="95" t="s">
        <v>201</v>
      </c>
      <c r="T43" s="316">
        <v>0.56999999999999995</v>
      </c>
      <c r="U43" s="318"/>
      <c r="V43" s="327"/>
      <c r="W43" s="327"/>
      <c r="X43" s="347"/>
    </row>
    <row r="44" spans="1:25" s="135" customFormat="1">
      <c r="A44" s="294" t="s">
        <v>509</v>
      </c>
      <c r="B44" s="294" t="s">
        <v>195</v>
      </c>
      <c r="C44" s="319">
        <v>6</v>
      </c>
      <c r="D44" s="319">
        <f t="shared" si="19"/>
        <v>500</v>
      </c>
      <c r="E44" s="319">
        <f t="shared" si="15"/>
        <v>3000</v>
      </c>
      <c r="F44" s="136">
        <f t="shared" si="16"/>
        <v>0</v>
      </c>
      <c r="G44" s="136">
        <f t="shared" ca="1" si="17"/>
        <v>221065.57</v>
      </c>
      <c r="H44" s="136">
        <f t="shared" ca="1" si="4"/>
        <v>221065.57</v>
      </c>
      <c r="I44" s="499">
        <f t="shared" ca="1" si="5"/>
        <v>100</v>
      </c>
      <c r="J44" s="136">
        <f t="shared" ca="1" si="6"/>
        <v>221065.57</v>
      </c>
      <c r="K44" s="136">
        <f t="shared" ca="1" si="18"/>
        <v>234989.93</v>
      </c>
      <c r="L44" s="136">
        <f t="shared" ca="1" si="7"/>
        <v>13924.359999999986</v>
      </c>
      <c r="M44" s="499">
        <f t="shared" ca="1" si="8"/>
        <v>6.2987465664598909</v>
      </c>
      <c r="N44" s="97" t="s">
        <v>406</v>
      </c>
      <c r="O44" s="97" t="s">
        <v>403</v>
      </c>
      <c r="P44" s="95" t="s">
        <v>195</v>
      </c>
      <c r="Q44" s="95" t="s">
        <v>177</v>
      </c>
      <c r="R44" s="95" t="s">
        <v>203</v>
      </c>
      <c r="S44" s="97" t="s">
        <v>335</v>
      </c>
      <c r="T44" s="316">
        <v>1344</v>
      </c>
      <c r="U44" s="318"/>
      <c r="V44" s="327"/>
      <c r="W44" s="327"/>
      <c r="X44" s="347"/>
    </row>
    <row r="45" spans="1:25" s="135" customFormat="1">
      <c r="A45" s="298" t="s">
        <v>509</v>
      </c>
      <c r="B45" s="298" t="s">
        <v>195</v>
      </c>
      <c r="C45" s="302">
        <v>6</v>
      </c>
      <c r="D45" s="302">
        <f t="shared" si="19"/>
        <v>700</v>
      </c>
      <c r="E45" s="302">
        <f t="shared" si="15"/>
        <v>4200</v>
      </c>
      <c r="F45" s="137">
        <f t="shared" si="16"/>
        <v>0</v>
      </c>
      <c r="G45" s="137">
        <f t="shared" ca="1" si="17"/>
        <v>285217.57</v>
      </c>
      <c r="H45" s="137">
        <f t="shared" ca="1" si="4"/>
        <v>285217.57</v>
      </c>
      <c r="I45" s="500">
        <f t="shared" ca="1" si="5"/>
        <v>100</v>
      </c>
      <c r="J45" s="137">
        <f t="shared" ca="1" si="6"/>
        <v>285217.57</v>
      </c>
      <c r="K45" s="137">
        <f t="shared" ca="1" si="18"/>
        <v>302225.93</v>
      </c>
      <c r="L45" s="137">
        <f t="shared" ca="1" si="7"/>
        <v>17008.359999999986</v>
      </c>
      <c r="M45" s="500">
        <f t="shared" ca="1" si="8"/>
        <v>5.9632932150708617</v>
      </c>
      <c r="N45" s="97" t="s">
        <v>406</v>
      </c>
      <c r="O45" s="97" t="s">
        <v>403</v>
      </c>
      <c r="P45" s="95" t="s">
        <v>195</v>
      </c>
      <c r="Q45" s="95" t="s">
        <v>177</v>
      </c>
      <c r="R45" s="95" t="s">
        <v>203</v>
      </c>
      <c r="S45" s="95" t="s">
        <v>281</v>
      </c>
      <c r="T45" s="316">
        <v>0.61</v>
      </c>
      <c r="U45" s="318"/>
      <c r="V45" s="327"/>
      <c r="W45" s="327"/>
      <c r="X45" s="347"/>
    </row>
    <row r="46" spans="1:25" s="135" customFormat="1">
      <c r="A46" s="421" t="s">
        <v>510</v>
      </c>
      <c r="B46" s="422"/>
      <c r="C46" s="422"/>
      <c r="D46" s="422"/>
      <c r="E46" s="422"/>
      <c r="F46" s="423"/>
      <c r="G46" s="423"/>
      <c r="H46" s="423"/>
      <c r="I46" s="518"/>
      <c r="J46" s="423"/>
      <c r="K46" s="423"/>
      <c r="L46" s="423"/>
      <c r="M46" s="509"/>
      <c r="N46" s="97" t="s">
        <v>406</v>
      </c>
      <c r="O46" s="97" t="s">
        <v>403</v>
      </c>
      <c r="P46" s="95" t="s">
        <v>195</v>
      </c>
      <c r="Q46" s="95" t="s">
        <v>177</v>
      </c>
      <c r="R46" s="95" t="s">
        <v>204</v>
      </c>
      <c r="S46" s="97" t="s">
        <v>335</v>
      </c>
      <c r="T46" s="316">
        <v>1618</v>
      </c>
      <c r="U46" s="318"/>
      <c r="V46" s="327"/>
      <c r="W46" s="327"/>
      <c r="X46" s="347"/>
    </row>
    <row r="47" spans="1:25" s="135" customFormat="1">
      <c r="N47" s="97" t="s">
        <v>406</v>
      </c>
      <c r="O47" s="97" t="s">
        <v>403</v>
      </c>
      <c r="P47" s="95" t="s">
        <v>195</v>
      </c>
      <c r="Q47" s="95" t="s">
        <v>177</v>
      </c>
      <c r="R47" s="95" t="s">
        <v>204</v>
      </c>
      <c r="S47" s="95" t="s">
        <v>281</v>
      </c>
      <c r="T47" s="316">
        <v>0.5</v>
      </c>
      <c r="U47" s="318"/>
      <c r="V47" s="327"/>
      <c r="W47" s="327"/>
      <c r="X47" s="347"/>
    </row>
    <row r="48" spans="1:25" s="135" customFormat="1">
      <c r="N48" s="97" t="s">
        <v>406</v>
      </c>
      <c r="O48" s="97" t="s">
        <v>403</v>
      </c>
      <c r="P48" s="95" t="s">
        <v>195</v>
      </c>
      <c r="Q48" s="95" t="s">
        <v>177</v>
      </c>
      <c r="R48" s="95" t="s">
        <v>195</v>
      </c>
      <c r="S48" s="95" t="s">
        <v>202</v>
      </c>
      <c r="T48" s="316">
        <v>8.8000000000000007</v>
      </c>
      <c r="U48" s="318"/>
      <c r="V48" s="327"/>
      <c r="W48" s="327"/>
      <c r="X48" s="347"/>
    </row>
    <row r="49" spans="4:25" s="135" customFormat="1">
      <c r="N49" s="97" t="s">
        <v>406</v>
      </c>
      <c r="O49" s="97" t="s">
        <v>403</v>
      </c>
      <c r="P49" s="95" t="s">
        <v>195</v>
      </c>
      <c r="Q49" s="95" t="s">
        <v>177</v>
      </c>
      <c r="R49" s="95" t="s">
        <v>195</v>
      </c>
      <c r="S49" s="95" t="s">
        <v>207</v>
      </c>
      <c r="T49" s="316">
        <v>6.2579999999999997E-2</v>
      </c>
      <c r="U49" s="318"/>
      <c r="V49" s="327"/>
      <c r="W49" s="327"/>
      <c r="X49" s="347"/>
    </row>
    <row r="50" spans="4:25" s="135" customFormat="1">
      <c r="N50" s="97" t="s">
        <v>406</v>
      </c>
      <c r="O50" s="97" t="s">
        <v>403</v>
      </c>
      <c r="P50" s="95" t="s">
        <v>195</v>
      </c>
      <c r="Q50" s="95" t="s">
        <v>177</v>
      </c>
      <c r="R50" s="95" t="s">
        <v>195</v>
      </c>
      <c r="S50" s="95" t="s">
        <v>208</v>
      </c>
      <c r="T50" s="316">
        <v>5.3249999999999999E-2</v>
      </c>
      <c r="U50" s="382">
        <f>ROUND(3788115.84610862/66470622.8092966,5)</f>
        <v>5.6989999999999999E-2</v>
      </c>
      <c r="V50" s="327"/>
      <c r="W50" s="327"/>
      <c r="X50" s="347"/>
      <c r="Y50" s="303"/>
    </row>
    <row r="51" spans="4:25" s="135" customFormat="1">
      <c r="N51" s="145" t="s">
        <v>406</v>
      </c>
      <c r="O51" s="145" t="s">
        <v>403</v>
      </c>
      <c r="P51" s="147" t="s">
        <v>195</v>
      </c>
      <c r="Q51" s="147" t="s">
        <v>177</v>
      </c>
      <c r="R51" s="147" t="s">
        <v>195</v>
      </c>
      <c r="S51" s="147" t="s">
        <v>201</v>
      </c>
      <c r="T51" s="317">
        <v>0.56000000000000005</v>
      </c>
      <c r="U51" s="318"/>
      <c r="V51" s="327"/>
      <c r="W51" s="327"/>
      <c r="X51" s="347"/>
    </row>
    <row r="52" spans="4:25" s="135" customFormat="1">
      <c r="N52" s="140" t="s">
        <v>406</v>
      </c>
      <c r="O52" s="140" t="s">
        <v>29</v>
      </c>
      <c r="P52" s="141" t="s">
        <v>5</v>
      </c>
      <c r="Q52" s="141" t="s">
        <v>176</v>
      </c>
      <c r="R52" s="141" t="s">
        <v>203</v>
      </c>
      <c r="S52" s="141" t="s">
        <v>335</v>
      </c>
      <c r="T52" s="213">
        <f>T8*T36</f>
        <v>464364.33333333326</v>
      </c>
      <c r="U52" s="153"/>
      <c r="V52" s="76"/>
      <c r="W52" s="76"/>
      <c r="Y52" s="153"/>
    </row>
    <row r="53" spans="4:25" s="135" customFormat="1">
      <c r="N53" s="97" t="s">
        <v>406</v>
      </c>
      <c r="O53" s="97" t="s">
        <v>29</v>
      </c>
      <c r="P53" s="143" t="s">
        <v>5</v>
      </c>
      <c r="Q53" s="143" t="s">
        <v>176</v>
      </c>
      <c r="R53" s="143" t="s">
        <v>203</v>
      </c>
      <c r="S53" s="143" t="s">
        <v>281</v>
      </c>
      <c r="T53" s="210">
        <f>T9*T37</f>
        <v>505049.4966666667</v>
      </c>
      <c r="U53" s="153"/>
      <c r="V53" s="76"/>
      <c r="W53" s="76"/>
      <c r="X53" s="153"/>
      <c r="Y53" s="153"/>
    </row>
    <row r="54" spans="4:25" s="135" customFormat="1">
      <c r="N54" s="97" t="s">
        <v>406</v>
      </c>
      <c r="O54" s="97" t="s">
        <v>29</v>
      </c>
      <c r="P54" s="143" t="s">
        <v>5</v>
      </c>
      <c r="Q54" s="143" t="s">
        <v>176</v>
      </c>
      <c r="R54" s="143" t="s">
        <v>195</v>
      </c>
      <c r="S54" s="143" t="s">
        <v>202</v>
      </c>
      <c r="T54" s="210">
        <f>T10*T40</f>
        <v>2548106.5800000005</v>
      </c>
      <c r="U54" s="153"/>
      <c r="V54" s="76"/>
      <c r="W54" s="76"/>
      <c r="X54" s="153"/>
      <c r="Y54" s="153"/>
    </row>
    <row r="55" spans="4:25" s="135" customFormat="1">
      <c r="N55" s="97" t="s">
        <v>406</v>
      </c>
      <c r="O55" s="97" t="s">
        <v>29</v>
      </c>
      <c r="P55" s="143" t="s">
        <v>5</v>
      </c>
      <c r="Q55" s="143" t="s">
        <v>176</v>
      </c>
      <c r="R55" s="143" t="s">
        <v>195</v>
      </c>
      <c r="S55" s="143" t="s">
        <v>207</v>
      </c>
      <c r="T55" s="210">
        <f>T11*T41</f>
        <v>3105508.64195135</v>
      </c>
      <c r="U55" s="153"/>
      <c r="V55" s="76"/>
      <c r="W55" s="76"/>
      <c r="X55" s="153"/>
      <c r="Y55" s="153"/>
    </row>
    <row r="56" spans="4:25" s="135" customFormat="1">
      <c r="N56" s="97" t="s">
        <v>406</v>
      </c>
      <c r="O56" s="97" t="s">
        <v>29</v>
      </c>
      <c r="P56" s="143" t="s">
        <v>5</v>
      </c>
      <c r="Q56" s="143" t="s">
        <v>176</v>
      </c>
      <c r="R56" s="143" t="s">
        <v>195</v>
      </c>
      <c r="S56" s="143" t="s">
        <v>208</v>
      </c>
      <c r="T56" s="210">
        <f>T12*T42</f>
        <v>3999419.5113605219</v>
      </c>
      <c r="U56" s="153"/>
      <c r="V56" s="76"/>
      <c r="W56" s="76"/>
      <c r="X56" s="153"/>
      <c r="Y56" s="153"/>
    </row>
    <row r="57" spans="4:25" s="135" customFormat="1">
      <c r="N57" s="97" t="s">
        <v>406</v>
      </c>
      <c r="O57" s="97" t="s">
        <v>29</v>
      </c>
      <c r="P57" s="143" t="s">
        <v>5</v>
      </c>
      <c r="Q57" s="143" t="s">
        <v>176</v>
      </c>
      <c r="R57" s="143" t="s">
        <v>195</v>
      </c>
      <c r="S57" s="143" t="s">
        <v>201</v>
      </c>
      <c r="T57" s="210">
        <f>T13*T43</f>
        <v>17939.23</v>
      </c>
      <c r="U57" s="153"/>
      <c r="V57" s="76"/>
      <c r="W57" s="76"/>
      <c r="X57" s="153"/>
      <c r="Y57" s="153"/>
    </row>
    <row r="58" spans="4:25" s="135" customFormat="1">
      <c r="N58" s="97" t="s">
        <v>406</v>
      </c>
      <c r="O58" s="97" t="s">
        <v>29</v>
      </c>
      <c r="P58" s="143" t="s">
        <v>5</v>
      </c>
      <c r="Q58" s="143" t="s">
        <v>177</v>
      </c>
      <c r="R58" s="143" t="s">
        <v>203</v>
      </c>
      <c r="S58" s="143" t="s">
        <v>335</v>
      </c>
      <c r="T58" s="210">
        <f>T14*T44</f>
        <v>112448</v>
      </c>
      <c r="U58" s="153"/>
      <c r="V58" s="76"/>
      <c r="W58" s="76"/>
      <c r="X58" s="153"/>
      <c r="Y58" s="153"/>
    </row>
    <row r="59" spans="4:25" s="135" customFormat="1">
      <c r="N59" s="97" t="s">
        <v>406</v>
      </c>
      <c r="O59" s="97" t="s">
        <v>29</v>
      </c>
      <c r="P59" s="143" t="s">
        <v>5</v>
      </c>
      <c r="Q59" s="143" t="s">
        <v>177</v>
      </c>
      <c r="R59" s="143" t="s">
        <v>204</v>
      </c>
      <c r="S59" s="143" t="s">
        <v>335</v>
      </c>
      <c r="T59" s="210">
        <f>T15*T46</f>
        <v>19416</v>
      </c>
      <c r="U59" s="153"/>
      <c r="V59" s="76"/>
      <c r="W59" s="76"/>
      <c r="X59" s="153"/>
      <c r="Y59" s="153"/>
    </row>
    <row r="60" spans="4:25" s="135" customFormat="1">
      <c r="N60" s="97" t="s">
        <v>406</v>
      </c>
      <c r="O60" s="97" t="s">
        <v>29</v>
      </c>
      <c r="P60" s="143" t="s">
        <v>5</v>
      </c>
      <c r="Q60" s="143" t="s">
        <v>177</v>
      </c>
      <c r="R60" s="143" t="s">
        <v>203</v>
      </c>
      <c r="S60" s="143" t="s">
        <v>281</v>
      </c>
      <c r="T60" s="210">
        <f>T16*T45</f>
        <v>55799.56</v>
      </c>
      <c r="U60" s="153"/>
      <c r="V60" s="76"/>
      <c r="W60" s="76"/>
      <c r="X60" s="153"/>
      <c r="Y60" s="153"/>
    </row>
    <row r="61" spans="4:25" s="135" customFormat="1">
      <c r="N61" s="97" t="s">
        <v>406</v>
      </c>
      <c r="O61" s="97" t="s">
        <v>29</v>
      </c>
      <c r="P61" s="143" t="s">
        <v>5</v>
      </c>
      <c r="Q61" s="143" t="s">
        <v>177</v>
      </c>
      <c r="R61" s="143" t="s">
        <v>204</v>
      </c>
      <c r="S61" s="143" t="s">
        <v>281</v>
      </c>
      <c r="T61" s="210">
        <f>T17*T47</f>
        <v>27203</v>
      </c>
      <c r="U61" s="153"/>
      <c r="V61" s="76"/>
      <c r="W61" s="76"/>
      <c r="X61" s="153"/>
    </row>
    <row r="62" spans="4:25" s="135" customFormat="1">
      <c r="N62" s="97" t="s">
        <v>406</v>
      </c>
      <c r="O62" s="97" t="s">
        <v>29</v>
      </c>
      <c r="P62" s="143" t="s">
        <v>5</v>
      </c>
      <c r="Q62" s="143" t="s">
        <v>177</v>
      </c>
      <c r="R62" s="143" t="s">
        <v>195</v>
      </c>
      <c r="S62" s="143" t="s">
        <v>202</v>
      </c>
      <c r="T62" s="210">
        <f>T18*T48</f>
        <v>1031389.3400000001</v>
      </c>
      <c r="U62" s="153"/>
      <c r="V62" s="76"/>
      <c r="W62" s="76"/>
      <c r="X62" s="153"/>
    </row>
    <row r="63" spans="4:25" s="135" customFormat="1">
      <c r="N63" s="97" t="s">
        <v>406</v>
      </c>
      <c r="O63" s="97" t="s">
        <v>29</v>
      </c>
      <c r="P63" s="143" t="s">
        <v>5</v>
      </c>
      <c r="Q63" s="143" t="s">
        <v>177</v>
      </c>
      <c r="R63" s="143" t="s">
        <v>195</v>
      </c>
      <c r="S63" s="143" t="s">
        <v>207</v>
      </c>
      <c r="T63" s="210">
        <f>T19*T49</f>
        <v>1294001.072931248</v>
      </c>
      <c r="U63" s="153"/>
      <c r="V63" s="76"/>
      <c r="W63" s="76"/>
      <c r="X63" s="153"/>
    </row>
    <row r="64" spans="4:25" s="135" customFormat="1">
      <c r="D64" s="229"/>
      <c r="N64" s="97" t="s">
        <v>406</v>
      </c>
      <c r="O64" s="97" t="s">
        <v>29</v>
      </c>
      <c r="P64" s="143" t="s">
        <v>5</v>
      </c>
      <c r="Q64" s="143" t="s">
        <v>177</v>
      </c>
      <c r="R64" s="143" t="s">
        <v>195</v>
      </c>
      <c r="S64" s="143" t="s">
        <v>208</v>
      </c>
      <c r="T64" s="210">
        <f>T20*T50</f>
        <v>1638111.9133747679</v>
      </c>
      <c r="U64" s="153"/>
      <c r="V64" s="76"/>
      <c r="W64" s="76"/>
      <c r="X64" s="153"/>
    </row>
    <row r="65" spans="14:31" s="135" customFormat="1">
      <c r="N65" s="97" t="s">
        <v>406</v>
      </c>
      <c r="O65" s="97" t="s">
        <v>29</v>
      </c>
      <c r="P65" s="143" t="s">
        <v>5</v>
      </c>
      <c r="Q65" s="143" t="s">
        <v>177</v>
      </c>
      <c r="R65" s="143" t="s">
        <v>195</v>
      </c>
      <c r="S65" s="143" t="s">
        <v>201</v>
      </c>
      <c r="T65" s="210">
        <f>T21*T51</f>
        <v>5180.08</v>
      </c>
      <c r="U65" s="153"/>
      <c r="V65" s="76"/>
      <c r="W65" s="76"/>
      <c r="X65" s="153"/>
    </row>
    <row r="66" spans="14:31" s="135" customFormat="1">
      <c r="N66" s="97" t="s">
        <v>406</v>
      </c>
      <c r="O66" s="97" t="s">
        <v>29</v>
      </c>
      <c r="P66" s="95" t="s">
        <v>5</v>
      </c>
      <c r="Q66" s="95" t="s">
        <v>195</v>
      </c>
      <c r="R66" s="95" t="s">
        <v>195</v>
      </c>
      <c r="S66" s="208" t="s">
        <v>168</v>
      </c>
      <c r="T66" s="210">
        <f>Unbilled!E13</f>
        <v>211823.16276683079</v>
      </c>
      <c r="U66" s="153"/>
      <c r="V66" s="76"/>
      <c r="W66" s="76"/>
      <c r="X66" s="153"/>
    </row>
    <row r="67" spans="14:31" s="135" customFormat="1">
      <c r="N67" s="97" t="s">
        <v>406</v>
      </c>
      <c r="O67" s="97" t="s">
        <v>29</v>
      </c>
      <c r="P67" s="143" t="s">
        <v>7</v>
      </c>
      <c r="Q67" s="143" t="s">
        <v>176</v>
      </c>
      <c r="R67" s="143" t="s">
        <v>203</v>
      </c>
      <c r="S67" s="143" t="s">
        <v>335</v>
      </c>
      <c r="T67" s="210">
        <f>T22*T36</f>
        <v>405717</v>
      </c>
      <c r="U67" s="153"/>
      <c r="V67" s="76"/>
      <c r="W67" s="76"/>
      <c r="X67" s="153"/>
    </row>
    <row r="68" spans="14:31" s="135" customFormat="1">
      <c r="N68" s="97" t="s">
        <v>406</v>
      </c>
      <c r="O68" s="97" t="s">
        <v>29</v>
      </c>
      <c r="P68" s="143" t="s">
        <v>7</v>
      </c>
      <c r="Q68" s="143" t="s">
        <v>176</v>
      </c>
      <c r="R68" s="143" t="s">
        <v>204</v>
      </c>
      <c r="S68" s="143" t="s">
        <v>335</v>
      </c>
      <c r="T68" s="210">
        <f>T23*T38</f>
        <v>42849</v>
      </c>
      <c r="U68" s="153"/>
      <c r="V68" s="76"/>
      <c r="W68" s="76"/>
      <c r="X68" s="153"/>
    </row>
    <row r="69" spans="14:31" s="135" customFormat="1">
      <c r="N69" s="97" t="s">
        <v>406</v>
      </c>
      <c r="O69" s="97" t="s">
        <v>29</v>
      </c>
      <c r="P69" s="143" t="s">
        <v>7</v>
      </c>
      <c r="Q69" s="143" t="s">
        <v>176</v>
      </c>
      <c r="R69" s="143" t="s">
        <v>203</v>
      </c>
      <c r="S69" s="143" t="s">
        <v>281</v>
      </c>
      <c r="T69" s="210">
        <f>T24*T37</f>
        <v>494091.45999999996</v>
      </c>
      <c r="U69" s="153"/>
      <c r="V69" s="76"/>
      <c r="W69" s="76"/>
      <c r="X69" s="153"/>
    </row>
    <row r="70" spans="14:31" s="135" customFormat="1">
      <c r="N70" s="97" t="s">
        <v>406</v>
      </c>
      <c r="O70" s="97" t="s">
        <v>29</v>
      </c>
      <c r="P70" s="143" t="s">
        <v>7</v>
      </c>
      <c r="Q70" s="143" t="s">
        <v>176</v>
      </c>
      <c r="R70" s="143" t="s">
        <v>204</v>
      </c>
      <c r="S70" s="143" t="s">
        <v>281</v>
      </c>
      <c r="T70" s="210">
        <f t="shared" ref="T70:T76" si="20">T25*T39</f>
        <v>114671.27</v>
      </c>
      <c r="U70" s="153"/>
      <c r="V70" s="76"/>
      <c r="W70" s="76"/>
      <c r="X70" s="153"/>
    </row>
    <row r="71" spans="14:31" s="135" customFormat="1">
      <c r="N71" s="97" t="s">
        <v>406</v>
      </c>
      <c r="O71" s="97" t="s">
        <v>29</v>
      </c>
      <c r="P71" s="143" t="s">
        <v>7</v>
      </c>
      <c r="Q71" s="143" t="s">
        <v>176</v>
      </c>
      <c r="R71" s="143" t="s">
        <v>195</v>
      </c>
      <c r="S71" s="143" t="s">
        <v>202</v>
      </c>
      <c r="T71" s="210">
        <f t="shared" si="20"/>
        <v>3769552.89</v>
      </c>
      <c r="U71" s="153"/>
      <c r="V71" s="76"/>
      <c r="W71" s="76"/>
      <c r="X71" s="153"/>
    </row>
    <row r="72" spans="14:31" s="135" customFormat="1">
      <c r="N72" s="97" t="s">
        <v>406</v>
      </c>
      <c r="O72" s="97" t="s">
        <v>29</v>
      </c>
      <c r="P72" s="143" t="s">
        <v>7</v>
      </c>
      <c r="Q72" s="143" t="s">
        <v>176</v>
      </c>
      <c r="R72" s="143" t="s">
        <v>195</v>
      </c>
      <c r="S72" s="143" t="s">
        <v>207</v>
      </c>
      <c r="T72" s="210">
        <f t="shared" si="20"/>
        <v>4878295.4782709982</v>
      </c>
      <c r="U72" s="153"/>
      <c r="V72" s="76"/>
      <c r="W72" s="76"/>
      <c r="X72" s="153"/>
    </row>
    <row r="73" spans="14:31" s="135" customFormat="1">
      <c r="N73" s="97" t="s">
        <v>406</v>
      </c>
      <c r="O73" s="97" t="s">
        <v>29</v>
      </c>
      <c r="P73" s="143" t="s">
        <v>7</v>
      </c>
      <c r="Q73" s="143" t="s">
        <v>176</v>
      </c>
      <c r="R73" s="143" t="s">
        <v>195</v>
      </c>
      <c r="S73" s="143" t="s">
        <v>208</v>
      </c>
      <c r="T73" s="210">
        <f t="shared" si="20"/>
        <v>6546902.5589845497</v>
      </c>
      <c r="U73" s="153"/>
      <c r="V73" s="76"/>
      <c r="W73" s="76"/>
      <c r="X73" s="153"/>
    </row>
    <row r="74" spans="14:31" s="135" customFormat="1">
      <c r="N74" s="97" t="s">
        <v>406</v>
      </c>
      <c r="O74" s="97" t="s">
        <v>29</v>
      </c>
      <c r="P74" s="143" t="s">
        <v>7</v>
      </c>
      <c r="Q74" s="143" t="s">
        <v>176</v>
      </c>
      <c r="R74" s="143" t="s">
        <v>195</v>
      </c>
      <c r="S74" s="143" t="s">
        <v>201</v>
      </c>
      <c r="T74" s="210">
        <f t="shared" si="20"/>
        <v>62045.069999999992</v>
      </c>
      <c r="U74" s="153"/>
      <c r="V74" s="76"/>
      <c r="W74" s="76"/>
      <c r="X74" s="153"/>
    </row>
    <row r="75" spans="14:31" s="135" customFormat="1">
      <c r="N75" s="97" t="s">
        <v>406</v>
      </c>
      <c r="O75" s="97" t="s">
        <v>29</v>
      </c>
      <c r="P75" s="143" t="s">
        <v>7</v>
      </c>
      <c r="Q75" s="143" t="s">
        <v>177</v>
      </c>
      <c r="R75" s="143" t="s">
        <v>203</v>
      </c>
      <c r="S75" s="143" t="s">
        <v>335</v>
      </c>
      <c r="T75" s="210">
        <f t="shared" si="20"/>
        <v>16128</v>
      </c>
      <c r="U75" s="153"/>
      <c r="V75" s="76"/>
      <c r="W75" s="76"/>
      <c r="X75" s="153"/>
      <c r="AD75" s="537" t="s">
        <v>577</v>
      </c>
      <c r="AE75" s="334"/>
    </row>
    <row r="76" spans="14:31" s="135" customFormat="1">
      <c r="N76" s="97" t="s">
        <v>406</v>
      </c>
      <c r="O76" s="97" t="s">
        <v>29</v>
      </c>
      <c r="P76" s="143" t="s">
        <v>7</v>
      </c>
      <c r="Q76" s="143" t="s">
        <v>177</v>
      </c>
      <c r="R76" s="143" t="s">
        <v>203</v>
      </c>
      <c r="S76" s="143" t="s">
        <v>281</v>
      </c>
      <c r="T76" s="210">
        <f t="shared" si="20"/>
        <v>658.8</v>
      </c>
      <c r="U76" s="153"/>
      <c r="V76" s="76"/>
      <c r="W76" s="76"/>
      <c r="AD76" s="311" t="s">
        <v>570</v>
      </c>
      <c r="AE76" s="374"/>
    </row>
    <row r="77" spans="14:31" s="135" customFormat="1">
      <c r="N77" s="97" t="s">
        <v>406</v>
      </c>
      <c r="O77" s="97" t="s">
        <v>29</v>
      </c>
      <c r="P77" s="143" t="s">
        <v>7</v>
      </c>
      <c r="Q77" s="143" t="s">
        <v>177</v>
      </c>
      <c r="R77" s="143" t="s">
        <v>195</v>
      </c>
      <c r="S77" s="143" t="s">
        <v>202</v>
      </c>
      <c r="T77" s="210">
        <f>T32*T48</f>
        <v>52799.999999999993</v>
      </c>
      <c r="U77" s="153"/>
      <c r="V77" s="76"/>
      <c r="W77" s="76"/>
      <c r="AD77" s="381" t="s">
        <v>176</v>
      </c>
      <c r="AE77" s="521">
        <f>1.07676-0.03503</f>
        <v>1.04173</v>
      </c>
    </row>
    <row r="78" spans="14:31" s="135" customFormat="1">
      <c r="N78" s="97" t="s">
        <v>406</v>
      </c>
      <c r="O78" s="97" t="s">
        <v>29</v>
      </c>
      <c r="P78" s="143" t="s">
        <v>7</v>
      </c>
      <c r="Q78" s="143" t="s">
        <v>177</v>
      </c>
      <c r="R78" s="143" t="s">
        <v>195</v>
      </c>
      <c r="S78" s="143" t="s">
        <v>207</v>
      </c>
      <c r="T78" s="210">
        <f>T33*T49</f>
        <v>10475.899453994594</v>
      </c>
      <c r="U78" s="153"/>
      <c r="V78" s="76"/>
      <c r="W78" s="76"/>
      <c r="AD78" s="439" t="s">
        <v>177</v>
      </c>
      <c r="AE78" s="522">
        <f>1.06214-0.03503</f>
        <v>1.0271100000000002</v>
      </c>
    </row>
    <row r="79" spans="14:31" s="135" customFormat="1">
      <c r="N79" s="97" t="s">
        <v>406</v>
      </c>
      <c r="O79" s="97" t="s">
        <v>29</v>
      </c>
      <c r="P79" s="143" t="s">
        <v>7</v>
      </c>
      <c r="Q79" s="143" t="s">
        <v>177</v>
      </c>
      <c r="R79" s="143" t="s">
        <v>195</v>
      </c>
      <c r="S79" s="143" t="s">
        <v>208</v>
      </c>
      <c r="T79" s="210">
        <f>T34*T50</f>
        <v>14185.783037788015</v>
      </c>
      <c r="U79" s="153"/>
      <c r="V79" s="76"/>
      <c r="W79" s="76"/>
    </row>
    <row r="80" spans="14:31" s="135" customFormat="1">
      <c r="N80" s="97" t="s">
        <v>406</v>
      </c>
      <c r="O80" s="97" t="s">
        <v>29</v>
      </c>
      <c r="P80" s="143" t="s">
        <v>7</v>
      </c>
      <c r="Q80" s="143" t="s">
        <v>177</v>
      </c>
      <c r="R80" s="143" t="s">
        <v>195</v>
      </c>
      <c r="S80" s="143" t="s">
        <v>201</v>
      </c>
      <c r="T80" s="210">
        <f>T35*T51</f>
        <v>336.56000000000006</v>
      </c>
      <c r="U80" s="153"/>
      <c r="V80" s="76"/>
      <c r="W80" s="76"/>
      <c r="X80" s="406"/>
      <c r="Y80" s="345"/>
      <c r="Z80" s="312"/>
      <c r="AA80" s="503" t="s">
        <v>572</v>
      </c>
      <c r="AB80" s="200"/>
      <c r="AC80" s="333"/>
      <c r="AD80" s="213"/>
      <c r="AE80" s="213" t="s">
        <v>578</v>
      </c>
    </row>
    <row r="81" spans="14:31" s="135" customFormat="1">
      <c r="N81" s="145" t="s">
        <v>406</v>
      </c>
      <c r="O81" s="145" t="s">
        <v>29</v>
      </c>
      <c r="P81" s="147" t="s">
        <v>7</v>
      </c>
      <c r="Q81" s="147" t="s">
        <v>195</v>
      </c>
      <c r="R81" s="147" t="s">
        <v>195</v>
      </c>
      <c r="S81" s="209" t="s">
        <v>168</v>
      </c>
      <c r="T81" s="211">
        <f>Unbilled!E14</f>
        <v>316128.70153986604</v>
      </c>
      <c r="U81" s="153"/>
      <c r="V81" s="76"/>
      <c r="W81" s="76"/>
      <c r="X81" s="379" t="s">
        <v>509</v>
      </c>
      <c r="Y81" s="380"/>
      <c r="Z81" s="390"/>
      <c r="AA81" s="526" t="s">
        <v>571</v>
      </c>
      <c r="AB81" s="228" t="s">
        <v>574</v>
      </c>
      <c r="AC81" s="538" t="s">
        <v>573</v>
      </c>
      <c r="AD81" s="211" t="s">
        <v>6</v>
      </c>
      <c r="AE81" s="211" t="s">
        <v>6</v>
      </c>
    </row>
    <row r="82" spans="14:31">
      <c r="N82" s="342" t="s">
        <v>536</v>
      </c>
      <c r="O82" s="256" t="s">
        <v>29</v>
      </c>
      <c r="P82" s="212" t="s">
        <v>195</v>
      </c>
      <c r="Q82" s="212" t="s">
        <v>195</v>
      </c>
      <c r="R82" s="212" t="s">
        <v>195</v>
      </c>
      <c r="S82" s="212" t="s">
        <v>195</v>
      </c>
      <c r="T82" s="213">
        <f ca="1">'Cost of Service and Proposed $'!O123</f>
        <v>219300.97319840136</v>
      </c>
      <c r="X82" s="406">
        <f ca="1">(T82-AA82-AB82-AC82)*AD82/AE82</f>
        <v>210926.62402266814</v>
      </c>
      <c r="Y82" s="427"/>
      <c r="Z82" s="427"/>
      <c r="AA82" s="267">
        <v>0</v>
      </c>
      <c r="AB82" s="136">
        <v>0</v>
      </c>
      <c r="AC82" s="136">
        <v>0</v>
      </c>
      <c r="AD82" s="136">
        <f t="shared" ref="AD82:AD85" si="21">($T$11+$T$12+$T$27+$T$28)+($T$19+$T$20+$T$33+$T$34)</f>
        <v>374086296.54652476</v>
      </c>
      <c r="AE82" s="136">
        <f>($T$11+$T$12+$T$27+$T$28)*$AE$77+($T$19+$T$20+$T$33+$T$34)*$AE$78</f>
        <v>388938519.60586137</v>
      </c>
    </row>
    <row r="83" spans="14:31">
      <c r="N83" s="220" t="s">
        <v>537</v>
      </c>
      <c r="O83" s="85" t="s">
        <v>29</v>
      </c>
      <c r="P83" s="208" t="s">
        <v>195</v>
      </c>
      <c r="Q83" s="208" t="s">
        <v>195</v>
      </c>
      <c r="R83" s="208" t="s">
        <v>195</v>
      </c>
      <c r="S83" s="208" t="s">
        <v>195</v>
      </c>
      <c r="T83" s="210">
        <f ca="1">'Cost of Service and Proposed $'!O124</f>
        <v>11279013.951376786</v>
      </c>
      <c r="X83" s="384">
        <f ca="1">(T83-AA83-AB83-AC83)*AD83/AE83</f>
        <v>7641377.1739794733</v>
      </c>
      <c r="Y83" s="426"/>
      <c r="Z83" s="426"/>
      <c r="AA83" s="267">
        <f ca="1">'Cost of Service and Proposed $'!O115</f>
        <v>864703.10622639686</v>
      </c>
      <c r="AB83" s="136">
        <f ca="1">'Cost of Service and Proposed $'!O116</f>
        <v>2344581.7528857221</v>
      </c>
      <c r="AC83" s="136">
        <f ca="1">'Cost of Service and Proposed $'!O117</f>
        <v>124968.87721634858</v>
      </c>
      <c r="AD83" s="136">
        <f t="shared" si="21"/>
        <v>374086296.54652476</v>
      </c>
      <c r="AE83" s="136">
        <f>($T$11+$T$12+$T$27+$T$28)*$AE$77+($T$19+$T$20+$T$33+$T$34)*$AE$78</f>
        <v>388938519.60586137</v>
      </c>
    </row>
    <row r="84" spans="14:31">
      <c r="N84" s="220" t="s">
        <v>538</v>
      </c>
      <c r="O84" s="85" t="s">
        <v>29</v>
      </c>
      <c r="P84" s="208" t="s">
        <v>195</v>
      </c>
      <c r="Q84" s="208" t="s">
        <v>195</v>
      </c>
      <c r="R84" s="208" t="s">
        <v>195</v>
      </c>
      <c r="S84" s="208" t="s">
        <v>195</v>
      </c>
      <c r="T84" s="210">
        <f ca="1">'Cost of Service and Proposed $'!O125</f>
        <v>3575061.7062521083</v>
      </c>
      <c r="X84" s="384">
        <f ca="1">(T84-AA84-AB84-AC84)*AD84/AE84</f>
        <v>3438542.4076083116</v>
      </c>
      <c r="Y84" s="426"/>
      <c r="Z84" s="426"/>
      <c r="AA84" s="267">
        <v>0</v>
      </c>
      <c r="AB84" s="136">
        <v>0</v>
      </c>
      <c r="AC84" s="136">
        <v>0</v>
      </c>
      <c r="AD84" s="136">
        <f t="shared" si="21"/>
        <v>374086296.54652476</v>
      </c>
      <c r="AE84" s="136">
        <f>($T$11+$T$12+$T$27+$T$28)*$AE$77+($T$19+$T$20+$T$33+$T$34)*$AE$78</f>
        <v>388938519.60586137</v>
      </c>
    </row>
    <row r="85" spans="14:31">
      <c r="N85" s="329" t="s">
        <v>539</v>
      </c>
      <c r="O85" s="257" t="s">
        <v>29</v>
      </c>
      <c r="P85" s="209" t="s">
        <v>195</v>
      </c>
      <c r="Q85" s="209" t="s">
        <v>195</v>
      </c>
      <c r="R85" s="209" t="s">
        <v>195</v>
      </c>
      <c r="S85" s="209" t="s">
        <v>195</v>
      </c>
      <c r="T85" s="211">
        <f ca="1">'Cost of Service and Proposed $'!O126</f>
        <v>19337006.673785884</v>
      </c>
      <c r="U85" s="76"/>
      <c r="V85" s="365"/>
      <c r="W85" s="366"/>
      <c r="X85" s="385">
        <f ca="1">(T85-AA85-AB85-AC85)*AD85/AE85</f>
        <v>18598592.960713737</v>
      </c>
      <c r="Y85" s="527"/>
      <c r="Z85" s="527"/>
      <c r="AA85" s="313">
        <v>0</v>
      </c>
      <c r="AB85" s="137">
        <v>0</v>
      </c>
      <c r="AC85" s="137">
        <v>0</v>
      </c>
      <c r="AD85" s="137">
        <f t="shared" si="21"/>
        <v>374086296.54652476</v>
      </c>
      <c r="AE85" s="137">
        <f>($T$11+$T$12+$T$27+$T$28)*$AE$77+($T$19+$T$20+$T$33+$T$34)*$AE$78</f>
        <v>388938519.60586137</v>
      </c>
    </row>
    <row r="86" spans="14:31">
      <c r="N86" s="438" t="s">
        <v>534</v>
      </c>
      <c r="O86" s="256" t="s">
        <v>29</v>
      </c>
      <c r="P86" s="139" t="s">
        <v>195</v>
      </c>
      <c r="Q86" s="212" t="s">
        <v>195</v>
      </c>
      <c r="R86" s="212" t="s">
        <v>195</v>
      </c>
      <c r="S86" s="140" t="s">
        <v>335</v>
      </c>
      <c r="T86" s="213">
        <f ca="1">(U86*(V86-W86)+W86*100)/100</f>
        <v>1057599.6148398046</v>
      </c>
      <c r="U86" s="577">
        <v>10</v>
      </c>
      <c r="V86" s="153">
        <f ca="1">T82*(1-SUM(V90:V91)/SUM(T82:T85))</f>
        <v>215391.37429028019</v>
      </c>
      <c r="W86" s="153" cm="1">
        <f t="array" aca="1" ref="W86" ca="1">SUMIFS(T$52:T$81,S$52:S$81,"Bill")/SUM(SUMIFS(T$52:T$81,S$52:S$81,{"Bill","Load Size kW","kW","kWh*"}))*(SUM(T$82:T$85)-SUM(W$90:W$91))</f>
        <v>1151178.3082341962</v>
      </c>
      <c r="X86" s="213">
        <f ca="1">(U86*(Y86-Z86)+Z86*100)/100</f>
        <v>918128.60691393318</v>
      </c>
      <c r="Y86" s="136">
        <f ca="1">X82*(1-SUM(Y90:Y91)/SUM(X82:X85))</f>
        <v>206597.55219600652</v>
      </c>
      <c r="Z86" s="136" cm="1">
        <f t="array" aca="1" ref="Z86" ca="1">SUMIFS(T$52:T$81,S$52:S$81,"Bill")/SUM(SUMIFS(T$52:T$81,S$52:S$81,{"Bill","Load Size kW","kW","kWh*"}))*(SUM(X$82:X$85)-SUM(Z$90:Z$91))</f>
        <v>997187.61299370276</v>
      </c>
    </row>
    <row r="87" spans="14:31">
      <c r="N87" s="436" t="s">
        <v>534</v>
      </c>
      <c r="O87" s="85" t="s">
        <v>29</v>
      </c>
      <c r="P87" s="95" t="s">
        <v>195</v>
      </c>
      <c r="Q87" s="208" t="s">
        <v>195</v>
      </c>
      <c r="R87" s="208" t="s">
        <v>195</v>
      </c>
      <c r="S87" s="95" t="s">
        <v>281</v>
      </c>
      <c r="T87" s="210">
        <f t="shared" ref="T87:T91" ca="1" si="22">(U87*(V87-W87)+W87*100)/100</f>
        <v>2277205.4401051463</v>
      </c>
      <c r="U87" s="325">
        <f>$U$86</f>
        <v>10</v>
      </c>
      <c r="V87" s="153">
        <f ca="1">T83*(1-SUM(V90:V91)/SUM(T82:T85))</f>
        <v>11077936.774263248</v>
      </c>
      <c r="W87" s="153" cm="1">
        <f t="array" aca="1" ref="W87" ca="1">SUMIFS(T$52:T$81,S$52:S$81,"Load Size kW")/SUM(SUMIFS(T$52:T$81,S$52:S$81,{"Bill","Load Size kW","kW","kWh*"}))*(SUM(T$82:T$85)-SUM(W$90:W$91))</f>
        <v>1299346.4029764682</v>
      </c>
      <c r="X87" s="210">
        <f t="shared" ref="X87:X91" ca="1" si="23">(U87*(Y87-Z87)+Z87*100)/100</f>
        <v>1761436.5215884454</v>
      </c>
      <c r="Y87" s="136">
        <f ca="1">X83*(1-SUM(Y90:Y91)/SUM(X82:X85))</f>
        <v>7484545.0490922211</v>
      </c>
      <c r="Z87" s="136" cm="1">
        <f t="array" aca="1" ref="Z87" ca="1">SUMIFS(T$52:T$81,S$52:S$81,"Load Size kW")/SUM(SUMIFS(T$52:T$81,S$52:S$81,{"Bill","Load Size kW","kW","kWh*"}))*(SUM(X$82:X$85)-SUM(Z$90:Z$91))</f>
        <v>1125535.5740880258</v>
      </c>
    </row>
    <row r="88" spans="14:31">
      <c r="N88" s="436" t="s">
        <v>534</v>
      </c>
      <c r="O88" s="85" t="s">
        <v>29</v>
      </c>
      <c r="P88" s="95" t="s">
        <v>195</v>
      </c>
      <c r="Q88" s="208" t="s">
        <v>195</v>
      </c>
      <c r="R88" s="95" t="s">
        <v>195</v>
      </c>
      <c r="S88" s="95" t="s">
        <v>202</v>
      </c>
      <c r="T88" s="210">
        <f t="shared" ca="1" si="22"/>
        <v>7579525.1876767324</v>
      </c>
      <c r="U88" s="325">
        <f t="shared" ref="U88:U91" si="24">$U$86</f>
        <v>10</v>
      </c>
      <c r="V88" s="153">
        <f ca="1">T84*(1-SUM(V90:V91)/SUM(T82:T85))</f>
        <v>3511327.1174840773</v>
      </c>
      <c r="W88" s="153" cm="1">
        <f t="array" aca="1" ref="W88" ca="1">SUMIFS(T$52:T$81,S$52:S$81,"kW")/SUM(SUMIFS(T$52:T$81,S$52:S$81,{"Bill","Load Size kW","kW","kWh*"}))*(SUM(T$82:T$85)-SUM(W$90:W$91))</f>
        <v>8031547.1954759154</v>
      </c>
      <c r="X88" s="210">
        <f t="shared" ca="1" si="23"/>
        <v>6598262.6080205897</v>
      </c>
      <c r="Y88" s="136">
        <f ca="1">X84*(1-SUM(Y90:Y91)/SUM(X82:X85))</f>
        <v>3367969.5383437918</v>
      </c>
      <c r="Z88" s="136" cm="1">
        <f t="array" aca="1" ref="Z88" ca="1">SUMIFS(T$52:T$81,S$52:S$81,"kW")/SUM(SUMIFS(T$52:T$81,S$52:S$81,{"Bill","Load Size kW","kW","kWh*"}))*(SUM(X$82:X$85)-SUM(Z$90:Z$91))</f>
        <v>6957184.0602069013</v>
      </c>
    </row>
    <row r="89" spans="14:31">
      <c r="N89" s="436" t="s">
        <v>534</v>
      </c>
      <c r="O89" s="85" t="s">
        <v>29</v>
      </c>
      <c r="P89" s="95" t="s">
        <v>195</v>
      </c>
      <c r="Q89" s="208" t="s">
        <v>195</v>
      </c>
      <c r="R89" s="95" t="s">
        <v>195</v>
      </c>
      <c r="S89" s="95" t="s">
        <v>6</v>
      </c>
      <c r="T89" s="210">
        <f t="shared" ca="1" si="22"/>
        <v>22882600.257684804</v>
      </c>
      <c r="U89" s="325">
        <f t="shared" si="24"/>
        <v>10</v>
      </c>
      <c r="V89" s="153">
        <f ca="1">T85*(1-SUM(V90:V91)/SUM(T82:T85))</f>
        <v>18992275.234268878</v>
      </c>
      <c r="W89" s="153" cm="1">
        <f t="array" aca="1" ref="W89" ca="1">SUMIFS(T$52:T$81,S$52:S$81,"kWh*")/SUM(SUMIFS(T$52:T$81,S$52:S$81,{"Bill","Load Size kW","kW","kWh*"}))*(SUM(T$82:T$85)-SUM(W$90:W$91))</f>
        <v>23314858.593619905</v>
      </c>
      <c r="X89" s="210">
        <f t="shared" ca="1" si="23"/>
        <v>19998158.625494525</v>
      </c>
      <c r="Y89" s="136">
        <f ca="1">X85*(1-SUM(Y90:Y91)/SUM(X82:X85))</f>
        <v>18216874.222385474</v>
      </c>
      <c r="Z89" s="136" cm="1">
        <f t="array" aca="1" ref="Z89" ca="1">SUMIFS(T$52:T$81,S$52:S$81,"kWh*")/SUM(SUMIFS(T$52:T$81,S$52:S$81,{"Bill","Load Size kW","kW","kWh*"}))*(SUM(X$82:X$85)-SUM(Z$90:Z$91))</f>
        <v>20196079.114728861</v>
      </c>
    </row>
    <row r="90" spans="14:31">
      <c r="N90" s="436" t="s">
        <v>534</v>
      </c>
      <c r="O90" s="85" t="s">
        <v>29</v>
      </c>
      <c r="P90" s="95" t="s">
        <v>195</v>
      </c>
      <c r="Q90" s="208" t="s">
        <v>195</v>
      </c>
      <c r="R90" s="95" t="s">
        <v>195</v>
      </c>
      <c r="S90" s="95" t="s">
        <v>201</v>
      </c>
      <c r="T90" s="210">
        <f t="shared" si="22"/>
        <v>85500.939999999988</v>
      </c>
      <c r="U90" s="325">
        <f t="shared" si="24"/>
        <v>10</v>
      </c>
      <c r="V90" s="153">
        <f>SUMIFS(T52:T81,S52:S81,S90)</f>
        <v>85500.939999999988</v>
      </c>
      <c r="W90" s="153">
        <f>SUMIFS(T52:T81,S52:S81,S90)</f>
        <v>85500.939999999988</v>
      </c>
      <c r="X90" s="210">
        <f t="shared" si="23"/>
        <v>85500.939999999988</v>
      </c>
      <c r="Y90" s="136">
        <f>SUMIFS(T52:T81,S52:S81,S90)</f>
        <v>85500.939999999988</v>
      </c>
      <c r="Z90" s="136">
        <f>SUMIFS(T52:T81,S52:S81,S90)</f>
        <v>85500.939999999988</v>
      </c>
    </row>
    <row r="91" spans="14:31">
      <c r="N91" s="437" t="s">
        <v>534</v>
      </c>
      <c r="O91" s="257" t="s">
        <v>29</v>
      </c>
      <c r="P91" s="147" t="s">
        <v>195</v>
      </c>
      <c r="Q91" s="209" t="s">
        <v>195</v>
      </c>
      <c r="R91" s="147" t="s">
        <v>195</v>
      </c>
      <c r="S91" s="147" t="s">
        <v>168</v>
      </c>
      <c r="T91" s="211">
        <f t="shared" si="22"/>
        <v>527951.86430669681</v>
      </c>
      <c r="U91" s="325">
        <f t="shared" si="24"/>
        <v>10</v>
      </c>
      <c r="V91" s="153">
        <f>SUMIFS(T52:T81,S52:S81,S91)</f>
        <v>527951.86430669681</v>
      </c>
      <c r="W91" s="153">
        <f>SUMIFS(T52:T81,S52:S81,S91)</f>
        <v>527951.86430669681</v>
      </c>
      <c r="X91" s="211">
        <f t="shared" si="23"/>
        <v>527951.86430669681</v>
      </c>
      <c r="Y91" s="137">
        <f>SUMIFS(T52:T81,S52:S81,S91)</f>
        <v>527951.86430669681</v>
      </c>
      <c r="Z91" s="137">
        <f>SUMIFS(T52:T81,S52:S81,S91)</f>
        <v>527951.86430669681</v>
      </c>
    </row>
    <row r="92" spans="14:31">
      <c r="N92" s="140" t="s">
        <v>505</v>
      </c>
      <c r="O92" s="140" t="s">
        <v>403</v>
      </c>
      <c r="P92" s="139" t="s">
        <v>195</v>
      </c>
      <c r="Q92" s="139" t="s">
        <v>176</v>
      </c>
      <c r="R92" s="139" t="s">
        <v>203</v>
      </c>
      <c r="S92" s="140" t="s">
        <v>335</v>
      </c>
      <c r="T92" s="315">
        <f t="shared" ref="T92:T113" ca="1" si="25">ROUND(U92/100*X92*Y92/Z92/AA92+AB92,V92)</f>
        <v>1318.25</v>
      </c>
      <c r="U92" s="429">
        <f>100+Summary!$Q$11</f>
        <v>100.715</v>
      </c>
      <c r="V92" s="76">
        <v>2</v>
      </c>
      <c r="W92" s="327">
        <f t="shared" ref="W92:W107" ca="1" si="26">X92*Y92/Z92/AA92+AB92</f>
        <v>1308.887795699148</v>
      </c>
      <c r="X92" s="153">
        <f ca="1">SUMIFS(T$86:T$91,S$86:S$91,S92)</f>
        <v>1057599.6148398046</v>
      </c>
      <c r="Y92" s="138">
        <f>SUMIFS(T$52:T$81,Q$52:Q$81,Q92,R$52:R$81,R92,S$52:S$81,S92)</f>
        <v>870081.33333333326</v>
      </c>
      <c r="Z92" s="138">
        <f>SUMIFS(T$52:T$81,S$52:S$81,S92)</f>
        <v>1060922.3333333333</v>
      </c>
      <c r="AA92" s="135">
        <f>SUMIFS(T$8:T$35,Q$8:Q$35,Q92,R$8:R$35,R92,S$8:S$35,S92)</f>
        <v>662.66666666666663</v>
      </c>
    </row>
    <row r="93" spans="14:31">
      <c r="N93" s="97" t="s">
        <v>505</v>
      </c>
      <c r="O93" s="97" t="s">
        <v>403</v>
      </c>
      <c r="P93" s="95" t="s">
        <v>195</v>
      </c>
      <c r="Q93" s="95" t="s">
        <v>176</v>
      </c>
      <c r="R93" s="95" t="s">
        <v>204</v>
      </c>
      <c r="S93" s="97" t="s">
        <v>335</v>
      </c>
      <c r="T93" s="316">
        <f t="shared" ca="1" si="25"/>
        <v>1593.34</v>
      </c>
      <c r="U93" s="429">
        <f>100+Summary!$Q$11</f>
        <v>100.715</v>
      </c>
      <c r="V93" s="76">
        <v>2</v>
      </c>
      <c r="W93" s="327">
        <f t="shared" ca="1" si="26"/>
        <v>1582.0296510087953</v>
      </c>
      <c r="X93" s="153">
        <f ca="1">SUMIFS(T$86:T$91,S$86:S$91,S93)</f>
        <v>1057599.6148398046</v>
      </c>
      <c r="Y93" s="138">
        <f>SUMIFS(T$52:T$81,Q$52:Q$81,Q93,R$52:R$81,R93,S$52:S$81,S93)</f>
        <v>42849</v>
      </c>
      <c r="Z93" s="138">
        <f>SUMIFS(T$52:T$81,S$52:S$81,S93)</f>
        <v>1060922.3333333333</v>
      </c>
      <c r="AA93" s="135">
        <f>SUMIFS(T$8:T$35,Q$8:Q$35,Q93,R$8:R$35,R93,S$8:S$35,S93)</f>
        <v>27</v>
      </c>
    </row>
    <row r="94" spans="14:31">
      <c r="N94" s="97" t="s">
        <v>505</v>
      </c>
      <c r="O94" s="97" t="s">
        <v>403</v>
      </c>
      <c r="P94" s="95" t="s">
        <v>195</v>
      </c>
      <c r="Q94" s="95" t="s">
        <v>176</v>
      </c>
      <c r="R94" s="95" t="s">
        <v>203</v>
      </c>
      <c r="S94" s="95" t="s">
        <v>281</v>
      </c>
      <c r="T94" s="316">
        <f t="shared" ca="1" si="25"/>
        <v>2.34</v>
      </c>
      <c r="U94" s="429">
        <f>100+Summary!$Q$11</f>
        <v>100.715</v>
      </c>
      <c r="V94" s="76">
        <v>2</v>
      </c>
      <c r="W94" s="327">
        <f t="shared" ca="1" si="26"/>
        <v>2.3200433544941528</v>
      </c>
      <c r="X94" s="153">
        <f ca="1">SUMIFS(T$86:T$91,S$86:S$91,S94)</f>
        <v>2277205.4401051463</v>
      </c>
      <c r="Y94" s="138">
        <f>SUMIFS(T$52:T$81,Q$52:Q$81,Q94,R$52:R$81,R94,S$52:S$81,S94)</f>
        <v>999140.95666666667</v>
      </c>
      <c r="Z94" s="138">
        <f>SUMIFS(T$52:T$81,S$52:S$81,S94)</f>
        <v>1197473.5866666667</v>
      </c>
      <c r="AA94" s="135">
        <f>SUMIFS(T$8:T$35,Q$8:Q$35,Q94,R$8:R$35,R94,S$8:S$35,S94)</f>
        <v>818967.99726775964</v>
      </c>
    </row>
    <row r="95" spans="14:31">
      <c r="N95" s="97" t="s">
        <v>505</v>
      </c>
      <c r="O95" s="97" t="s">
        <v>403</v>
      </c>
      <c r="P95" s="95" t="s">
        <v>195</v>
      </c>
      <c r="Q95" s="95" t="s">
        <v>176</v>
      </c>
      <c r="R95" s="95" t="s">
        <v>204</v>
      </c>
      <c r="S95" s="95" t="s">
        <v>281</v>
      </c>
      <c r="T95" s="316">
        <f t="shared" ca="1" si="25"/>
        <v>2.09</v>
      </c>
      <c r="U95" s="429">
        <f>100+Summary!$Q$11</f>
        <v>100.715</v>
      </c>
      <c r="V95" s="76">
        <v>2</v>
      </c>
      <c r="W95" s="327">
        <f t="shared" ca="1" si="26"/>
        <v>2.0728256199988744</v>
      </c>
      <c r="X95" s="153">
        <f ca="1">SUMIFS(T$86:T$91,S$86:S$91,S95)</f>
        <v>2277205.4401051463</v>
      </c>
      <c r="Y95" s="138">
        <f>SUMIFS(T$52:T$81,Q$52:Q$81,Q95,R$52:R$81,R95,S$52:S$81,S95)</f>
        <v>114671.27</v>
      </c>
      <c r="Z95" s="138">
        <f>SUMIFS(T$52:T$81,S$52:S$81,S95)</f>
        <v>1197473.5866666667</v>
      </c>
      <c r="AA95" s="135">
        <f>SUMIFS(T$8:T$35,Q$8:Q$35,Q95,R$8:R$35,R95,S$8:S$35,S95)</f>
        <v>105203</v>
      </c>
    </row>
    <row r="96" spans="14:31">
      <c r="N96" s="97" t="s">
        <v>505</v>
      </c>
      <c r="O96" s="97" t="s">
        <v>403</v>
      </c>
      <c r="P96" s="95" t="s">
        <v>195</v>
      </c>
      <c r="Q96" s="95" t="s">
        <v>176</v>
      </c>
      <c r="R96" s="95" t="s">
        <v>195</v>
      </c>
      <c r="S96" s="95" t="s">
        <v>202</v>
      </c>
      <c r="T96" s="316">
        <f t="shared" ca="1" si="25"/>
        <v>9</v>
      </c>
      <c r="U96" s="429">
        <f>100+Summary!$Q$11</f>
        <v>100.715</v>
      </c>
      <c r="V96" s="76">
        <v>2</v>
      </c>
      <c r="W96" s="327">
        <f t="shared" ca="1" si="26"/>
        <v>8.9395577492777605</v>
      </c>
      <c r="X96" s="153">
        <f ca="1">SUMIFS(T$86:T$91,S$86:S$91,S96)</f>
        <v>7579525.1876767324</v>
      </c>
      <c r="Y96" s="135">
        <f>SUMIFS(T$52:T$81,Q$52:Q$81,Q96,R$52:R$81,R96,S$52:S$81,S96)</f>
        <v>6317659.4700000007</v>
      </c>
      <c r="Z96" s="135">
        <f>SUMIFS(T$52:T$81,S$52:S$81,S96)</f>
        <v>7401848.8100000005</v>
      </c>
      <c r="AA96" s="135">
        <f>SUMIFS(T$8:T$35,Q$8:Q$35,Q96,R$8:R$35,R96,S$8:S$35,S96)</f>
        <v>723672.33333333337</v>
      </c>
    </row>
    <row r="97" spans="14:31">
      <c r="N97" s="97" t="s">
        <v>505</v>
      </c>
      <c r="O97" s="97" t="s">
        <v>403</v>
      </c>
      <c r="P97" s="95" t="s">
        <v>195</v>
      </c>
      <c r="Q97" s="95" t="s">
        <v>176</v>
      </c>
      <c r="R97" s="95" t="s">
        <v>195</v>
      </c>
      <c r="S97" s="95" t="s">
        <v>207</v>
      </c>
      <c r="T97" s="316">
        <f t="shared" ca="1" si="25"/>
        <v>6.7349999999999993E-2</v>
      </c>
      <c r="U97" s="429">
        <f>100+Summary!$Q$11</f>
        <v>100.715</v>
      </c>
      <c r="V97" s="76">
        <v>5</v>
      </c>
      <c r="W97" s="327">
        <f t="shared" ca="1" si="26"/>
        <v>6.6915548657591389E-2</v>
      </c>
      <c r="X97" s="153">
        <f ca="1">SUMIFS(T$86:T$91,S$86:S$91,"kWh")</f>
        <v>22882600.257684804</v>
      </c>
      <c r="Y97" s="135">
        <f>SUMIFS(T$52:T$81,Q$52:Q$81,Q97,S$52:S$81,"kWh*")</f>
        <v>18530126.190567419</v>
      </c>
      <c r="Z97" s="135">
        <f>SUMIFS(T$52:T$81,S$52:S$81,"kWh*")</f>
        <v>21486900.859365221</v>
      </c>
      <c r="AA97" s="135">
        <f>SUMIFS(T$8:T$35,Q$8:Q$35,Q97,S$8:S$35,"kWh*")</f>
        <v>322212281.80302668</v>
      </c>
      <c r="AB97" s="303">
        <f>(T12+T28)/(T11+T12+T27+T28)*(T41-T42)</f>
        <v>5.6709376921418291E-3</v>
      </c>
    </row>
    <row r="98" spans="14:31">
      <c r="N98" s="97" t="s">
        <v>505</v>
      </c>
      <c r="O98" s="97" t="s">
        <v>403</v>
      </c>
      <c r="P98" s="95" t="s">
        <v>195</v>
      </c>
      <c r="Q98" s="95" t="s">
        <v>176</v>
      </c>
      <c r="R98" s="95" t="s">
        <v>195</v>
      </c>
      <c r="S98" s="95" t="s">
        <v>208</v>
      </c>
      <c r="T98" s="316">
        <f t="shared" ca="1" si="25"/>
        <v>5.8020000000000002E-2</v>
      </c>
      <c r="U98" s="429">
        <f>100+Summary!$Q$11</f>
        <v>100.715</v>
      </c>
      <c r="V98" s="76">
        <v>5</v>
      </c>
      <c r="W98" s="327">
        <f t="shared" ca="1" si="26"/>
        <v>5.7585548657591398E-2</v>
      </c>
      <c r="X98" s="153">
        <f ca="1">SUMIFS(T$86:T$91,S$86:S$91,"kWh")</f>
        <v>22882600.257684804</v>
      </c>
      <c r="Y98" s="135">
        <f>SUMIFS(T$52:T$81,Q$52:Q$81,Q98,S$52:S$81,"kWh*")</f>
        <v>18530126.190567419</v>
      </c>
      <c r="Z98" s="135">
        <f>SUMIFS(T$52:T$81,S$52:S$81,"kWh*")</f>
        <v>21486900.859365221</v>
      </c>
      <c r="AA98" s="135">
        <f>SUMIFS(T$8:T$35,Q$8:Q$35,Q98,S$8:S$35,"kWh*")</f>
        <v>322212281.80302668</v>
      </c>
      <c r="AB98" s="303">
        <f>(T11+T27)/(T11+T12+T27+T28)*(T42-T41)</f>
        <v>-3.6590623078581706E-3</v>
      </c>
      <c r="AC98" s="303">
        <f ca="1">ROUND(U98/100*X98*Y98/Z98/AA98,V98)</f>
        <v>6.1679999999999999E-2</v>
      </c>
      <c r="AE98" s="304"/>
    </row>
    <row r="99" spans="14:31">
      <c r="N99" s="97" t="s">
        <v>505</v>
      </c>
      <c r="O99" s="97" t="s">
        <v>403</v>
      </c>
      <c r="P99" s="95" t="s">
        <v>195</v>
      </c>
      <c r="Q99" s="95" t="s">
        <v>176</v>
      </c>
      <c r="R99" s="95" t="s">
        <v>195</v>
      </c>
      <c r="S99" s="95" t="s">
        <v>201</v>
      </c>
      <c r="T99" s="316">
        <f t="shared" si="25"/>
        <v>0.56999999999999995</v>
      </c>
      <c r="U99" s="429">
        <f>100+Summary!$Q$11</f>
        <v>100.715</v>
      </c>
      <c r="V99" s="76">
        <v>2</v>
      </c>
      <c r="W99" s="327">
        <f t="shared" si="26"/>
        <v>0.56999999999999984</v>
      </c>
      <c r="X99" s="153">
        <f t="shared" ref="X99:X104" si="27">SUMIFS(T$86:T$91,S$86:S$91,S99)</f>
        <v>85500.939999999988</v>
      </c>
      <c r="Y99" s="135">
        <f t="shared" ref="Y99:Y104" si="28">SUMIFS(T$52:T$81,Q$52:Q$81,Q99,R$52:R$81,R99,S$52:S$81,S99)</f>
        <v>79984.299999999988</v>
      </c>
      <c r="Z99" s="135">
        <f t="shared" ref="Z99:Z104" si="29">SUMIFS(T$52:T$81,S$52:S$81,S99)</f>
        <v>85500.939999999988</v>
      </c>
      <c r="AA99" s="135">
        <f t="shared" ref="AA99:AA104" si="30">SUMIFS(T$8:T$35,Q$8:Q$35,Q99,R$8:R$35,R99,S$8:S$35,S99)</f>
        <v>140323.33333333334</v>
      </c>
    </row>
    <row r="100" spans="14:31">
      <c r="N100" s="97" t="s">
        <v>505</v>
      </c>
      <c r="O100" s="97" t="s">
        <v>403</v>
      </c>
      <c r="P100" s="95" t="s">
        <v>195</v>
      </c>
      <c r="Q100" s="95" t="s">
        <v>177</v>
      </c>
      <c r="R100" s="95" t="s">
        <v>203</v>
      </c>
      <c r="S100" s="97" t="s">
        <v>335</v>
      </c>
      <c r="T100" s="316">
        <f t="shared" ca="1" si="25"/>
        <v>1349.37</v>
      </c>
      <c r="U100" s="429">
        <f>100+Summary!$Q$11</f>
        <v>100.715</v>
      </c>
      <c r="V100" s="76">
        <v>2</v>
      </c>
      <c r="W100" s="327">
        <f t="shared" ca="1" si="26"/>
        <v>1339.7907063363709</v>
      </c>
      <c r="X100" s="153">
        <f t="shared" ca="1" si="27"/>
        <v>1057599.6148398046</v>
      </c>
      <c r="Y100" s="135">
        <f t="shared" si="28"/>
        <v>128576</v>
      </c>
      <c r="Z100" s="135">
        <f t="shared" si="29"/>
        <v>1060922.3333333333</v>
      </c>
      <c r="AA100" s="135">
        <f t="shared" si="30"/>
        <v>95.666666666666671</v>
      </c>
    </row>
    <row r="101" spans="14:31">
      <c r="N101" s="97" t="s">
        <v>505</v>
      </c>
      <c r="O101" s="97" t="s">
        <v>403</v>
      </c>
      <c r="P101" s="95" t="s">
        <v>195</v>
      </c>
      <c r="Q101" s="95" t="s">
        <v>177</v>
      </c>
      <c r="R101" s="95" t="s">
        <v>204</v>
      </c>
      <c r="S101" s="97" t="s">
        <v>335</v>
      </c>
      <c r="T101" s="316">
        <f t="shared" ca="1" si="25"/>
        <v>1624.47</v>
      </c>
      <c r="U101" s="429">
        <f>100+Summary!$Q$11</f>
        <v>100.715</v>
      </c>
      <c r="V101" s="76">
        <v>2</v>
      </c>
      <c r="W101" s="327">
        <f t="shared" ca="1" si="26"/>
        <v>1612.932561646018</v>
      </c>
      <c r="X101" s="153">
        <f t="shared" ca="1" si="27"/>
        <v>1057599.6148398046</v>
      </c>
      <c r="Y101" s="135">
        <f t="shared" si="28"/>
        <v>19416</v>
      </c>
      <c r="Z101" s="135">
        <f t="shared" si="29"/>
        <v>1060922.3333333333</v>
      </c>
      <c r="AA101" s="135">
        <f t="shared" si="30"/>
        <v>12</v>
      </c>
    </row>
    <row r="102" spans="14:31">
      <c r="N102" s="97" t="s">
        <v>505</v>
      </c>
      <c r="O102" s="97" t="s">
        <v>403</v>
      </c>
      <c r="P102" s="95" t="s">
        <v>195</v>
      </c>
      <c r="Q102" s="95" t="s">
        <v>177</v>
      </c>
      <c r="R102" s="95" t="s">
        <v>203</v>
      </c>
      <c r="S102" s="95" t="s">
        <v>281</v>
      </c>
      <c r="T102" s="316">
        <f t="shared" ca="1" si="25"/>
        <v>1.17</v>
      </c>
      <c r="U102" s="429">
        <f>100+Summary!$Q$11</f>
        <v>100.715</v>
      </c>
      <c r="V102" s="76">
        <v>2</v>
      </c>
      <c r="W102" s="327">
        <f t="shared" ca="1" si="26"/>
        <v>1.1600216772470764</v>
      </c>
      <c r="X102" s="153">
        <f t="shared" ca="1" si="27"/>
        <v>2277205.4401051463</v>
      </c>
      <c r="Y102" s="135">
        <f t="shared" si="28"/>
        <v>56458.36</v>
      </c>
      <c r="Z102" s="135">
        <f t="shared" si="29"/>
        <v>1197473.5866666667</v>
      </c>
      <c r="AA102" s="135">
        <f t="shared" si="30"/>
        <v>92554.688524590165</v>
      </c>
      <c r="AC102" s="303"/>
    </row>
    <row r="103" spans="14:31">
      <c r="N103" s="97" t="s">
        <v>505</v>
      </c>
      <c r="O103" s="97" t="s">
        <v>403</v>
      </c>
      <c r="P103" s="95" t="s">
        <v>195</v>
      </c>
      <c r="Q103" s="95" t="s">
        <v>177</v>
      </c>
      <c r="R103" s="95" t="s">
        <v>204</v>
      </c>
      <c r="S103" s="95" t="s">
        <v>281</v>
      </c>
      <c r="T103" s="316">
        <f t="shared" ca="1" si="25"/>
        <v>0.96</v>
      </c>
      <c r="U103" s="429">
        <f>100+Summary!$Q$11</f>
        <v>100.715</v>
      </c>
      <c r="V103" s="76">
        <v>2</v>
      </c>
      <c r="W103" s="327">
        <f t="shared" ca="1" si="26"/>
        <v>0.95083744036645612</v>
      </c>
      <c r="X103" s="153">
        <f t="shared" ca="1" si="27"/>
        <v>2277205.4401051463</v>
      </c>
      <c r="Y103" s="135">
        <f t="shared" si="28"/>
        <v>27203</v>
      </c>
      <c r="Z103" s="135">
        <f t="shared" si="29"/>
        <v>1197473.5866666667</v>
      </c>
      <c r="AA103" s="135">
        <f t="shared" si="30"/>
        <v>54406</v>
      </c>
    </row>
    <row r="104" spans="14:31">
      <c r="N104" s="97" t="s">
        <v>505</v>
      </c>
      <c r="O104" s="97" t="s">
        <v>403</v>
      </c>
      <c r="P104" s="95" t="s">
        <v>195</v>
      </c>
      <c r="Q104" s="95" t="s">
        <v>177</v>
      </c>
      <c r="R104" s="95" t="s">
        <v>195</v>
      </c>
      <c r="S104" s="95" t="s">
        <v>202</v>
      </c>
      <c r="T104" s="316">
        <f t="shared" ca="1" si="25"/>
        <v>9.08</v>
      </c>
      <c r="U104" s="429">
        <f>100+Summary!$Q$11</f>
        <v>100.715</v>
      </c>
      <c r="V104" s="76">
        <v>2</v>
      </c>
      <c r="W104" s="327">
        <f t="shared" ca="1" si="26"/>
        <v>9.0112380519638382</v>
      </c>
      <c r="X104" s="153">
        <f t="shared" ca="1" si="27"/>
        <v>7579525.1876767324</v>
      </c>
      <c r="Y104" s="135">
        <f t="shared" si="28"/>
        <v>1084189.3400000001</v>
      </c>
      <c r="Z104" s="135">
        <f t="shared" si="29"/>
        <v>7401848.8100000005</v>
      </c>
      <c r="AA104" s="135">
        <f t="shared" si="30"/>
        <v>123203.33409090909</v>
      </c>
    </row>
    <row r="105" spans="14:31">
      <c r="N105" s="97" t="s">
        <v>505</v>
      </c>
      <c r="O105" s="97" t="s">
        <v>403</v>
      </c>
      <c r="P105" s="95" t="s">
        <v>195</v>
      </c>
      <c r="Q105" s="95" t="s">
        <v>177</v>
      </c>
      <c r="R105" s="95" t="s">
        <v>195</v>
      </c>
      <c r="S105" s="95" t="s">
        <v>207</v>
      </c>
      <c r="T105" s="316">
        <f t="shared" ca="1" si="25"/>
        <v>6.6720000000000002E-2</v>
      </c>
      <c r="U105" s="429">
        <f>100+Summary!$Q$11</f>
        <v>100.715</v>
      </c>
      <c r="V105" s="76">
        <v>5</v>
      </c>
      <c r="W105" s="327">
        <f t="shared" ca="1" si="26"/>
        <v>6.6282426783824372E-2</v>
      </c>
      <c r="X105" s="153">
        <f ca="1">SUMIFS(T$86:T$91,S$86:S$91,"kWh")</f>
        <v>22882600.257684804</v>
      </c>
      <c r="Y105" s="135">
        <f>SUMIFS(T$52:T$81,Q$52:Q$81,Q105,S$52:S$81,"kWh*")</f>
        <v>2956774.6687977989</v>
      </c>
      <c r="Z105" s="135">
        <f>SUMIFS(T$52:T$81,S$52:S$81,"kWh*")</f>
        <v>21486900.859365221</v>
      </c>
      <c r="AA105" s="135">
        <f>SUMIFS(T$8:T$35,Q$8:Q$35,Q105,S$8:S$35,"kWh*")</f>
        <v>51874014.743498094</v>
      </c>
      <c r="AB105" s="303">
        <f>(T20+T34)/(T19+T20+T33+T34)*(T49-T50)</f>
        <v>5.580851516540827E-3</v>
      </c>
    </row>
    <row r="106" spans="14:31">
      <c r="N106" s="97" t="s">
        <v>505</v>
      </c>
      <c r="O106" s="97" t="s">
        <v>403</v>
      </c>
      <c r="P106" s="95" t="s">
        <v>195</v>
      </c>
      <c r="Q106" s="95" t="s">
        <v>177</v>
      </c>
      <c r="R106" s="95" t="s">
        <v>195</v>
      </c>
      <c r="S106" s="95" t="s">
        <v>208</v>
      </c>
      <c r="T106" s="316">
        <f t="shared" ca="1" si="25"/>
        <v>5.7389999999999997E-2</v>
      </c>
      <c r="U106" s="429">
        <f>100+Summary!$Q$11</f>
        <v>100.715</v>
      </c>
      <c r="V106" s="76">
        <v>5</v>
      </c>
      <c r="W106" s="327">
        <f t="shared" ca="1" si="26"/>
        <v>5.6952426783824381E-2</v>
      </c>
      <c r="X106" s="153">
        <f ca="1">SUMIFS(T$86:T$91,S$86:S$91,"kWh")</f>
        <v>22882600.257684804</v>
      </c>
      <c r="Y106" s="135">
        <f>SUMIFS(T$52:T$81,Q$52:Q$81,Q106,S$52:S$81,"kWh*")</f>
        <v>2956774.6687977989</v>
      </c>
      <c r="Z106" s="135">
        <f>SUMIFS(T$52:T$81,S$52:S$81,"kWh*")</f>
        <v>21486900.859365221</v>
      </c>
      <c r="AA106" s="135">
        <f>SUMIFS(T$8:T$35,Q$8:Q$35,Q106,S$8:S$35,"kWh*")</f>
        <v>51874014.743498094</v>
      </c>
      <c r="AB106" s="303">
        <f>(T19+T33)/(T19+T20+T33+T34)*(T50-T49)</f>
        <v>-3.7491484834591728E-3</v>
      </c>
      <c r="AC106" s="303">
        <f ca="1">ROUND(U106/100*X106*Y106/Z106/AA106,V106)</f>
        <v>6.114E-2</v>
      </c>
      <c r="AE106" s="304"/>
    </row>
    <row r="107" spans="14:31">
      <c r="N107" s="97" t="s">
        <v>505</v>
      </c>
      <c r="O107" s="97" t="s">
        <v>403</v>
      </c>
      <c r="P107" s="95" t="s">
        <v>195</v>
      </c>
      <c r="Q107" s="95" t="s">
        <v>177</v>
      </c>
      <c r="R107" s="95" t="s">
        <v>195</v>
      </c>
      <c r="S107" s="95" t="s">
        <v>201</v>
      </c>
      <c r="T107" s="316">
        <f t="shared" si="25"/>
        <v>0.56000000000000005</v>
      </c>
      <c r="U107" s="578">
        <f>100+Summary!$Q$11</f>
        <v>100.715</v>
      </c>
      <c r="V107" s="523">
        <v>2</v>
      </c>
      <c r="W107" s="524">
        <f t="shared" si="26"/>
        <v>0.56000000000000005</v>
      </c>
      <c r="X107" s="156">
        <f>SUMIFS(T$86:T$91,S$86:S$91,S107)</f>
        <v>85500.939999999988</v>
      </c>
      <c r="Y107" s="346">
        <f>SUMIFS(T$52:T$81,Q$52:Q$81,Q107,R$52:R$81,R107,S$52:S$81,S107)</f>
        <v>5516.64</v>
      </c>
      <c r="Z107" s="346">
        <f>SUMIFS(T$52:T$81,S$52:S$81,S107)</f>
        <v>85500.939999999988</v>
      </c>
      <c r="AA107" s="346">
        <f>SUMIFS(T$8:T$35,Q$8:Q$35,Q107,R$8:R$35,R107,S$8:S$35,S107)</f>
        <v>9851.1428571428569</v>
      </c>
      <c r="AB107" s="395"/>
      <c r="AC107" s="395"/>
      <c r="AD107" s="395"/>
      <c r="AE107" s="395"/>
    </row>
    <row r="108" spans="14:31">
      <c r="N108" s="97" t="s">
        <v>505</v>
      </c>
      <c r="O108" s="97" t="s">
        <v>403</v>
      </c>
      <c r="P108" s="95" t="s">
        <v>195</v>
      </c>
      <c r="Q108" s="97" t="s">
        <v>509</v>
      </c>
      <c r="R108" s="97" t="s">
        <v>195</v>
      </c>
      <c r="S108" s="97" t="s">
        <v>335</v>
      </c>
      <c r="T108" s="316">
        <f ca="1">ROUND(U108/100*X108*Y108/Z108/AA108+AB108,V108)</f>
        <v>3625.57</v>
      </c>
      <c r="U108" s="579">
        <v>100</v>
      </c>
      <c r="V108" s="76">
        <v>2</v>
      </c>
      <c r="W108" s="327">
        <f t="shared" ref="W108:W113" ca="1" si="31">X108*Y108/Z108/AA108+AB108</f>
        <v>3625.5699999999997</v>
      </c>
      <c r="X108" s="153">
        <f ca="1">'Sch.48T-DF'!O34*AA108</f>
        <v>2890787.813333333</v>
      </c>
      <c r="Y108" s="135">
        <v>1</v>
      </c>
      <c r="Z108" s="135">
        <v>1</v>
      </c>
      <c r="AA108" s="135">
        <f>SUMIFS(T$8:T$35,S$8:S$35,S108)</f>
        <v>797.33333333333326</v>
      </c>
      <c r="AB108" s="543"/>
    </row>
    <row r="109" spans="14:31">
      <c r="N109" s="97" t="s">
        <v>505</v>
      </c>
      <c r="O109" s="97" t="s">
        <v>403</v>
      </c>
      <c r="P109" s="95" t="s">
        <v>195</v>
      </c>
      <c r="Q109" s="97" t="s">
        <v>509</v>
      </c>
      <c r="R109" s="97" t="s">
        <v>195</v>
      </c>
      <c r="S109" s="95" t="s">
        <v>281</v>
      </c>
      <c r="T109" s="316">
        <f ca="1">ROUND(U109/100*X109*Y109/Z109/AA109+AB109,V109)</f>
        <v>1.66</v>
      </c>
      <c r="U109" s="429">
        <f>100+Summary!$Q$11</f>
        <v>100.715</v>
      </c>
      <c r="V109" s="76">
        <v>2</v>
      </c>
      <c r="W109" s="327">
        <f t="shared" ca="1" si="31"/>
        <v>1.6444630897884938</v>
      </c>
      <c r="X109" s="153">
        <f ca="1">X87</f>
        <v>1761436.5215884454</v>
      </c>
      <c r="Y109" s="135">
        <v>1</v>
      </c>
      <c r="Z109" s="135">
        <v>1</v>
      </c>
      <c r="AA109" s="135">
        <f>SUMIFS(T$8:T$35,S$8:S$35,S109)</f>
        <v>1071131.6857923497</v>
      </c>
      <c r="AB109" s="543"/>
      <c r="AD109" s="545"/>
    </row>
    <row r="110" spans="14:31">
      <c r="N110" s="97" t="s">
        <v>505</v>
      </c>
      <c r="O110" s="97" t="s">
        <v>403</v>
      </c>
      <c r="P110" s="95" t="s">
        <v>195</v>
      </c>
      <c r="Q110" s="97" t="s">
        <v>509</v>
      </c>
      <c r="R110" s="95" t="s">
        <v>195</v>
      </c>
      <c r="S110" s="95" t="s">
        <v>202</v>
      </c>
      <c r="T110" s="316">
        <f ca="1">ROUND(U110/100*X110*Y110/Z110/AA110+AB110,V110)</f>
        <v>7.85</v>
      </c>
      <c r="U110" s="429">
        <f>100+Summary!$Q$11</f>
        <v>100.715</v>
      </c>
      <c r="V110" s="76">
        <v>2</v>
      </c>
      <c r="W110" s="327">
        <f t="shared" ca="1" si="31"/>
        <v>7.7913002602720773</v>
      </c>
      <c r="X110" s="153">
        <f ca="1">X88</f>
        <v>6598262.6080205897</v>
      </c>
      <c r="Y110" s="135">
        <v>1</v>
      </c>
      <c r="Z110" s="135">
        <v>1</v>
      </c>
      <c r="AA110" s="135">
        <f>SUMIFS(T$8:T$35,S$8:S$35,S110)</f>
        <v>846875.66742424248</v>
      </c>
      <c r="AB110" s="2"/>
      <c r="AD110" s="545"/>
    </row>
    <row r="111" spans="14:31">
      <c r="N111" s="97" t="s">
        <v>505</v>
      </c>
      <c r="O111" s="97" t="s">
        <v>403</v>
      </c>
      <c r="P111" s="95" t="s">
        <v>195</v>
      </c>
      <c r="Q111" s="97" t="s">
        <v>509</v>
      </c>
      <c r="R111" s="95" t="s">
        <v>195</v>
      </c>
      <c r="S111" s="95" t="s">
        <v>207</v>
      </c>
      <c r="T111" s="316">
        <f ca="1">ROUND(U111/100*X111*Y111/Z111/AA111+AB111,V111)</f>
        <v>5.9499999999999997E-2</v>
      </c>
      <c r="U111" s="429">
        <f>100+Summary!$Q$11</f>
        <v>100.715</v>
      </c>
      <c r="V111" s="76">
        <v>5</v>
      </c>
      <c r="W111" s="327">
        <f t="shared" ca="1" si="31"/>
        <v>5.9117122913221257E-2</v>
      </c>
      <c r="X111" s="153">
        <f ca="1">X89</f>
        <v>19998158.625494525</v>
      </c>
      <c r="Y111" s="135">
        <v>1</v>
      </c>
      <c r="Z111" s="135">
        <v>1</v>
      </c>
      <c r="AA111" s="135">
        <f>SUMIFS(T$8:T$35,S$8:S$35,"kWh*")</f>
        <v>374086296.54652482</v>
      </c>
      <c r="AB111" s="303">
        <f>(T$12+T$20+T$28+T$34)/(T$11+T$12+T$19+T$20+T$27+T$28+T$33+T$34)*(T$41-T$42)</f>
        <v>5.6584455702853118E-3</v>
      </c>
      <c r="AD111" s="545"/>
    </row>
    <row r="112" spans="14:31">
      <c r="N112" s="97" t="s">
        <v>505</v>
      </c>
      <c r="O112" s="97" t="s">
        <v>403</v>
      </c>
      <c r="P112" s="95" t="s">
        <v>195</v>
      </c>
      <c r="Q112" s="97" t="s">
        <v>509</v>
      </c>
      <c r="R112" s="95" t="s">
        <v>195</v>
      </c>
      <c r="S112" s="95" t="s">
        <v>208</v>
      </c>
      <c r="T112" s="316">
        <f t="shared" ca="1" si="25"/>
        <v>5.0169999999999999E-2</v>
      </c>
      <c r="U112" s="429">
        <f>100+Summary!$Q$11</f>
        <v>100.715</v>
      </c>
      <c r="V112" s="76">
        <v>5</v>
      </c>
      <c r="W112" s="327">
        <f t="shared" ca="1" si="31"/>
        <v>4.9787122913221259E-2</v>
      </c>
      <c r="X112" s="153">
        <f ca="1">X89</f>
        <v>19998158.625494525</v>
      </c>
      <c r="Y112" s="135">
        <v>1</v>
      </c>
      <c r="Z112" s="135">
        <v>1</v>
      </c>
      <c r="AA112" s="135">
        <f>SUMIFS(T$8:T$35,S$8:S$35,"kWh*")</f>
        <v>374086296.54652482</v>
      </c>
      <c r="AB112" s="303">
        <f>(T$11+T$19+T$27+T$33)/(T$11+T$12+T$19+T$20+T$27+T$28+T$33+T$34)*(T$42-T$41)</f>
        <v>-3.6715544297146858E-3</v>
      </c>
      <c r="AC112" s="303">
        <f ca="1">ROUND(X112/AA112,5)</f>
        <v>5.3460000000000001E-2</v>
      </c>
    </row>
    <row r="113" spans="14:28">
      <c r="N113" s="145" t="s">
        <v>505</v>
      </c>
      <c r="O113" s="145" t="s">
        <v>403</v>
      </c>
      <c r="P113" s="147" t="s">
        <v>195</v>
      </c>
      <c r="Q113" s="145" t="s">
        <v>509</v>
      </c>
      <c r="R113" s="147" t="s">
        <v>195</v>
      </c>
      <c r="S113" s="147" t="s">
        <v>201</v>
      </c>
      <c r="T113" s="317">
        <f t="shared" si="25"/>
        <v>0.56999999999999995</v>
      </c>
      <c r="U113" s="429">
        <f>100+Summary!$Q$11</f>
        <v>100.715</v>
      </c>
      <c r="V113" s="76">
        <v>2</v>
      </c>
      <c r="W113" s="327">
        <f t="shared" si="31"/>
        <v>0.56934402016194485</v>
      </c>
      <c r="X113" s="153">
        <f>X90</f>
        <v>85500.939999999988</v>
      </c>
      <c r="Y113" s="135">
        <v>1</v>
      </c>
      <c r="Z113" s="135">
        <v>1</v>
      </c>
      <c r="AA113" s="135">
        <f>SUMIFS(T$8:T$35,S$8:S$35,S113)</f>
        <v>150174.47619047618</v>
      </c>
      <c r="AB113" s="2"/>
    </row>
    <row r="114" spans="14:28">
      <c r="N114" s="140" t="s">
        <v>505</v>
      </c>
      <c r="O114" s="140" t="s">
        <v>29</v>
      </c>
      <c r="P114" s="139" t="s">
        <v>5</v>
      </c>
      <c r="Q114" s="139" t="s">
        <v>176</v>
      </c>
      <c r="R114" s="139" t="s">
        <v>203</v>
      </c>
      <c r="S114" s="140" t="s">
        <v>335</v>
      </c>
      <c r="T114" s="213">
        <f t="shared" ref="T114:T147" ca="1" si="32">IF(S114="Unbilled",SUMIFS(T$52:T$81,P$52:P$81,P114,S$52:S$81,S114),SUMIFS(T$92:T$107,Q$92:Q$107,Q114,R$92:R$107,R114,S$92:S$107,S114)*V114)</f>
        <v>466221.08333333326</v>
      </c>
      <c r="U114" s="76">
        <f t="shared" ref="U114:U147" ca="1" si="33">IF(S114="Unbilled",SUMIFS(T$52:T$81,P$52:P$81,P114,S$52:S$81,S114),SUMIFS(W$92:W$107,Q$92:Q$107,Q114,R$92:R$107,R114,S$92:S$107,S114)*V114)</f>
        <v>462909.98374559864</v>
      </c>
      <c r="V114" s="135">
        <f t="shared" ref="V114:V147" si="34">SUMIFS(T$8:T$35,P$8:P$35,P114,Q$8:Q$35,Q114,R$8:R$35,R114,S$8:S$35,S114)</f>
        <v>353.66666666666663</v>
      </c>
      <c r="W114" s="76">
        <f ca="1">IF(S114="Unbilled",SUMIFS(T$52:T$81,P$52:P$81,P114,S$52:S$81,S114),SUMIFS(W$108:W$113,S$108:S$113,S114)*V114)</f>
        <v>1282243.2566666664</v>
      </c>
      <c r="Y114" s="135"/>
    </row>
    <row r="115" spans="14:28">
      <c r="N115" s="97" t="s">
        <v>505</v>
      </c>
      <c r="O115" s="97" t="s">
        <v>29</v>
      </c>
      <c r="P115" s="95" t="s">
        <v>5</v>
      </c>
      <c r="Q115" s="95" t="s">
        <v>176</v>
      </c>
      <c r="R115" s="95" t="s">
        <v>204</v>
      </c>
      <c r="S115" s="97" t="s">
        <v>335</v>
      </c>
      <c r="T115" s="210">
        <f t="shared" ca="1" si="32"/>
        <v>0</v>
      </c>
      <c r="U115" s="76">
        <f t="shared" ca="1" si="33"/>
        <v>0</v>
      </c>
      <c r="V115" s="135">
        <f t="shared" si="34"/>
        <v>0</v>
      </c>
      <c r="W115" s="76">
        <f t="shared" ref="W115:W147" ca="1" si="35">IF(S115="Unbilled",SUMIFS(T$52:T$81,P$52:P$81,P115,S$52:S$81,S115),SUMIFS(W$108:W$113,S$108:S$113,S115)*V115)</f>
        <v>0</v>
      </c>
    </row>
    <row r="116" spans="14:28">
      <c r="N116" s="97" t="s">
        <v>505</v>
      </c>
      <c r="O116" s="97" t="s">
        <v>29</v>
      </c>
      <c r="P116" s="95" t="s">
        <v>5</v>
      </c>
      <c r="Q116" s="95" t="s">
        <v>176</v>
      </c>
      <c r="R116" s="95" t="s">
        <v>203</v>
      </c>
      <c r="S116" s="95" t="s">
        <v>281</v>
      </c>
      <c r="T116" s="210">
        <f t="shared" ca="1" si="32"/>
        <v>968701.49360655737</v>
      </c>
      <c r="U116" s="76">
        <f t="shared" ca="1" si="33"/>
        <v>960439.9413378007</v>
      </c>
      <c r="V116" s="135">
        <f t="shared" si="34"/>
        <v>413974.99726775958</v>
      </c>
      <c r="W116" s="76">
        <f t="shared" ca="1" si="35"/>
        <v>680766.60310212313</v>
      </c>
    </row>
    <row r="117" spans="14:28">
      <c r="N117" s="97" t="s">
        <v>505</v>
      </c>
      <c r="O117" s="97" t="s">
        <v>29</v>
      </c>
      <c r="P117" s="95" t="s">
        <v>5</v>
      </c>
      <c r="Q117" s="95" t="s">
        <v>176</v>
      </c>
      <c r="R117" s="95" t="s">
        <v>204</v>
      </c>
      <c r="S117" s="95" t="s">
        <v>281</v>
      </c>
      <c r="T117" s="210">
        <f t="shared" ca="1" si="32"/>
        <v>0</v>
      </c>
      <c r="U117" s="76">
        <f t="shared" ca="1" si="33"/>
        <v>0</v>
      </c>
      <c r="V117" s="135">
        <f t="shared" si="34"/>
        <v>0</v>
      </c>
      <c r="W117" s="76">
        <f t="shared" ca="1" si="35"/>
        <v>0</v>
      </c>
    </row>
    <row r="118" spans="14:28">
      <c r="N118" s="97" t="s">
        <v>505</v>
      </c>
      <c r="O118" s="97" t="s">
        <v>29</v>
      </c>
      <c r="P118" s="95" t="s">
        <v>5</v>
      </c>
      <c r="Q118" s="95" t="s">
        <v>176</v>
      </c>
      <c r="R118" s="95" t="s">
        <v>195</v>
      </c>
      <c r="S118" s="95" t="s">
        <v>202</v>
      </c>
      <c r="T118" s="210">
        <f t="shared" ca="1" si="32"/>
        <v>2626914.0000000005</v>
      </c>
      <c r="U118" s="76">
        <f t="shared" ca="1" si="33"/>
        <v>2609272.1561540267</v>
      </c>
      <c r="V118" s="135">
        <f t="shared" si="34"/>
        <v>291879.33333333337</v>
      </c>
      <c r="W118" s="76">
        <f t="shared" ca="1" si="35"/>
        <v>2274119.5257680407</v>
      </c>
    </row>
    <row r="119" spans="14:28">
      <c r="N119" s="97" t="s">
        <v>505</v>
      </c>
      <c r="O119" s="97" t="s">
        <v>29</v>
      </c>
      <c r="P119" s="95" t="s">
        <v>5</v>
      </c>
      <c r="Q119" s="95" t="s">
        <v>176</v>
      </c>
      <c r="R119" s="95" t="s">
        <v>195</v>
      </c>
      <c r="S119" s="95" t="s">
        <v>207</v>
      </c>
      <c r="T119" s="210">
        <f t="shared" ca="1" si="32"/>
        <v>3310478.1107221181</v>
      </c>
      <c r="U119" s="76">
        <f t="shared" ca="1" si="33"/>
        <v>3289123.3719067131</v>
      </c>
      <c r="V119" s="135">
        <f t="shared" si="34"/>
        <v>49153349.825124249</v>
      </c>
      <c r="W119" s="76">
        <f t="shared" ca="1" si="35"/>
        <v>2905804.6232084329</v>
      </c>
      <c r="Y119" s="327"/>
      <c r="Z119" s="2"/>
    </row>
    <row r="120" spans="14:28">
      <c r="N120" s="97" t="s">
        <v>505</v>
      </c>
      <c r="O120" s="97" t="s">
        <v>29</v>
      </c>
      <c r="P120" s="95" t="s">
        <v>5</v>
      </c>
      <c r="Q120" s="95" t="s">
        <v>176</v>
      </c>
      <c r="R120" s="95" t="s">
        <v>195</v>
      </c>
      <c r="S120" s="95" t="s">
        <v>208</v>
      </c>
      <c r="T120" s="210">
        <f t="shared" ca="1" si="32"/>
        <v>4309123.8634937322</v>
      </c>
      <c r="U120" s="76">
        <f t="shared" ca="1" si="33"/>
        <v>4276857.3235575063</v>
      </c>
      <c r="V120" s="135">
        <f t="shared" si="34"/>
        <v>74269628.808923334</v>
      </c>
      <c r="W120" s="76">
        <f t="shared" ca="1" si="35"/>
        <v>3697671.1382291848</v>
      </c>
    </row>
    <row r="121" spans="14:28">
      <c r="N121" s="97" t="s">
        <v>505</v>
      </c>
      <c r="O121" s="97" t="s">
        <v>29</v>
      </c>
      <c r="P121" s="95" t="s">
        <v>5</v>
      </c>
      <c r="Q121" s="95" t="s">
        <v>176</v>
      </c>
      <c r="R121" s="95" t="s">
        <v>195</v>
      </c>
      <c r="S121" s="95" t="s">
        <v>201</v>
      </c>
      <c r="T121" s="210">
        <f t="shared" si="32"/>
        <v>17939.23</v>
      </c>
      <c r="U121" s="76">
        <f t="shared" si="33"/>
        <v>17939.229999999996</v>
      </c>
      <c r="V121" s="135">
        <f t="shared" si="34"/>
        <v>31472.333333333332</v>
      </c>
      <c r="W121" s="76">
        <f t="shared" si="35"/>
        <v>17918.58478387678</v>
      </c>
    </row>
    <row r="122" spans="14:28">
      <c r="N122" s="97" t="s">
        <v>505</v>
      </c>
      <c r="O122" s="97" t="s">
        <v>29</v>
      </c>
      <c r="P122" s="95" t="s">
        <v>5</v>
      </c>
      <c r="Q122" s="95" t="s">
        <v>177</v>
      </c>
      <c r="R122" s="95" t="s">
        <v>203</v>
      </c>
      <c r="S122" s="97" t="s">
        <v>335</v>
      </c>
      <c r="T122" s="210">
        <f t="shared" ca="1" si="32"/>
        <v>112897.29</v>
      </c>
      <c r="U122" s="76">
        <f t="shared" ca="1" si="33"/>
        <v>112095.82243014305</v>
      </c>
      <c r="V122" s="135">
        <f t="shared" si="34"/>
        <v>83.666666666666671</v>
      </c>
      <c r="W122" s="76">
        <f t="shared" ca="1" si="35"/>
        <v>303339.35666666669</v>
      </c>
    </row>
    <row r="123" spans="14:28">
      <c r="N123" s="97" t="s">
        <v>505</v>
      </c>
      <c r="O123" s="97" t="s">
        <v>29</v>
      </c>
      <c r="P123" s="95" t="s">
        <v>5</v>
      </c>
      <c r="Q123" s="95" t="s">
        <v>177</v>
      </c>
      <c r="R123" s="95" t="s">
        <v>204</v>
      </c>
      <c r="S123" s="97" t="s">
        <v>335</v>
      </c>
      <c r="T123" s="210">
        <f t="shared" ca="1" si="32"/>
        <v>19493.64</v>
      </c>
      <c r="U123" s="76">
        <f t="shared" ca="1" si="33"/>
        <v>19355.190739752215</v>
      </c>
      <c r="V123" s="135">
        <f t="shared" si="34"/>
        <v>12</v>
      </c>
      <c r="W123" s="76">
        <f t="shared" ca="1" si="35"/>
        <v>43506.84</v>
      </c>
      <c r="Y123" s="135"/>
    </row>
    <row r="124" spans="14:28">
      <c r="N124" s="97" t="s">
        <v>505</v>
      </c>
      <c r="O124" s="97" t="s">
        <v>29</v>
      </c>
      <c r="P124" s="95" t="s">
        <v>5</v>
      </c>
      <c r="Q124" s="95" t="s">
        <v>177</v>
      </c>
      <c r="R124" s="95" t="s">
        <v>203</v>
      </c>
      <c r="S124" s="95" t="s">
        <v>281</v>
      </c>
      <c r="T124" s="210">
        <f t="shared" ca="1" si="32"/>
        <v>107025.38557377049</v>
      </c>
      <c r="U124" s="76">
        <f t="shared" ca="1" si="33"/>
        <v>106112.62160794897</v>
      </c>
      <c r="V124" s="135">
        <f t="shared" si="34"/>
        <v>91474.688524590165</v>
      </c>
      <c r="W124" s="76">
        <f t="shared" ca="1" si="35"/>
        <v>150426.74892858762</v>
      </c>
      <c r="Y124" s="135"/>
    </row>
    <row r="125" spans="14:28">
      <c r="N125" s="97" t="s">
        <v>505</v>
      </c>
      <c r="O125" s="97" t="s">
        <v>29</v>
      </c>
      <c r="P125" s="95" t="s">
        <v>5</v>
      </c>
      <c r="Q125" s="95" t="s">
        <v>177</v>
      </c>
      <c r="R125" s="95" t="s">
        <v>204</v>
      </c>
      <c r="S125" s="95" t="s">
        <v>281</v>
      </c>
      <c r="T125" s="210">
        <f t="shared" ca="1" si="32"/>
        <v>52229.759999999995</v>
      </c>
      <c r="U125" s="76">
        <f t="shared" ca="1" si="33"/>
        <v>51731.261780577413</v>
      </c>
      <c r="V125" s="135">
        <f t="shared" si="34"/>
        <v>54406</v>
      </c>
      <c r="W125" s="76">
        <f t="shared" ca="1" si="35"/>
        <v>89468.65886303279</v>
      </c>
      <c r="Y125" s="135"/>
    </row>
    <row r="126" spans="14:28">
      <c r="N126" s="97" t="s">
        <v>505</v>
      </c>
      <c r="O126" s="97" t="s">
        <v>29</v>
      </c>
      <c r="P126" s="95" t="s">
        <v>5</v>
      </c>
      <c r="Q126" s="95" t="s">
        <v>177</v>
      </c>
      <c r="R126" s="95" t="s">
        <v>195</v>
      </c>
      <c r="S126" s="95" t="s">
        <v>202</v>
      </c>
      <c r="T126" s="210">
        <f t="shared" ca="1" si="32"/>
        <v>1064206.2735454545</v>
      </c>
      <c r="U126" s="76">
        <f t="shared" ca="1" si="33"/>
        <v>1056147.1439770306</v>
      </c>
      <c r="V126" s="135">
        <f t="shared" si="34"/>
        <v>117203.33409090909</v>
      </c>
      <c r="W126" s="76">
        <f t="shared" ca="1" si="35"/>
        <v>913166.36740725522</v>
      </c>
      <c r="Y126" s="135"/>
    </row>
    <row r="127" spans="14:28">
      <c r="N127" s="97" t="s">
        <v>505</v>
      </c>
      <c r="O127" s="97" t="s">
        <v>29</v>
      </c>
      <c r="P127" s="95" t="s">
        <v>5</v>
      </c>
      <c r="Q127" s="95" t="s">
        <v>177</v>
      </c>
      <c r="R127" s="95" t="s">
        <v>195</v>
      </c>
      <c r="S127" s="95" t="s">
        <v>207</v>
      </c>
      <c r="T127" s="210">
        <f t="shared" ca="1" si="32"/>
        <v>1379606.1295297679</v>
      </c>
      <c r="U127" s="76">
        <f t="shared" ca="1" si="33"/>
        <v>1370558.1875160697</v>
      </c>
      <c r="V127" s="135">
        <f t="shared" si="34"/>
        <v>20677549.9030241</v>
      </c>
      <c r="W127" s="76">
        <f t="shared" ca="1" si="35"/>
        <v>1222397.2591613419</v>
      </c>
      <c r="Y127" s="135"/>
    </row>
    <row r="128" spans="14:28">
      <c r="N128" s="97" t="s">
        <v>505</v>
      </c>
      <c r="O128" s="97" t="s">
        <v>29</v>
      </c>
      <c r="P128" s="95" t="s">
        <v>5</v>
      </c>
      <c r="Q128" s="95" t="s">
        <v>177</v>
      </c>
      <c r="R128" s="95" t="s">
        <v>195</v>
      </c>
      <c r="S128" s="95" t="s">
        <v>208</v>
      </c>
      <c r="T128" s="210">
        <f t="shared" ca="1" si="32"/>
        <v>1765469.346639961</v>
      </c>
      <c r="U128" s="76">
        <f t="shared" ca="1" si="33"/>
        <v>1752008.4283603181</v>
      </c>
      <c r="V128" s="135">
        <f t="shared" si="34"/>
        <v>30762665.039901745</v>
      </c>
      <c r="W128" s="76">
        <f t="shared" ca="1" si="35"/>
        <v>1531584.5854798427</v>
      </c>
      <c r="Y128" s="135"/>
    </row>
    <row r="129" spans="14:25">
      <c r="N129" s="97" t="s">
        <v>505</v>
      </c>
      <c r="O129" s="97" t="s">
        <v>29</v>
      </c>
      <c r="P129" s="95" t="s">
        <v>5</v>
      </c>
      <c r="Q129" s="95" t="s">
        <v>177</v>
      </c>
      <c r="R129" s="95" t="s">
        <v>195</v>
      </c>
      <c r="S129" s="95" t="s">
        <v>201</v>
      </c>
      <c r="T129" s="210">
        <f t="shared" si="32"/>
        <v>5180.08</v>
      </c>
      <c r="U129" s="76">
        <f t="shared" si="33"/>
        <v>5180.08</v>
      </c>
      <c r="V129" s="135">
        <f t="shared" si="34"/>
        <v>9250.1428571428569</v>
      </c>
      <c r="W129" s="76">
        <f t="shared" si="35"/>
        <v>5266.5135213580124</v>
      </c>
      <c r="Y129" s="135"/>
    </row>
    <row r="130" spans="14:25">
      <c r="N130" s="145" t="s">
        <v>505</v>
      </c>
      <c r="O130" s="145" t="s">
        <v>29</v>
      </c>
      <c r="P130" s="147" t="s">
        <v>5</v>
      </c>
      <c r="Q130" s="147" t="s">
        <v>195</v>
      </c>
      <c r="R130" s="147" t="s">
        <v>195</v>
      </c>
      <c r="S130" s="209" t="s">
        <v>168</v>
      </c>
      <c r="T130" s="211">
        <f t="shared" si="32"/>
        <v>211823.16276683079</v>
      </c>
      <c r="U130" s="76">
        <f t="shared" si="33"/>
        <v>211823.16276683079</v>
      </c>
      <c r="V130" s="135">
        <f t="shared" si="34"/>
        <v>0</v>
      </c>
      <c r="W130" s="76">
        <f t="shared" si="35"/>
        <v>211823.16276683079</v>
      </c>
      <c r="Y130" s="135"/>
    </row>
    <row r="131" spans="14:25">
      <c r="N131" s="140" t="s">
        <v>505</v>
      </c>
      <c r="O131" s="140" t="s">
        <v>29</v>
      </c>
      <c r="P131" s="141" t="s">
        <v>7</v>
      </c>
      <c r="Q131" s="139" t="s">
        <v>176</v>
      </c>
      <c r="R131" s="139" t="s">
        <v>203</v>
      </c>
      <c r="S131" s="140" t="s">
        <v>335</v>
      </c>
      <c r="T131" s="213">
        <f t="shared" ca="1" si="32"/>
        <v>407339.25</v>
      </c>
      <c r="U131" s="76">
        <f t="shared" ca="1" si="33"/>
        <v>404446.32887103671</v>
      </c>
      <c r="V131" s="135">
        <f t="shared" si="34"/>
        <v>309</v>
      </c>
      <c r="W131" s="76">
        <f t="shared" ca="1" si="35"/>
        <v>1120301.1299999999</v>
      </c>
      <c r="Y131" s="135"/>
    </row>
    <row r="132" spans="14:25">
      <c r="N132" s="97" t="s">
        <v>505</v>
      </c>
      <c r="O132" s="97" t="s">
        <v>29</v>
      </c>
      <c r="P132" s="143" t="s">
        <v>7</v>
      </c>
      <c r="Q132" s="95" t="s">
        <v>176</v>
      </c>
      <c r="R132" s="95" t="s">
        <v>204</v>
      </c>
      <c r="S132" s="97" t="s">
        <v>335</v>
      </c>
      <c r="T132" s="210">
        <f t="shared" ca="1" si="32"/>
        <v>43020.18</v>
      </c>
      <c r="U132" s="76">
        <f t="shared" ca="1" si="33"/>
        <v>42714.800577237474</v>
      </c>
      <c r="V132" s="135">
        <f t="shared" si="34"/>
        <v>27</v>
      </c>
      <c r="W132" s="76">
        <f t="shared" ca="1" si="35"/>
        <v>97890.389999999985</v>
      </c>
      <c r="Y132" s="135"/>
    </row>
    <row r="133" spans="14:25">
      <c r="N133" s="97" t="s">
        <v>505</v>
      </c>
      <c r="O133" s="97" t="s">
        <v>29</v>
      </c>
      <c r="P133" s="143" t="s">
        <v>7</v>
      </c>
      <c r="Q133" s="95" t="s">
        <v>176</v>
      </c>
      <c r="R133" s="95" t="s">
        <v>203</v>
      </c>
      <c r="S133" s="95" t="s">
        <v>281</v>
      </c>
      <c r="T133" s="210">
        <f t="shared" ca="1" si="32"/>
        <v>947683.62</v>
      </c>
      <c r="U133" s="76">
        <f t="shared" ca="1" si="33"/>
        <v>939601.31826665043</v>
      </c>
      <c r="V133" s="135">
        <f t="shared" si="34"/>
        <v>404993</v>
      </c>
      <c r="W133" s="76">
        <f t="shared" ca="1" si="35"/>
        <v>665996.04012271145</v>
      </c>
      <c r="Y133" s="135"/>
    </row>
    <row r="134" spans="14:25">
      <c r="N134" s="97" t="s">
        <v>505</v>
      </c>
      <c r="O134" s="97" t="s">
        <v>29</v>
      </c>
      <c r="P134" s="143" t="s">
        <v>7</v>
      </c>
      <c r="Q134" s="95" t="s">
        <v>176</v>
      </c>
      <c r="R134" s="95" t="s">
        <v>204</v>
      </c>
      <c r="S134" s="95" t="s">
        <v>281</v>
      </c>
      <c r="T134" s="210">
        <f t="shared" ca="1" si="32"/>
        <v>219874.27</v>
      </c>
      <c r="U134" s="76">
        <f t="shared" ca="1" si="33"/>
        <v>218067.47370074157</v>
      </c>
      <c r="V134" s="135">
        <f t="shared" si="34"/>
        <v>105203</v>
      </c>
      <c r="W134" s="76">
        <f t="shared" ca="1" si="35"/>
        <v>173002.45043501889</v>
      </c>
      <c r="Y134" s="135"/>
    </row>
    <row r="135" spans="14:25">
      <c r="N135" s="97" t="s">
        <v>505</v>
      </c>
      <c r="O135" s="97" t="s">
        <v>29</v>
      </c>
      <c r="P135" s="143" t="s">
        <v>7</v>
      </c>
      <c r="Q135" s="95" t="s">
        <v>176</v>
      </c>
      <c r="R135" s="95" t="s">
        <v>195</v>
      </c>
      <c r="S135" s="95" t="s">
        <v>202</v>
      </c>
      <c r="T135" s="210">
        <f t="shared" ca="1" si="32"/>
        <v>3886137</v>
      </c>
      <c r="U135" s="76">
        <f t="shared" ca="1" si="33"/>
        <v>3860038.4592338922</v>
      </c>
      <c r="V135" s="135">
        <f t="shared" si="34"/>
        <v>431793</v>
      </c>
      <c r="W135" s="76">
        <f t="shared" ca="1" si="35"/>
        <v>3364228.913283661</v>
      </c>
      <c r="Y135" s="135"/>
    </row>
    <row r="136" spans="14:25">
      <c r="N136" s="97" t="s">
        <v>505</v>
      </c>
      <c r="O136" s="97" t="s">
        <v>29</v>
      </c>
      <c r="P136" s="143" t="s">
        <v>7</v>
      </c>
      <c r="Q136" s="95" t="s">
        <v>176</v>
      </c>
      <c r="R136" s="95" t="s">
        <v>195</v>
      </c>
      <c r="S136" s="95" t="s">
        <v>207</v>
      </c>
      <c r="T136" s="210">
        <f t="shared" ca="1" si="32"/>
        <v>5200272.2453553611</v>
      </c>
      <c r="U136" s="76">
        <f t="shared" ca="1" si="33"/>
        <v>5166727.1041840939</v>
      </c>
      <c r="V136" s="135">
        <f t="shared" si="34"/>
        <v>77212653.977065504</v>
      </c>
      <c r="W136" s="76">
        <f t="shared" ca="1" si="35"/>
        <v>4564589.9556182036</v>
      </c>
      <c r="Y136" s="135"/>
    </row>
    <row r="137" spans="14:25">
      <c r="N137" s="97" t="s">
        <v>505</v>
      </c>
      <c r="O137" s="97" t="s">
        <v>29</v>
      </c>
      <c r="P137" s="143" t="s">
        <v>7</v>
      </c>
      <c r="Q137" s="95" t="s">
        <v>176</v>
      </c>
      <c r="R137" s="95" t="s">
        <v>195</v>
      </c>
      <c r="S137" s="95" t="s">
        <v>208</v>
      </c>
      <c r="T137" s="210">
        <f t="shared" ca="1" si="32"/>
        <v>7053877.186114829</v>
      </c>
      <c r="U137" s="76">
        <f t="shared" ca="1" si="33"/>
        <v>7001058.0476678628</v>
      </c>
      <c r="V137" s="135">
        <f t="shared" si="34"/>
        <v>121576649.19191363</v>
      </c>
      <c r="W137" s="76">
        <f t="shared" ca="1" si="35"/>
        <v>6052951.5766953863</v>
      </c>
      <c r="Y137" s="135"/>
    </row>
    <row r="138" spans="14:25">
      <c r="N138" s="97" t="s">
        <v>505</v>
      </c>
      <c r="O138" s="97" t="s">
        <v>29</v>
      </c>
      <c r="P138" s="143" t="s">
        <v>7</v>
      </c>
      <c r="Q138" s="95" t="s">
        <v>176</v>
      </c>
      <c r="R138" s="95" t="s">
        <v>195</v>
      </c>
      <c r="S138" s="95" t="s">
        <v>201</v>
      </c>
      <c r="T138" s="210">
        <f t="shared" si="32"/>
        <v>62045.069999999992</v>
      </c>
      <c r="U138" s="76">
        <f t="shared" si="33"/>
        <v>62045.069999999985</v>
      </c>
      <c r="V138" s="135">
        <f t="shared" si="34"/>
        <v>108851</v>
      </c>
      <c r="W138" s="76">
        <f t="shared" si="35"/>
        <v>61973.665938647857</v>
      </c>
      <c r="Y138" s="135"/>
    </row>
    <row r="139" spans="14:25">
      <c r="N139" s="97" t="s">
        <v>505</v>
      </c>
      <c r="O139" s="97" t="s">
        <v>29</v>
      </c>
      <c r="P139" s="143" t="s">
        <v>7</v>
      </c>
      <c r="Q139" s="95" t="s">
        <v>177</v>
      </c>
      <c r="R139" s="95" t="s">
        <v>203</v>
      </c>
      <c r="S139" s="97" t="s">
        <v>335</v>
      </c>
      <c r="T139" s="210">
        <f t="shared" ca="1" si="32"/>
        <v>16192.439999999999</v>
      </c>
      <c r="U139" s="76">
        <f t="shared" ca="1" si="33"/>
        <v>16077.488476036451</v>
      </c>
      <c r="V139" s="135">
        <f t="shared" si="34"/>
        <v>12</v>
      </c>
      <c r="W139" s="76">
        <f t="shared" ca="1" si="35"/>
        <v>43506.84</v>
      </c>
      <c r="Y139" s="135"/>
    </row>
    <row r="140" spans="14:25">
      <c r="N140" s="97" t="s">
        <v>505</v>
      </c>
      <c r="O140" s="97" t="s">
        <v>29</v>
      </c>
      <c r="P140" s="143" t="s">
        <v>7</v>
      </c>
      <c r="Q140" s="95" t="s">
        <v>177</v>
      </c>
      <c r="R140" s="95" t="s">
        <v>204</v>
      </c>
      <c r="S140" s="97" t="s">
        <v>335</v>
      </c>
      <c r="T140" s="210">
        <f t="shared" ca="1" si="32"/>
        <v>0</v>
      </c>
      <c r="U140" s="76">
        <f t="shared" ca="1" si="33"/>
        <v>0</v>
      </c>
      <c r="V140" s="135">
        <f t="shared" si="34"/>
        <v>0</v>
      </c>
      <c r="W140" s="76">
        <f t="shared" ca="1" si="35"/>
        <v>0</v>
      </c>
      <c r="Y140" s="135"/>
    </row>
    <row r="141" spans="14:25">
      <c r="N141" s="97" t="s">
        <v>505</v>
      </c>
      <c r="O141" s="97" t="s">
        <v>29</v>
      </c>
      <c r="P141" s="143" t="s">
        <v>7</v>
      </c>
      <c r="Q141" s="95" t="s">
        <v>177</v>
      </c>
      <c r="R141" s="95" t="s">
        <v>203</v>
      </c>
      <c r="S141" s="95" t="s">
        <v>281</v>
      </c>
      <c r="T141" s="210">
        <f t="shared" ca="1" si="32"/>
        <v>1263.5999999999999</v>
      </c>
      <c r="U141" s="76">
        <f t="shared" ca="1" si="33"/>
        <v>1252.8234114268425</v>
      </c>
      <c r="V141" s="135">
        <f t="shared" si="34"/>
        <v>1080</v>
      </c>
      <c r="W141" s="76">
        <f t="shared" ca="1" si="35"/>
        <v>1776.0201369715733</v>
      </c>
      <c r="Y141" s="135"/>
    </row>
    <row r="142" spans="14:25">
      <c r="N142" s="97" t="s">
        <v>505</v>
      </c>
      <c r="O142" s="97" t="s">
        <v>29</v>
      </c>
      <c r="P142" s="143" t="s">
        <v>7</v>
      </c>
      <c r="Q142" s="95" t="s">
        <v>177</v>
      </c>
      <c r="R142" s="95" t="s">
        <v>204</v>
      </c>
      <c r="S142" s="95" t="s">
        <v>281</v>
      </c>
      <c r="T142" s="210">
        <f t="shared" ca="1" si="32"/>
        <v>0</v>
      </c>
      <c r="U142" s="76">
        <f t="shared" ca="1" si="33"/>
        <v>0</v>
      </c>
      <c r="V142" s="135">
        <f t="shared" si="34"/>
        <v>0</v>
      </c>
      <c r="W142" s="76">
        <f t="shared" ca="1" si="35"/>
        <v>0</v>
      </c>
      <c r="Y142" s="135"/>
    </row>
    <row r="143" spans="14:25">
      <c r="N143" s="97" t="s">
        <v>505</v>
      </c>
      <c r="O143" s="97" t="s">
        <v>29</v>
      </c>
      <c r="P143" s="143" t="s">
        <v>7</v>
      </c>
      <c r="Q143" s="95" t="s">
        <v>177</v>
      </c>
      <c r="R143" s="95" t="s">
        <v>195</v>
      </c>
      <c r="S143" s="95" t="s">
        <v>202</v>
      </c>
      <c r="T143" s="210">
        <f t="shared" ca="1" si="32"/>
        <v>54479.999999999993</v>
      </c>
      <c r="U143" s="76">
        <f t="shared" ca="1" si="33"/>
        <v>54067.42831178302</v>
      </c>
      <c r="V143" s="135">
        <f t="shared" si="34"/>
        <v>5999.9999999999991</v>
      </c>
      <c r="W143" s="76">
        <f t="shared" ca="1" si="35"/>
        <v>46747.801561632456</v>
      </c>
      <c r="Y143" s="135"/>
    </row>
    <row r="144" spans="14:25">
      <c r="N144" s="97" t="s">
        <v>505</v>
      </c>
      <c r="O144" s="97" t="s">
        <v>29</v>
      </c>
      <c r="P144" s="143" t="s">
        <v>7</v>
      </c>
      <c r="Q144" s="95" t="s">
        <v>177</v>
      </c>
      <c r="R144" s="95" t="s">
        <v>195</v>
      </c>
      <c r="S144" s="95" t="s">
        <v>207</v>
      </c>
      <c r="T144" s="210">
        <f t="shared" ca="1" si="32"/>
        <v>11168.935947116001</v>
      </c>
      <c r="U144" s="76">
        <f t="shared" ca="1" si="33"/>
        <v>11095.68613860822</v>
      </c>
      <c r="V144" s="135">
        <f t="shared" si="34"/>
        <v>167400.11911145085</v>
      </c>
      <c r="W144" s="76">
        <f t="shared" ca="1" si="35"/>
        <v>9896.2134171995185</v>
      </c>
      <c r="Y144" s="135"/>
    </row>
    <row r="145" spans="14:31">
      <c r="N145" s="97" t="s">
        <v>505</v>
      </c>
      <c r="O145" s="97" t="s">
        <v>29</v>
      </c>
      <c r="P145" s="143" t="s">
        <v>7</v>
      </c>
      <c r="Q145" s="95" t="s">
        <v>177</v>
      </c>
      <c r="R145" s="95" t="s">
        <v>195</v>
      </c>
      <c r="S145" s="95" t="s">
        <v>208</v>
      </c>
      <c r="T145" s="210">
        <f t="shared" ca="1" si="32"/>
        <v>15288.677719035759</v>
      </c>
      <c r="U145" s="76">
        <f t="shared" ca="1" si="33"/>
        <v>15172.108353630794</v>
      </c>
      <c r="V145" s="135">
        <f t="shared" si="34"/>
        <v>266399.6814608078</v>
      </c>
      <c r="W145" s="76">
        <f t="shared" ca="1" si="35"/>
        <v>13263.273684932228</v>
      </c>
      <c r="Y145" s="135"/>
    </row>
    <row r="146" spans="14:31">
      <c r="N146" s="97" t="s">
        <v>505</v>
      </c>
      <c r="O146" s="97" t="s">
        <v>29</v>
      </c>
      <c r="P146" s="143" t="s">
        <v>7</v>
      </c>
      <c r="Q146" s="95" t="s">
        <v>177</v>
      </c>
      <c r="R146" s="95" t="s">
        <v>195</v>
      </c>
      <c r="S146" s="95" t="s">
        <v>201</v>
      </c>
      <c r="T146" s="210">
        <f t="shared" si="32"/>
        <v>336.56000000000006</v>
      </c>
      <c r="U146" s="76">
        <f t="shared" si="33"/>
        <v>336.56000000000006</v>
      </c>
      <c r="V146" s="135">
        <f t="shared" si="34"/>
        <v>601</v>
      </c>
      <c r="W146" s="76">
        <f t="shared" si="35"/>
        <v>342.17575611732883</v>
      </c>
      <c r="X146" s="406"/>
      <c r="Y146" s="345"/>
      <c r="Z146" s="312"/>
      <c r="AA146" s="503" t="s">
        <v>572</v>
      </c>
      <c r="AB146" s="200"/>
      <c r="AC146" s="525"/>
      <c r="AD146" s="338" t="s">
        <v>6</v>
      </c>
      <c r="AE146" s="525"/>
    </row>
    <row r="147" spans="14:31">
      <c r="N147" s="145" t="s">
        <v>505</v>
      </c>
      <c r="O147" s="145" t="s">
        <v>29</v>
      </c>
      <c r="P147" s="146" t="s">
        <v>7</v>
      </c>
      <c r="Q147" s="147" t="s">
        <v>195</v>
      </c>
      <c r="R147" s="147" t="s">
        <v>195</v>
      </c>
      <c r="S147" s="209" t="s">
        <v>168</v>
      </c>
      <c r="T147" s="211">
        <f t="shared" si="32"/>
        <v>316128.70153986604</v>
      </c>
      <c r="U147" s="76">
        <f t="shared" si="33"/>
        <v>316128.70153986604</v>
      </c>
      <c r="V147" s="135">
        <f t="shared" si="34"/>
        <v>0</v>
      </c>
      <c r="W147" s="76">
        <f t="shared" si="35"/>
        <v>316128.70153986604</v>
      </c>
      <c r="X147" s="379" t="s">
        <v>509</v>
      </c>
      <c r="Y147" s="380"/>
      <c r="Z147" s="390"/>
      <c r="AA147" s="526" t="s">
        <v>571</v>
      </c>
      <c r="AB147" s="228" t="s">
        <v>574</v>
      </c>
      <c r="AC147" s="228" t="s">
        <v>573</v>
      </c>
      <c r="AD147" s="228" t="s">
        <v>575</v>
      </c>
      <c r="AE147" s="228" t="s">
        <v>576</v>
      </c>
    </row>
    <row r="148" spans="14:31">
      <c r="N148" s="301" t="s">
        <v>540</v>
      </c>
      <c r="O148" s="256" t="s">
        <v>29</v>
      </c>
      <c r="P148" s="212" t="s">
        <v>195</v>
      </c>
      <c r="Q148" s="212" t="s">
        <v>195</v>
      </c>
      <c r="R148" s="212" t="s">
        <v>195</v>
      </c>
      <c r="S148" s="212" t="s">
        <v>195</v>
      </c>
      <c r="T148" s="213">
        <f ca="1">'Cost of Service and Proposed $'!X123</f>
        <v>233506.05590894437</v>
      </c>
      <c r="X148" s="406">
        <f ca="1">(T148-AA148-AB148-AC148)*AD148/AE148</f>
        <v>224589.26352854446</v>
      </c>
      <c r="Y148" s="427"/>
      <c r="Z148" s="427"/>
      <c r="AA148" s="267">
        <v>0</v>
      </c>
      <c r="AB148" s="136">
        <v>0</v>
      </c>
      <c r="AC148" s="136">
        <v>0</v>
      </c>
      <c r="AD148" s="136">
        <f t="shared" ref="AD148:AD151" si="36">($T$11+$T$12+$T$27+$T$28)+($T$19+$T$20+$T$33+$T$34)</f>
        <v>374086296.54652476</v>
      </c>
      <c r="AE148" s="136">
        <f>($T$11+$T$12+$T$27+$T$28)*$AE$77+($T$19+$T$20+$T$33+$T$34)*$AE$78</f>
        <v>388938519.60586137</v>
      </c>
    </row>
    <row r="149" spans="14:31">
      <c r="N149" s="319" t="s">
        <v>541</v>
      </c>
      <c r="O149" s="85" t="s">
        <v>29</v>
      </c>
      <c r="P149" s="208" t="s">
        <v>195</v>
      </c>
      <c r="Q149" s="208" t="s">
        <v>195</v>
      </c>
      <c r="R149" s="208" t="s">
        <v>195</v>
      </c>
      <c r="S149" s="208" t="s">
        <v>195</v>
      </c>
      <c r="T149" s="210">
        <f ca="1">'Cost of Service and Proposed $'!X124</f>
        <v>12008929.539562715</v>
      </c>
      <c r="X149" s="384">
        <f ca="1">(T149-AA149-AB149-AC149)*AD149/AE149</f>
        <v>8135805.1375046736</v>
      </c>
      <c r="Y149" s="426"/>
      <c r="Z149" s="426"/>
      <c r="AA149" s="267">
        <f ca="1">'Cost of Service and Proposed $'!X115</f>
        <v>920677.22301006387</v>
      </c>
      <c r="AB149" s="136">
        <f ca="1">'Cost of Service and Proposed $'!X116</f>
        <v>2496370.4334273189</v>
      </c>
      <c r="AC149" s="136">
        <f ca="1">'Cost of Service and Proposed $'!X117</f>
        <v>133063.5965557684</v>
      </c>
      <c r="AD149" s="136">
        <f t="shared" si="36"/>
        <v>374086296.54652476</v>
      </c>
      <c r="AE149" s="136">
        <f>($T$11+$T$12+$T$27+$T$28)*$AE$77+($T$19+$T$20+$T$33+$T$34)*$AE$78</f>
        <v>388938519.60586137</v>
      </c>
    </row>
    <row r="150" spans="14:31">
      <c r="N150" s="319" t="s">
        <v>542</v>
      </c>
      <c r="O150" s="85" t="s">
        <v>29</v>
      </c>
      <c r="P150" s="208" t="s">
        <v>195</v>
      </c>
      <c r="Q150" s="208" t="s">
        <v>195</v>
      </c>
      <c r="R150" s="208" t="s">
        <v>195</v>
      </c>
      <c r="S150" s="208" t="s">
        <v>195</v>
      </c>
      <c r="T150" s="210">
        <f ca="1">'Cost of Service and Proposed $'!X125</f>
        <v>3806427.5439030989</v>
      </c>
      <c r="X150" s="384">
        <f ca="1">(T150-AA150-AB150-AC150)*AD150/AE150</f>
        <v>3661073.1804460119</v>
      </c>
      <c r="Y150" s="426"/>
      <c r="Z150" s="426"/>
      <c r="AA150" s="267">
        <v>0</v>
      </c>
      <c r="AB150" s="136">
        <v>0</v>
      </c>
      <c r="AC150" s="136">
        <v>0</v>
      </c>
      <c r="AD150" s="136">
        <f t="shared" si="36"/>
        <v>374086296.54652476</v>
      </c>
      <c r="AE150" s="136">
        <f>($T$11+$T$12+$T$27+$T$28)*$AE$77+($T$19+$T$20+$T$33+$T$34)*$AE$78</f>
        <v>388938519.60586137</v>
      </c>
    </row>
    <row r="151" spans="14:31">
      <c r="N151" s="302" t="s">
        <v>543</v>
      </c>
      <c r="O151" s="257" t="s">
        <v>29</v>
      </c>
      <c r="P151" s="209" t="s">
        <v>195</v>
      </c>
      <c r="Q151" s="209" t="s">
        <v>195</v>
      </c>
      <c r="R151" s="209" t="s">
        <v>195</v>
      </c>
      <c r="S151" s="209" t="s">
        <v>195</v>
      </c>
      <c r="T151" s="211">
        <f ca="1">'Cost of Service and Proposed $'!X126</f>
        <v>20588158.885394216</v>
      </c>
      <c r="X151" s="385">
        <f ca="1">(T151-AA151-AB151-AC151)*AD151/AE151</f>
        <v>19801967.976721026</v>
      </c>
      <c r="Y151" s="527"/>
      <c r="Z151" s="527"/>
      <c r="AA151" s="313">
        <v>0</v>
      </c>
      <c r="AB151" s="137">
        <v>0</v>
      </c>
      <c r="AC151" s="137">
        <v>0</v>
      </c>
      <c r="AD151" s="137">
        <f t="shared" si="36"/>
        <v>374086296.54652476</v>
      </c>
      <c r="AE151" s="137">
        <f>($T$11+$T$12+$T$27+$T$28)*$AE$77+($T$19+$T$20+$T$33+$T$34)*$AE$78</f>
        <v>388938519.60586137</v>
      </c>
    </row>
    <row r="152" spans="14:31">
      <c r="N152" s="387" t="s">
        <v>535</v>
      </c>
      <c r="O152" s="256" t="s">
        <v>29</v>
      </c>
      <c r="P152" s="139" t="s">
        <v>195</v>
      </c>
      <c r="Q152" s="212" t="s">
        <v>195</v>
      </c>
      <c r="R152" s="212" t="s">
        <v>195</v>
      </c>
      <c r="S152" s="140" t="s">
        <v>335</v>
      </c>
      <c r="T152" s="213">
        <f ca="1">(U152*(V152-W152)+W152*100)/100</f>
        <v>1037500.0350725293</v>
      </c>
      <c r="U152" s="325">
        <f>$U$86</f>
        <v>10</v>
      </c>
      <c r="V152" s="153">
        <f ca="1">T148*(1-SUM(V156:V157)/SUM(T148:T151))</f>
        <v>229596.21452710129</v>
      </c>
      <c r="W152" s="76" cm="1">
        <f t="array" aca="1" ref="W152" ca="1">SUMIFS(T$114:T$147,S$114:S$147,"Bill")/SUM(SUMIFS(T$114:T$147,S$114:S$147,{"Bill","Load Size kW","kW","kWh*"}))*(SUM(T$148:T$151)-SUM(W$156:W$157))</f>
        <v>1127267.1262442435</v>
      </c>
      <c r="X152" s="213">
        <f ca="1">(U152*(Y152-Z152)+Z152*100)/100</f>
        <v>901000.21527058352</v>
      </c>
      <c r="Y152" s="136">
        <f ca="1">X148*(1-SUM(Y156:Y157)/SUM(X148:X151))</f>
        <v>220259.90966991434</v>
      </c>
      <c r="Z152" s="136" cm="1">
        <f t="array" aca="1" ref="Z152" ca="1">SUMIFS(T$114:T$147,S$114:S$147,"Bill")/SUM(SUMIFS(T$114:T$147,S$114:S$147,{"Bill","Load Size kW","kW","kWh*"}))*(SUM(X$148:X$151)-SUM(Z$156:Z$157))</f>
        <v>976638.02700399118</v>
      </c>
    </row>
    <row r="153" spans="14:31">
      <c r="N153" s="386" t="s">
        <v>535</v>
      </c>
      <c r="O153" s="85" t="s">
        <v>29</v>
      </c>
      <c r="P153" s="95" t="s">
        <v>195</v>
      </c>
      <c r="Q153" s="208" t="s">
        <v>195</v>
      </c>
      <c r="R153" s="208" t="s">
        <v>195</v>
      </c>
      <c r="S153" s="95" t="s">
        <v>281</v>
      </c>
      <c r="T153" s="210">
        <f t="shared" ref="T153:T157" ca="1" si="37">(U153*(V153-W153)+W153*100)/100</f>
        <v>3368405.5132413888</v>
      </c>
      <c r="U153" s="325">
        <f t="shared" ref="U153:U157" si="38">$U$86</f>
        <v>10</v>
      </c>
      <c r="V153" s="76">
        <f ca="1">T149*(1-SUM(V156:V157)/SUM(T148:T151))</f>
        <v>11807851.201432891</v>
      </c>
      <c r="W153" s="76" cm="1">
        <f t="array" aca="1" ref="W153" ca="1">SUMIFS(T$114:T$147,S$114:S$147,"Load Size kW")/SUM(SUMIFS(T$114:T$147,S$114:S$147,{"Bill","Load Size kW","kW","kWh*"}))*(SUM(T$148:T$151)-SUM(W$156:W$157))</f>
        <v>2430689.3256645547</v>
      </c>
      <c r="X153" s="210">
        <f t="shared" ref="X153:X157" ca="1" si="39">(U153*(Y153-Z153)+Z153*100)/100</f>
        <v>2693200.7576478659</v>
      </c>
      <c r="Y153" s="136">
        <f ca="1">X149*(1-SUM(Y156:Y157)/SUM(X148:X151))</f>
        <v>7978973.1553710224</v>
      </c>
      <c r="Z153" s="136" cm="1">
        <f t="array" aca="1" ref="Z153" ca="1">SUMIFS(T$114:T$147,S$114:S$147,"Load Size kW")/SUM(SUMIFS(T$114:T$147,S$114:S$147,{"Bill","Load Size kW","kW","kWh*"}))*(SUM(X$148:X$151)-SUM(Z$156:Z$157))</f>
        <v>2105892.7134564039</v>
      </c>
    </row>
    <row r="154" spans="14:31">
      <c r="N154" s="386" t="s">
        <v>535</v>
      </c>
      <c r="O154" s="85" t="s">
        <v>29</v>
      </c>
      <c r="P154" s="95" t="s">
        <v>195</v>
      </c>
      <c r="Q154" s="208" t="s">
        <v>195</v>
      </c>
      <c r="R154" s="95" t="s">
        <v>195</v>
      </c>
      <c r="S154" s="95" t="s">
        <v>202</v>
      </c>
      <c r="T154" s="210">
        <f t="shared" ca="1" si="37"/>
        <v>7643297.056042756</v>
      </c>
      <c r="U154" s="325">
        <f t="shared" si="38"/>
        <v>10</v>
      </c>
      <c r="V154" s="76">
        <f ca="1">T150*(1-SUM(V156:V157)/SUM(T148:T151))</f>
        <v>3742692.4605871309</v>
      </c>
      <c r="W154" s="76" cm="1">
        <f t="array" aca="1" ref="W154" ca="1">SUMIFS(T$114:T$147,S$114:S$147,"kW")/SUM(SUMIFS(T$114:T$147,S$114:S$147,{"Bill","Load Size kW","kW","kWh*"}))*(SUM(T$148:T$151)-SUM(W$156:W$157))</f>
        <v>8076697.5666489359</v>
      </c>
      <c r="X154" s="210">
        <f t="shared" ca="1" si="39"/>
        <v>6656766.629682512</v>
      </c>
      <c r="Y154" s="136">
        <f ca="1">X150*(1-SUM(Y156:Y157)/SUM(X148:X151))</f>
        <v>3590499.542813166</v>
      </c>
      <c r="Z154" s="136" cm="1">
        <f t="array" aca="1" ref="Z154" ca="1">SUMIFS(T$114:T$147,S$114:S$147,"kW")/SUM(SUMIFS(T$114:T$147,S$114:S$147,{"Bill","Load Size kW","kW","kWh*"}))*(SUM(X$148:X$151)-SUM(Z$156:Z$157))</f>
        <v>6997462.9726679958</v>
      </c>
    </row>
    <row r="155" spans="14:31">
      <c r="N155" s="386" t="s">
        <v>535</v>
      </c>
      <c r="O155" s="85" t="s">
        <v>29</v>
      </c>
      <c r="P155" s="95" t="s">
        <v>195</v>
      </c>
      <c r="Q155" s="208" t="s">
        <v>195</v>
      </c>
      <c r="R155" s="95" t="s">
        <v>195</v>
      </c>
      <c r="S155" s="95" t="s">
        <v>6</v>
      </c>
      <c r="T155" s="210">
        <f t="shared" ca="1" si="37"/>
        <v>23974366.616105609</v>
      </c>
      <c r="U155" s="325">
        <f t="shared" si="38"/>
        <v>10</v>
      </c>
      <c r="V155" s="76">
        <f ca="1">T151*(1-SUM(V156:V157)/SUM(T148:T151))</f>
        <v>20243429.343915153</v>
      </c>
      <c r="W155" s="76" cm="1">
        <f t="array" aca="1" ref="W155" ca="1">SUMIFS(T$114:T$147,S$114:S$147,"kWh*")/SUM(SUMIFS(T$114:T$147,S$114:S$147,{"Bill","Load Size kW","kW","kWh*"}))*(SUM(T$148:T$151)-SUM(W$156:W$157))</f>
        <v>24388915.20190455</v>
      </c>
      <c r="X155" s="210">
        <f t="shared" ca="1" si="39"/>
        <v>20959015.151292596</v>
      </c>
      <c r="Y155" s="136">
        <f ca="1">X151*(1-SUM(Y156:Y157)/SUM(X148:X151))</f>
        <v>19420250.146039456</v>
      </c>
      <c r="Z155" s="136" cm="1">
        <f t="array" aca="1" ref="Z155" ca="1">SUMIFS(T$114:T$147,S$114:S$147,"kWh*")/SUM(SUMIFS(T$114:T$147,S$114:S$147,{"Bill","Load Size kW","kW","kWh*"}))*(SUM(X$148:X$151)-SUM(Z$156:Z$157))</f>
        <v>21129989.040765166</v>
      </c>
    </row>
    <row r="156" spans="14:31">
      <c r="N156" s="386" t="s">
        <v>535</v>
      </c>
      <c r="O156" s="85" t="s">
        <v>29</v>
      </c>
      <c r="P156" s="95" t="s">
        <v>195</v>
      </c>
      <c r="Q156" s="208" t="s">
        <v>195</v>
      </c>
      <c r="R156" s="95" t="s">
        <v>195</v>
      </c>
      <c r="S156" s="95" t="s">
        <v>201</v>
      </c>
      <c r="T156" s="210">
        <f t="shared" si="37"/>
        <v>85500.939999999988</v>
      </c>
      <c r="U156" s="325">
        <f t="shared" si="38"/>
        <v>10</v>
      </c>
      <c r="V156" s="76">
        <f>SUMIFS(T114:T147,S114:S147,S156)</f>
        <v>85500.939999999988</v>
      </c>
      <c r="W156" s="76">
        <f>SUMIFS(T114:T147,S114:S147,S156)</f>
        <v>85500.939999999988</v>
      </c>
      <c r="X156" s="210">
        <f t="shared" si="39"/>
        <v>85500.939999999988</v>
      </c>
      <c r="Y156" s="136">
        <f>SUMIFS(T118:T147,S118:S147,S156)</f>
        <v>85500.939999999988</v>
      </c>
      <c r="Z156" s="136">
        <f>SUMIFS(T118:T147,S118:S147,S156)</f>
        <v>85500.939999999988</v>
      </c>
    </row>
    <row r="157" spans="14:31">
      <c r="N157" s="388" t="s">
        <v>535</v>
      </c>
      <c r="O157" s="257" t="s">
        <v>29</v>
      </c>
      <c r="P157" s="147" t="s">
        <v>195</v>
      </c>
      <c r="Q157" s="209" t="s">
        <v>195</v>
      </c>
      <c r="R157" s="147" t="s">
        <v>195</v>
      </c>
      <c r="S157" s="147" t="s">
        <v>168</v>
      </c>
      <c r="T157" s="211">
        <f t="shared" si="37"/>
        <v>527951.86430669681</v>
      </c>
      <c r="U157" s="325">
        <f t="shared" si="38"/>
        <v>10</v>
      </c>
      <c r="V157" s="76">
        <f>SUMIFS(T114:T147,S114:S147,S157)</f>
        <v>527951.86430669681</v>
      </c>
      <c r="W157" s="76">
        <f>SUMIFS(T114:T147,S114:S147,S157)</f>
        <v>527951.86430669681</v>
      </c>
      <c r="X157" s="211">
        <f t="shared" si="39"/>
        <v>527951.86430669681</v>
      </c>
      <c r="Y157" s="137">
        <f>SUMIFS(T118:T147,S118:S147,S157)</f>
        <v>527951.86430669681</v>
      </c>
      <c r="Z157" s="137">
        <f>SUMIFS(T118:T147,S118:S147,S157)</f>
        <v>527951.86430669681</v>
      </c>
    </row>
    <row r="158" spans="14:31">
      <c r="N158" s="140" t="s">
        <v>506</v>
      </c>
      <c r="O158" s="140" t="s">
        <v>403</v>
      </c>
      <c r="P158" s="139" t="s">
        <v>195</v>
      </c>
      <c r="Q158" s="139" t="s">
        <v>176</v>
      </c>
      <c r="R158" s="139" t="s">
        <v>203</v>
      </c>
      <c r="S158" s="140" t="s">
        <v>335</v>
      </c>
      <c r="T158" s="315">
        <f t="shared" ref="T158:T179" ca="1" si="40">ROUND(X158*Y158/Z158/AA158*U158/100+AB158,V158)</f>
        <v>1293</v>
      </c>
      <c r="U158" s="429">
        <f>100+Summary!$R$11</f>
        <v>100.7</v>
      </c>
      <c r="V158" s="76">
        <v>2</v>
      </c>
      <c r="W158" s="327">
        <f ca="1">X158*Y158/Z158/AA158+AB158</f>
        <v>1284.0131388555142</v>
      </c>
      <c r="X158" s="153">
        <f ca="1">SUMIFS(T$152:T$157,S$152:S$157,S158)</f>
        <v>1037500.0350725293</v>
      </c>
      <c r="Y158" s="138">
        <f ca="1">SUMIFS(T$114:T$147,Q$114:Q$147,Q158,R$114:R$147,R158,S$114:S$147,S158)</f>
        <v>873560.33333333326</v>
      </c>
      <c r="Z158" s="138">
        <f ca="1">SUMIFS(T$114:T$147,S$114:S$147,S158)</f>
        <v>1065163.8833333333</v>
      </c>
      <c r="AA158" s="135">
        <f>SUMIFS(T$8:T$35,Q$8:Q$35,Q158,R$8:R$35,R158,S$8:S$35,S158)</f>
        <v>662.66666666666663</v>
      </c>
      <c r="AB158" s="303"/>
      <c r="AC158" s="135"/>
    </row>
    <row r="159" spans="14:31">
      <c r="N159" s="97" t="s">
        <v>506</v>
      </c>
      <c r="O159" s="97" t="s">
        <v>403</v>
      </c>
      <c r="P159" s="95" t="s">
        <v>195</v>
      </c>
      <c r="Q159" s="95" t="s">
        <v>176</v>
      </c>
      <c r="R159" s="95" t="s">
        <v>204</v>
      </c>
      <c r="S159" s="97" t="s">
        <v>335</v>
      </c>
      <c r="T159" s="316">
        <f t="shared" ca="1" si="40"/>
        <v>1562.82</v>
      </c>
      <c r="U159" s="429">
        <f>100+Summary!$R$11</f>
        <v>100.7</v>
      </c>
      <c r="V159" s="76">
        <v>2</v>
      </c>
      <c r="W159" s="327">
        <f t="shared" ref="W159:W179" ca="1" si="41">X159*Y159/Z159/AA159+AB159</f>
        <v>1551.9586532630719</v>
      </c>
      <c r="X159" s="153">
        <f t="shared" ref="X159:X173" ca="1" si="42">SUMIFS(T$152:T$157,S$152:S$157,S159)</f>
        <v>1037500.0350725293</v>
      </c>
      <c r="Y159" s="138">
        <f t="shared" ref="Y159:Y173" ca="1" si="43">SUMIFS(T$114:T$147,Q$114:Q$147,Q159,R$114:R$147,R159,S$114:S$147,S159)</f>
        <v>43020.18</v>
      </c>
      <c r="Z159" s="138">
        <f t="shared" ref="Z159:Z173" ca="1" si="44">SUMIFS(T$114:T$147,S$114:S$147,S159)</f>
        <v>1065163.8833333333</v>
      </c>
      <c r="AA159" s="135">
        <f t="shared" ref="AA159:AA173" si="45">SUMIFS(T$8:T$35,Q$8:Q$35,Q159,R$8:R$35,R159,S$8:S$35,S159)</f>
        <v>27</v>
      </c>
      <c r="AB159" s="303"/>
      <c r="AC159" s="135"/>
    </row>
    <row r="160" spans="14:31">
      <c r="N160" s="97" t="s">
        <v>506</v>
      </c>
      <c r="O160" s="97" t="s">
        <v>403</v>
      </c>
      <c r="P160" s="95" t="s">
        <v>195</v>
      </c>
      <c r="Q160" s="95" t="s">
        <v>176</v>
      </c>
      <c r="R160" s="95" t="s">
        <v>203</v>
      </c>
      <c r="S160" s="95" t="s">
        <v>281</v>
      </c>
      <c r="T160" s="316">
        <f t="shared" ca="1" si="40"/>
        <v>3.46</v>
      </c>
      <c r="U160" s="429">
        <f>100+Summary!$R$11</f>
        <v>100.7</v>
      </c>
      <c r="V160" s="76">
        <v>2</v>
      </c>
      <c r="W160" s="327">
        <f t="shared" ca="1" si="41"/>
        <v>3.4317937814036021</v>
      </c>
      <c r="X160" s="153">
        <f t="shared" ca="1" si="42"/>
        <v>3368405.5132413888</v>
      </c>
      <c r="Y160" s="138">
        <f t="shared" ca="1" si="43"/>
        <v>1916385.1136065573</v>
      </c>
      <c r="Z160" s="138">
        <f t="shared" ca="1" si="44"/>
        <v>2296778.129180328</v>
      </c>
      <c r="AA160" s="135">
        <f t="shared" si="45"/>
        <v>818967.99726775964</v>
      </c>
      <c r="AB160" s="303"/>
      <c r="AC160" s="135"/>
    </row>
    <row r="161" spans="14:31">
      <c r="N161" s="97" t="s">
        <v>506</v>
      </c>
      <c r="O161" s="97" t="s">
        <v>403</v>
      </c>
      <c r="P161" s="95" t="s">
        <v>195</v>
      </c>
      <c r="Q161" s="95" t="s">
        <v>176</v>
      </c>
      <c r="R161" s="95" t="s">
        <v>204</v>
      </c>
      <c r="S161" s="95" t="s">
        <v>281</v>
      </c>
      <c r="T161" s="316">
        <f t="shared" ca="1" si="40"/>
        <v>3.09</v>
      </c>
      <c r="U161" s="429">
        <f>100+Summary!$R$11</f>
        <v>100.7</v>
      </c>
      <c r="V161" s="76">
        <v>2</v>
      </c>
      <c r="W161" s="327">
        <f t="shared" ca="1" si="41"/>
        <v>3.0651491466382601</v>
      </c>
      <c r="X161" s="153">
        <f t="shared" ca="1" si="42"/>
        <v>3368405.5132413888</v>
      </c>
      <c r="Y161" s="138">
        <f t="shared" ca="1" si="43"/>
        <v>219874.27</v>
      </c>
      <c r="Z161" s="138">
        <f t="shared" ca="1" si="44"/>
        <v>2296778.129180328</v>
      </c>
      <c r="AA161" s="135">
        <f t="shared" si="45"/>
        <v>105203</v>
      </c>
      <c r="AB161" s="303"/>
      <c r="AC161" s="135"/>
    </row>
    <row r="162" spans="14:31">
      <c r="N162" s="97" t="s">
        <v>506</v>
      </c>
      <c r="O162" s="97" t="s">
        <v>403</v>
      </c>
      <c r="P162" s="95" t="s">
        <v>195</v>
      </c>
      <c r="Q162" s="95" t="s">
        <v>176</v>
      </c>
      <c r="R162" s="95" t="s">
        <v>195</v>
      </c>
      <c r="S162" s="95" t="s">
        <v>202</v>
      </c>
      <c r="T162" s="316">
        <f t="shared" ca="1" si="40"/>
        <v>9.08</v>
      </c>
      <c r="U162" s="429">
        <f>100+Summary!$R$11</f>
        <v>100.7</v>
      </c>
      <c r="V162" s="76">
        <v>2</v>
      </c>
      <c r="W162" s="327">
        <f t="shared" ca="1" si="41"/>
        <v>9.0136322882649971</v>
      </c>
      <c r="X162" s="153">
        <f t="shared" ca="1" si="42"/>
        <v>7643297.056042756</v>
      </c>
      <c r="Y162" s="138">
        <f t="shared" ca="1" si="43"/>
        <v>6513051</v>
      </c>
      <c r="Z162" s="138">
        <f t="shared" ca="1" si="44"/>
        <v>7631737.2735454552</v>
      </c>
      <c r="AA162" s="135">
        <f t="shared" si="45"/>
        <v>723672.33333333337</v>
      </c>
      <c r="AB162" s="303"/>
      <c r="AC162" s="135"/>
    </row>
    <row r="163" spans="14:31">
      <c r="N163" s="97" t="s">
        <v>506</v>
      </c>
      <c r="O163" s="97" t="s">
        <v>403</v>
      </c>
      <c r="P163" s="95" t="s">
        <v>195</v>
      </c>
      <c r="Q163" s="95" t="s">
        <v>176</v>
      </c>
      <c r="R163" s="95" t="s">
        <v>195</v>
      </c>
      <c r="S163" s="95" t="s">
        <v>207</v>
      </c>
      <c r="T163" s="316">
        <f t="shared" ca="1" si="40"/>
        <v>7.0290000000000005E-2</v>
      </c>
      <c r="U163" s="429">
        <f>100+Summary!$R$11</f>
        <v>100.7</v>
      </c>
      <c r="V163" s="76">
        <v>5</v>
      </c>
      <c r="W163" s="327">
        <f t="shared" ca="1" si="41"/>
        <v>6.9836622112030497E-2</v>
      </c>
      <c r="X163" s="153">
        <f ca="1">SUMIFS(T$152:T$157,S$152:S$157,"kWh")</f>
        <v>23974366.616105609</v>
      </c>
      <c r="Y163" s="138">
        <f ca="1">SUMIFS(T$114:T$147,Q$114:Q$147,Q163,R$114:R$147,R163,S$114:S$147,"kWh*")</f>
        <v>19873751.405686039</v>
      </c>
      <c r="Z163" s="138">
        <f ca="1">SUMIFS(T$114:T$147,S$114:S$147,"kWh*")</f>
        <v>23045284.495521922</v>
      </c>
      <c r="AA163" s="135">
        <f>SUMIFS(T$8:T$35,Q$8:Q$35,Q163,R$8:R$35,R163,S$8:S$35,"kWh*")</f>
        <v>322212281.80302668</v>
      </c>
      <c r="AB163" s="303">
        <f ca="1">(T12+T28)/(T11+T12+T27+T28)*(T97-T98)</f>
        <v>5.6709376921418248E-3</v>
      </c>
      <c r="AC163" s="135"/>
      <c r="AD163" s="303"/>
    </row>
    <row r="164" spans="14:31">
      <c r="N164" s="97" t="s">
        <v>506</v>
      </c>
      <c r="O164" s="97" t="s">
        <v>403</v>
      </c>
      <c r="P164" s="95" t="s">
        <v>195</v>
      </c>
      <c r="Q164" s="95" t="s">
        <v>176</v>
      </c>
      <c r="R164" s="95" t="s">
        <v>195</v>
      </c>
      <c r="S164" s="95" t="s">
        <v>208</v>
      </c>
      <c r="T164" s="316">
        <f t="shared" ca="1" si="40"/>
        <v>6.096E-2</v>
      </c>
      <c r="U164" s="429">
        <f>100+Summary!$R$11</f>
        <v>100.7</v>
      </c>
      <c r="V164" s="76">
        <v>5</v>
      </c>
      <c r="W164" s="327">
        <f t="shared" ca="1" si="41"/>
        <v>6.0506622112030499E-2</v>
      </c>
      <c r="X164" s="153">
        <f ca="1">SUMIFS(T$152:T$157,S$152:S$157,"kWh")</f>
        <v>23974366.616105609</v>
      </c>
      <c r="Y164" s="138">
        <f ca="1">SUMIFS(T$114:T$147,Q$114:Q$147,Q164,R$114:R$147,R164,S$114:S$147,"kWh*")</f>
        <v>19873751.405686039</v>
      </c>
      <c r="Z164" s="138">
        <f ca="1">SUMIFS(T$114:T$147,S$114:S$147,"kWh*")</f>
        <v>23045284.495521922</v>
      </c>
      <c r="AA164" s="135">
        <f>SUMIFS(T$8:T$35,Q$8:Q$35,Q164,R$8:R$35,R164,S$8:S$35,"kWh*")</f>
        <v>322212281.80302668</v>
      </c>
      <c r="AB164" s="303">
        <f ca="1">(T11+T27)/(T11+T12+T27+T28)*(T98-T97)</f>
        <v>-3.659062307858168E-3</v>
      </c>
      <c r="AC164" s="303">
        <f ca="1">X164*Y164/Z164/AA164*U164/100</f>
        <v>6.4614844210827888E-2</v>
      </c>
      <c r="AD164" s="303"/>
    </row>
    <row r="165" spans="14:31">
      <c r="N165" s="97" t="s">
        <v>506</v>
      </c>
      <c r="O165" s="97" t="s">
        <v>403</v>
      </c>
      <c r="P165" s="95" t="s">
        <v>195</v>
      </c>
      <c r="Q165" s="95" t="s">
        <v>176</v>
      </c>
      <c r="R165" s="95" t="s">
        <v>195</v>
      </c>
      <c r="S165" s="95" t="s">
        <v>201</v>
      </c>
      <c r="T165" s="316">
        <f t="shared" si="40"/>
        <v>0.56999999999999995</v>
      </c>
      <c r="U165" s="429">
        <f>100+Summary!$R$11</f>
        <v>100.7</v>
      </c>
      <c r="V165" s="76">
        <v>2</v>
      </c>
      <c r="W165" s="327">
        <f t="shared" si="41"/>
        <v>0.56999999999999984</v>
      </c>
      <c r="X165" s="153">
        <f t="shared" si="42"/>
        <v>85500.939999999988</v>
      </c>
      <c r="Y165" s="138">
        <f t="shared" si="43"/>
        <v>79984.299999999988</v>
      </c>
      <c r="Z165" s="138">
        <f t="shared" si="44"/>
        <v>85500.939999999988</v>
      </c>
      <c r="AA165" s="135">
        <f t="shared" si="45"/>
        <v>140323.33333333334</v>
      </c>
      <c r="AB165" s="303"/>
    </row>
    <row r="166" spans="14:31">
      <c r="N166" s="97" t="s">
        <v>506</v>
      </c>
      <c r="O166" s="97" t="s">
        <v>403</v>
      </c>
      <c r="P166" s="95" t="s">
        <v>195</v>
      </c>
      <c r="Q166" s="95" t="s">
        <v>177</v>
      </c>
      <c r="R166" s="95" t="s">
        <v>203</v>
      </c>
      <c r="S166" s="97" t="s">
        <v>335</v>
      </c>
      <c r="T166" s="316">
        <f t="shared" ca="1" si="40"/>
        <v>1323.53</v>
      </c>
      <c r="U166" s="429">
        <f>100+Summary!$R$11</f>
        <v>100.7</v>
      </c>
      <c r="V166" s="76">
        <v>2</v>
      </c>
      <c r="W166" s="327">
        <f t="shared" ca="1" si="41"/>
        <v>1314.3249073980389</v>
      </c>
      <c r="X166" s="153">
        <f t="shared" ca="1" si="42"/>
        <v>1037500.0350725293</v>
      </c>
      <c r="Y166" s="138">
        <f t="shared" ca="1" si="43"/>
        <v>129089.73</v>
      </c>
      <c r="Z166" s="138">
        <f t="shared" ca="1" si="44"/>
        <v>1065163.8833333333</v>
      </c>
      <c r="AA166" s="135">
        <f t="shared" si="45"/>
        <v>95.666666666666671</v>
      </c>
      <c r="AB166" s="303"/>
    </row>
    <row r="167" spans="14:31">
      <c r="N167" s="97" t="s">
        <v>506</v>
      </c>
      <c r="O167" s="97" t="s">
        <v>403</v>
      </c>
      <c r="P167" s="95" t="s">
        <v>195</v>
      </c>
      <c r="Q167" s="95" t="s">
        <v>177</v>
      </c>
      <c r="R167" s="95" t="s">
        <v>204</v>
      </c>
      <c r="S167" s="97" t="s">
        <v>335</v>
      </c>
      <c r="T167" s="316">
        <f t="shared" ca="1" si="40"/>
        <v>1593.36</v>
      </c>
      <c r="U167" s="429">
        <f>100+Summary!$R$11</f>
        <v>100.7</v>
      </c>
      <c r="V167" s="76">
        <v>2</v>
      </c>
      <c r="W167" s="327">
        <f t="shared" ca="1" si="41"/>
        <v>1582.2801620911184</v>
      </c>
      <c r="X167" s="153">
        <f t="shared" ca="1" si="42"/>
        <v>1037500.0350725293</v>
      </c>
      <c r="Y167" s="138">
        <f t="shared" ca="1" si="43"/>
        <v>19493.64</v>
      </c>
      <c r="Z167" s="138">
        <f t="shared" ca="1" si="44"/>
        <v>1065163.8833333333</v>
      </c>
      <c r="AA167" s="135">
        <f t="shared" si="45"/>
        <v>12</v>
      </c>
      <c r="AB167" s="303"/>
    </row>
    <row r="168" spans="14:31">
      <c r="N168" s="97" t="s">
        <v>506</v>
      </c>
      <c r="O168" s="97" t="s">
        <v>403</v>
      </c>
      <c r="P168" s="95" t="s">
        <v>195</v>
      </c>
      <c r="Q168" s="95" t="s">
        <v>177</v>
      </c>
      <c r="R168" s="95" t="s">
        <v>203</v>
      </c>
      <c r="S168" s="95" t="s">
        <v>281</v>
      </c>
      <c r="T168" s="316">
        <f t="shared" ca="1" si="40"/>
        <v>1.73</v>
      </c>
      <c r="U168" s="429">
        <f>100+Summary!$R$11</f>
        <v>100.7</v>
      </c>
      <c r="V168" s="76">
        <v>2</v>
      </c>
      <c r="W168" s="327">
        <f t="shared" ca="1" si="41"/>
        <v>1.7158968907018013</v>
      </c>
      <c r="X168" s="153">
        <f t="shared" ca="1" si="42"/>
        <v>3368405.5132413888</v>
      </c>
      <c r="Y168" s="138">
        <f t="shared" ca="1" si="43"/>
        <v>108288.98557377049</v>
      </c>
      <c r="Z168" s="138">
        <f t="shared" ca="1" si="44"/>
        <v>2296778.129180328</v>
      </c>
      <c r="AA168" s="135">
        <f t="shared" si="45"/>
        <v>92554.688524590165</v>
      </c>
      <c r="AB168" s="303"/>
    </row>
    <row r="169" spans="14:31">
      <c r="N169" s="97" t="s">
        <v>506</v>
      </c>
      <c r="O169" s="97" t="s">
        <v>403</v>
      </c>
      <c r="P169" s="95" t="s">
        <v>195</v>
      </c>
      <c r="Q169" s="95" t="s">
        <v>177</v>
      </c>
      <c r="R169" s="95" t="s">
        <v>204</v>
      </c>
      <c r="S169" s="95" t="s">
        <v>281</v>
      </c>
      <c r="T169" s="316">
        <f t="shared" ca="1" si="40"/>
        <v>1.42</v>
      </c>
      <c r="U169" s="429">
        <f>100+Summary!$R$11</f>
        <v>100.7</v>
      </c>
      <c r="V169" s="76">
        <v>2</v>
      </c>
      <c r="W169" s="327">
        <f t="shared" ca="1" si="41"/>
        <v>1.4079153974989136</v>
      </c>
      <c r="X169" s="153">
        <f t="shared" ca="1" si="42"/>
        <v>3368405.5132413888</v>
      </c>
      <c r="Y169" s="138">
        <f t="shared" ca="1" si="43"/>
        <v>52229.759999999995</v>
      </c>
      <c r="Z169" s="138">
        <f t="shared" ca="1" si="44"/>
        <v>2296778.129180328</v>
      </c>
      <c r="AA169" s="135">
        <f t="shared" si="45"/>
        <v>54406</v>
      </c>
      <c r="AB169" s="303"/>
    </row>
    <row r="170" spans="14:31">
      <c r="N170" s="97" t="s">
        <v>506</v>
      </c>
      <c r="O170" s="97" t="s">
        <v>403</v>
      </c>
      <c r="P170" s="95" t="s">
        <v>195</v>
      </c>
      <c r="Q170" s="95" t="s">
        <v>177</v>
      </c>
      <c r="R170" s="95" t="s">
        <v>195</v>
      </c>
      <c r="S170" s="95" t="s">
        <v>202</v>
      </c>
      <c r="T170" s="316">
        <f t="shared" ca="1" si="40"/>
        <v>9.16</v>
      </c>
      <c r="U170" s="429">
        <f>100+Summary!$R$11</f>
        <v>100.7</v>
      </c>
      <c r="V170" s="76">
        <v>2</v>
      </c>
      <c r="W170" s="327">
        <f t="shared" ca="1" si="41"/>
        <v>9.0937534641606863</v>
      </c>
      <c r="X170" s="153">
        <f t="shared" ca="1" si="42"/>
        <v>7643297.056042756</v>
      </c>
      <c r="Y170" s="138">
        <f t="shared" ca="1" si="43"/>
        <v>1118686.2735454545</v>
      </c>
      <c r="Z170" s="138">
        <f t="shared" ca="1" si="44"/>
        <v>7631737.2735454552</v>
      </c>
      <c r="AA170" s="135">
        <f t="shared" si="45"/>
        <v>123203.33409090909</v>
      </c>
      <c r="AB170" s="303"/>
    </row>
    <row r="171" spans="14:31">
      <c r="N171" s="97" t="s">
        <v>506</v>
      </c>
      <c r="O171" s="97" t="s">
        <v>403</v>
      </c>
      <c r="P171" s="95" t="s">
        <v>195</v>
      </c>
      <c r="Q171" s="95" t="s">
        <v>177</v>
      </c>
      <c r="R171" s="95" t="s">
        <v>195</v>
      </c>
      <c r="S171" s="95" t="s">
        <v>207</v>
      </c>
      <c r="T171" s="316">
        <f t="shared" ca="1" si="40"/>
        <v>6.9629999999999997E-2</v>
      </c>
      <c r="U171" s="429">
        <f>100+Summary!$R$11</f>
        <v>100.7</v>
      </c>
      <c r="V171" s="76">
        <v>5</v>
      </c>
      <c r="W171" s="327">
        <f t="shared" ca="1" si="41"/>
        <v>6.9184855217332253E-2</v>
      </c>
      <c r="X171" s="153">
        <f ca="1">SUMIFS(T$152:T$157,S$152:S$157,"kWh")</f>
        <v>23974366.616105609</v>
      </c>
      <c r="Y171" s="138">
        <f ca="1">SUMIFS(T$114:T$147,Q$114:Q$147,Q171,R$114:R$147,R171,S$114:S$147,"kWh*")</f>
        <v>3171533.0898358803</v>
      </c>
      <c r="Z171" s="138">
        <f ca="1">SUMIFS(T$114:T$147,S$114:S$147,"kWh*")</f>
        <v>23045284.495521922</v>
      </c>
      <c r="AA171" s="135">
        <f>SUMIFS(T$8:T$35,Q$8:Q$35,Q171,R$8:R$35,R171,S$8:S$35,"kWh*")</f>
        <v>51874014.743498094</v>
      </c>
      <c r="AB171" s="303">
        <f ca="1">(T20+T34)/(T19+T20+T33+T34)*(T105-T106)</f>
        <v>5.5808515165408305E-3</v>
      </c>
      <c r="AD171" s="303"/>
    </row>
    <row r="172" spans="14:31">
      <c r="N172" s="97" t="s">
        <v>506</v>
      </c>
      <c r="O172" s="97" t="s">
        <v>403</v>
      </c>
      <c r="P172" s="95" t="s">
        <v>195</v>
      </c>
      <c r="Q172" s="95" t="s">
        <v>177</v>
      </c>
      <c r="R172" s="95" t="s">
        <v>195</v>
      </c>
      <c r="S172" s="95" t="s">
        <v>208</v>
      </c>
      <c r="T172" s="316">
        <f t="shared" ca="1" si="40"/>
        <v>6.0299999999999999E-2</v>
      </c>
      <c r="U172" s="429">
        <f>100+Summary!$R$11</f>
        <v>100.7</v>
      </c>
      <c r="V172" s="76">
        <v>5</v>
      </c>
      <c r="W172" s="327">
        <f t="shared" ca="1" si="41"/>
        <v>5.9854855217332241E-2</v>
      </c>
      <c r="X172" s="153">
        <f ca="1">SUMIFS(T$152:T$157,S$152:S$157,"kWh")</f>
        <v>23974366.616105609</v>
      </c>
      <c r="Y172" s="138">
        <f ca="1">SUMIFS(T$114:T$147,Q$114:Q$147,Q172,R$114:R$147,R172,S$114:S$147,"kWh*")</f>
        <v>3171533.0898358803</v>
      </c>
      <c r="Z172" s="138">
        <f ca="1">SUMIFS(T$114:T$147,S$114:S$147,"kWh*")</f>
        <v>23045284.495521922</v>
      </c>
      <c r="AA172" s="135">
        <f>SUMIFS(T$8:T$35,Q$8:Q$35,Q172,R$8:R$35,R172,S$8:S$35,"kWh*")</f>
        <v>51874014.743498094</v>
      </c>
      <c r="AB172" s="303">
        <f ca="1">(T19+T33)/(T19+T20+T33+T34)*(T106-T105)</f>
        <v>-3.7491484834591758E-3</v>
      </c>
      <c r="AC172" s="303">
        <f ca="1">X172*Y172/Z172/AA172*U172/100</f>
        <v>6.4049231726696951E-2</v>
      </c>
      <c r="AD172" s="303"/>
    </row>
    <row r="173" spans="14:31">
      <c r="N173" s="97" t="s">
        <v>506</v>
      </c>
      <c r="O173" s="97" t="s">
        <v>403</v>
      </c>
      <c r="P173" s="95" t="s">
        <v>195</v>
      </c>
      <c r="Q173" s="95" t="s">
        <v>177</v>
      </c>
      <c r="R173" s="95" t="s">
        <v>195</v>
      </c>
      <c r="S173" s="95" t="s">
        <v>201</v>
      </c>
      <c r="T173" s="316">
        <f t="shared" si="40"/>
        <v>0.56000000000000005</v>
      </c>
      <c r="U173" s="578">
        <f>100+Summary!$R$11</f>
        <v>100.7</v>
      </c>
      <c r="V173" s="523">
        <v>2</v>
      </c>
      <c r="W173" s="524">
        <f t="shared" si="41"/>
        <v>0.56000000000000005</v>
      </c>
      <c r="X173" s="156">
        <f t="shared" si="42"/>
        <v>85500.939999999988</v>
      </c>
      <c r="Y173" s="346">
        <f t="shared" si="43"/>
        <v>5516.64</v>
      </c>
      <c r="Z173" s="346">
        <f t="shared" si="44"/>
        <v>85500.939999999988</v>
      </c>
      <c r="AA173" s="346">
        <f t="shared" si="45"/>
        <v>9851.1428571428569</v>
      </c>
      <c r="AB173" s="395"/>
      <c r="AC173" s="395"/>
      <c r="AD173" s="395"/>
      <c r="AE173" s="395"/>
    </row>
    <row r="174" spans="14:31">
      <c r="N174" s="97" t="s">
        <v>506</v>
      </c>
      <c r="O174" s="97" t="s">
        <v>403</v>
      </c>
      <c r="P174" s="95" t="s">
        <v>195</v>
      </c>
      <c r="Q174" s="97" t="s">
        <v>509</v>
      </c>
      <c r="R174" s="97" t="s">
        <v>195</v>
      </c>
      <c r="S174" s="97" t="s">
        <v>335</v>
      </c>
      <c r="T174" s="316">
        <f t="shared" ca="1" si="40"/>
        <v>4199.93</v>
      </c>
      <c r="U174" s="639">
        <v>100</v>
      </c>
      <c r="V174" s="76">
        <v>2</v>
      </c>
      <c r="W174" s="327">
        <f t="shared" ca="1" si="41"/>
        <v>4199.93</v>
      </c>
      <c r="X174" s="153">
        <f ca="1">'Sch.48T-DF'!O57*AA174</f>
        <v>3348744.1866666665</v>
      </c>
      <c r="Y174" s="135">
        <v>1</v>
      </c>
      <c r="Z174" s="135">
        <v>1</v>
      </c>
      <c r="AA174" s="135">
        <f>SUMIFS(T$8:T$35,S$8:S$35,S174)</f>
        <v>797.33333333333326</v>
      </c>
      <c r="AB174" s="303"/>
      <c r="AC174" s="135"/>
    </row>
    <row r="175" spans="14:31">
      <c r="N175" s="97" t="s">
        <v>506</v>
      </c>
      <c r="O175" s="97" t="s">
        <v>403</v>
      </c>
      <c r="P175" s="95" t="s">
        <v>195</v>
      </c>
      <c r="Q175" s="97" t="s">
        <v>509</v>
      </c>
      <c r="R175" s="97" t="s">
        <v>195</v>
      </c>
      <c r="S175" s="95" t="s">
        <v>281</v>
      </c>
      <c r="T175" s="316">
        <f t="shared" ca="1" si="40"/>
        <v>2.5299999999999998</v>
      </c>
      <c r="U175" s="429">
        <f>100+Summary!$R$11</f>
        <v>100.7</v>
      </c>
      <c r="V175" s="76">
        <v>2</v>
      </c>
      <c r="W175" s="327">
        <f t="shared" ca="1" si="41"/>
        <v>2.5143507501186662</v>
      </c>
      <c r="X175" s="153">
        <f ca="1">X153</f>
        <v>2693200.7576478659</v>
      </c>
      <c r="Y175" s="135">
        <v>1</v>
      </c>
      <c r="Z175" s="135">
        <v>1</v>
      </c>
      <c r="AA175" s="135">
        <f>SUMIFS(T$8:T$35,S$8:S$35,S175)</f>
        <v>1071131.6857923497</v>
      </c>
      <c r="AB175" s="303"/>
      <c r="AC175" s="135"/>
      <c r="AD175" s="544"/>
    </row>
    <row r="176" spans="14:31">
      <c r="N176" s="97" t="s">
        <v>506</v>
      </c>
      <c r="O176" s="97" t="s">
        <v>403</v>
      </c>
      <c r="P176" s="95" t="s">
        <v>195</v>
      </c>
      <c r="Q176" s="97" t="s">
        <v>509</v>
      </c>
      <c r="R176" s="95" t="s">
        <v>195</v>
      </c>
      <c r="S176" s="95" t="s">
        <v>202</v>
      </c>
      <c r="T176" s="316">
        <f t="shared" ca="1" si="40"/>
        <v>7.92</v>
      </c>
      <c r="U176" s="429">
        <f>100+Summary!$R$11</f>
        <v>100.7</v>
      </c>
      <c r="V176" s="76">
        <v>2</v>
      </c>
      <c r="W176" s="327">
        <f t="shared" ca="1" si="41"/>
        <v>7.8603824454290336</v>
      </c>
      <c r="X176" s="153">
        <f ca="1">X154</f>
        <v>6656766.629682512</v>
      </c>
      <c r="Y176" s="135">
        <v>1</v>
      </c>
      <c r="Z176" s="135">
        <v>1</v>
      </c>
      <c r="AA176" s="135">
        <f>SUMIFS(T$8:T$35,S$8:S$35,S176)</f>
        <v>846875.66742424248</v>
      </c>
      <c r="AB176" s="303"/>
      <c r="AC176" s="135"/>
      <c r="AD176" s="544"/>
    </row>
    <row r="177" spans="14:30">
      <c r="N177" s="97" t="s">
        <v>506</v>
      </c>
      <c r="O177" s="97" t="s">
        <v>403</v>
      </c>
      <c r="P177" s="95" t="s">
        <v>195</v>
      </c>
      <c r="Q177" s="97" t="s">
        <v>509</v>
      </c>
      <c r="R177" s="95" t="s">
        <v>195</v>
      </c>
      <c r="S177" s="95" t="s">
        <v>207</v>
      </c>
      <c r="T177" s="316">
        <f t="shared" ca="1" si="40"/>
        <v>6.2080000000000003E-2</v>
      </c>
      <c r="U177" s="429">
        <f>100+Summary!$R$11</f>
        <v>100.7</v>
      </c>
      <c r="V177" s="76">
        <v>5</v>
      </c>
      <c r="W177" s="327">
        <f t="shared" ca="1" si="41"/>
        <v>6.1685665344923431E-2</v>
      </c>
      <c r="X177" s="153">
        <f ca="1">X155</f>
        <v>20959015.151292596</v>
      </c>
      <c r="Y177" s="135">
        <v>1</v>
      </c>
      <c r="Z177" s="135">
        <v>1</v>
      </c>
      <c r="AA177" s="135">
        <f>SUMIFS(T$8:T$35,S$8:S$35,"kWh*")</f>
        <v>374086296.54652482</v>
      </c>
      <c r="AB177" s="303">
        <f>(T$12+T$20+T$28+T$34)/(T$11+T$12+T$19+T$20+T$27+T$28+T$33+T$34)*(T$41-T$42)</f>
        <v>5.6584455702853118E-3</v>
      </c>
      <c r="AC177" s="135"/>
      <c r="AD177" s="544"/>
    </row>
    <row r="178" spans="14:30">
      <c r="N178" s="97" t="s">
        <v>506</v>
      </c>
      <c r="O178" s="97" t="s">
        <v>403</v>
      </c>
      <c r="P178" s="95" t="s">
        <v>195</v>
      </c>
      <c r="Q178" s="97" t="s">
        <v>509</v>
      </c>
      <c r="R178" s="95" t="s">
        <v>195</v>
      </c>
      <c r="S178" s="95" t="s">
        <v>208</v>
      </c>
      <c r="T178" s="316">
        <f t="shared" ca="1" si="40"/>
        <v>5.2749999999999998E-2</v>
      </c>
      <c r="U178" s="429">
        <f>100+Summary!$R$11</f>
        <v>100.7</v>
      </c>
      <c r="V178" s="76">
        <v>5</v>
      </c>
      <c r="W178" s="327">
        <f t="shared" ca="1" si="41"/>
        <v>5.2355665344923433E-2</v>
      </c>
      <c r="X178" s="153">
        <f ca="1">X155</f>
        <v>20959015.151292596</v>
      </c>
      <c r="Y178" s="135">
        <v>1</v>
      </c>
      <c r="Z178" s="135">
        <v>1</v>
      </c>
      <c r="AA178" s="135">
        <f>SUMIFS(T$8:T$35,S$8:S$35,"kWh*")</f>
        <v>374086296.54652482</v>
      </c>
      <c r="AB178" s="303">
        <f>(T$11+T$19+T$27+T$33)/(T$11+T$12+T$19+T$20+T$27+T$28+T$33+T$34)*(T$42-T$41)</f>
        <v>-3.6715544297146858E-3</v>
      </c>
      <c r="AC178" s="303">
        <f ca="1">ROUND(X178/AA178,5)</f>
        <v>5.6030000000000003E-2</v>
      </c>
    </row>
    <row r="179" spans="14:30">
      <c r="N179" s="145" t="s">
        <v>506</v>
      </c>
      <c r="O179" s="145" t="s">
        <v>403</v>
      </c>
      <c r="P179" s="147" t="s">
        <v>195</v>
      </c>
      <c r="Q179" s="145" t="s">
        <v>509</v>
      </c>
      <c r="R179" s="147" t="s">
        <v>195</v>
      </c>
      <c r="S179" s="147" t="s">
        <v>201</v>
      </c>
      <c r="T179" s="317">
        <f t="shared" si="40"/>
        <v>0.56999999999999995</v>
      </c>
      <c r="U179" s="429">
        <f>100+Summary!$R$11</f>
        <v>100.7</v>
      </c>
      <c r="V179" s="76">
        <v>2</v>
      </c>
      <c r="W179" s="327">
        <f t="shared" si="41"/>
        <v>0.56934402016194485</v>
      </c>
      <c r="X179" s="153">
        <f>X156</f>
        <v>85500.939999999988</v>
      </c>
      <c r="Y179" s="135">
        <v>1</v>
      </c>
      <c r="Z179" s="135">
        <v>1</v>
      </c>
      <c r="AA179" s="135">
        <f>SUMIFS(T$8:T$35,S$8:S$35,S179)</f>
        <v>150174.47619047618</v>
      </c>
      <c r="AB179" s="303"/>
      <c r="AC179" s="135"/>
    </row>
    <row r="180" spans="14:30">
      <c r="N180" s="140" t="s">
        <v>506</v>
      </c>
      <c r="O180" s="140" t="s">
        <v>29</v>
      </c>
      <c r="P180" s="139" t="s">
        <v>5</v>
      </c>
      <c r="Q180" s="139" t="s">
        <v>176</v>
      </c>
      <c r="R180" s="139" t="s">
        <v>203</v>
      </c>
      <c r="S180" s="140" t="s">
        <v>335</v>
      </c>
      <c r="T180" s="213">
        <f t="shared" ref="T180:T213" ca="1" si="46">IF(S180="Unbilled",SUMIFS(T$114:T$147,P$114:P$147,P180,S$114:S$147,S180),SUMIFS(T$158:T$173,Q$158:Q$173,Q180,R$158:R$173,R180,S$158:S$173,S180)*V180)</f>
        <v>457290.99999999994</v>
      </c>
      <c r="U180" s="76">
        <f t="shared" ref="U180:U213" ca="1" si="47">IF(S180="Unbilled",SUMIFS(T$114:T$147,P$114:P$147,P180,S$114:S$147,S180),SUMIFS(W$158:W$173,Q$158:Q$173,Q180,R$158:R$173,R180,S$158:S$173,S180)*V180)</f>
        <v>454112.64677523344</v>
      </c>
      <c r="V180" s="135">
        <f t="shared" ref="V180:V213" si="48">SUMIFS(T$8:T$35,P$8:P$35,P180,Q$8:Q$35,Q180,R$8:R$35,R180,S$8:S$35,S180)</f>
        <v>353.66666666666663</v>
      </c>
      <c r="W180" s="76">
        <f t="shared" ref="W180:W213" ca="1" si="49">IF(S180="Unbilled",SUMIFS(T$114:T$147,P$114:P$147,P180,S$114:S$147,S180),SUMIFS(W$174:W$179,S$174:S$179,S180)*V180)</f>
        <v>1485375.2433333332</v>
      </c>
      <c r="Y180" s="135"/>
      <c r="Z180" s="135"/>
    </row>
    <row r="181" spans="14:30">
      <c r="N181" s="97" t="s">
        <v>506</v>
      </c>
      <c r="O181" s="97" t="s">
        <v>29</v>
      </c>
      <c r="P181" s="95" t="s">
        <v>5</v>
      </c>
      <c r="Q181" s="95" t="s">
        <v>176</v>
      </c>
      <c r="R181" s="95" t="s">
        <v>204</v>
      </c>
      <c r="S181" s="97" t="s">
        <v>335</v>
      </c>
      <c r="T181" s="210">
        <f t="shared" ca="1" si="46"/>
        <v>0</v>
      </c>
      <c r="U181" s="76">
        <f t="shared" ca="1" si="47"/>
        <v>0</v>
      </c>
      <c r="V181" s="135">
        <f t="shared" si="48"/>
        <v>0</v>
      </c>
      <c r="W181" s="76">
        <f t="shared" ca="1" si="49"/>
        <v>0</v>
      </c>
      <c r="Y181" s="135"/>
      <c r="Z181" s="135"/>
    </row>
    <row r="182" spans="14:30">
      <c r="N182" s="97" t="s">
        <v>506</v>
      </c>
      <c r="O182" s="97" t="s">
        <v>29</v>
      </c>
      <c r="P182" s="95" t="s">
        <v>5</v>
      </c>
      <c r="Q182" s="95" t="s">
        <v>176</v>
      </c>
      <c r="R182" s="95" t="s">
        <v>203</v>
      </c>
      <c r="S182" s="95" t="s">
        <v>281</v>
      </c>
      <c r="T182" s="210">
        <f t="shared" ca="1" si="46"/>
        <v>1432353.4905464482</v>
      </c>
      <c r="U182" s="76">
        <f t="shared" ca="1" si="47"/>
        <v>1420676.8212800706</v>
      </c>
      <c r="V182" s="135">
        <f t="shared" si="48"/>
        <v>413974.99726775958</v>
      </c>
      <c r="W182" s="76">
        <f t="shared" ca="1" si="49"/>
        <v>1040878.344910564</v>
      </c>
      <c r="Y182" s="135"/>
      <c r="Z182" s="135"/>
    </row>
    <row r="183" spans="14:30">
      <c r="N183" s="97" t="s">
        <v>506</v>
      </c>
      <c r="O183" s="97" t="s">
        <v>29</v>
      </c>
      <c r="P183" s="95" t="s">
        <v>5</v>
      </c>
      <c r="Q183" s="95" t="s">
        <v>176</v>
      </c>
      <c r="R183" s="95" t="s">
        <v>204</v>
      </c>
      <c r="S183" s="95" t="s">
        <v>281</v>
      </c>
      <c r="T183" s="210">
        <f t="shared" ca="1" si="46"/>
        <v>0</v>
      </c>
      <c r="U183" s="76">
        <f t="shared" ca="1" si="47"/>
        <v>0</v>
      </c>
      <c r="V183" s="135">
        <f t="shared" si="48"/>
        <v>0</v>
      </c>
      <c r="W183" s="76">
        <f t="shared" ca="1" si="49"/>
        <v>0</v>
      </c>
      <c r="Y183" s="303"/>
      <c r="Z183" s="135"/>
    </row>
    <row r="184" spans="14:30">
      <c r="N184" s="97" t="s">
        <v>506</v>
      </c>
      <c r="O184" s="97" t="s">
        <v>29</v>
      </c>
      <c r="P184" s="95" t="s">
        <v>5</v>
      </c>
      <c r="Q184" s="95" t="s">
        <v>176</v>
      </c>
      <c r="R184" s="95" t="s">
        <v>195</v>
      </c>
      <c r="S184" s="95" t="s">
        <v>202</v>
      </c>
      <c r="T184" s="210">
        <f t="shared" ca="1" si="46"/>
        <v>2650264.3466666671</v>
      </c>
      <c r="U184" s="76">
        <f t="shared" ca="1" si="47"/>
        <v>2630892.9832105953</v>
      </c>
      <c r="V184" s="135">
        <f t="shared" si="48"/>
        <v>291879.33333333337</v>
      </c>
      <c r="W184" s="76">
        <f t="shared" ca="1" si="49"/>
        <v>2294283.1879168632</v>
      </c>
      <c r="Y184" s="303"/>
      <c r="Z184" s="135"/>
    </row>
    <row r="185" spans="14:30">
      <c r="N185" s="97" t="s">
        <v>506</v>
      </c>
      <c r="O185" s="97" t="s">
        <v>29</v>
      </c>
      <c r="P185" s="95" t="s">
        <v>5</v>
      </c>
      <c r="Q185" s="95" t="s">
        <v>176</v>
      </c>
      <c r="R185" s="95" t="s">
        <v>195</v>
      </c>
      <c r="S185" s="95" t="s">
        <v>207</v>
      </c>
      <c r="T185" s="210">
        <f t="shared" ca="1" si="46"/>
        <v>3454988.9592079837</v>
      </c>
      <c r="U185" s="76">
        <f t="shared" ca="1" si="47"/>
        <v>3432703.9172776425</v>
      </c>
      <c r="V185" s="135">
        <f t="shared" si="48"/>
        <v>49153349.825124249</v>
      </c>
      <c r="W185" s="76">
        <f t="shared" ca="1" si="49"/>
        <v>3032057.087894565</v>
      </c>
      <c r="Y185" s="303"/>
      <c r="Z185" s="135"/>
    </row>
    <row r="186" spans="14:30">
      <c r="N186" s="97" t="s">
        <v>506</v>
      </c>
      <c r="O186" s="97" t="s">
        <v>29</v>
      </c>
      <c r="P186" s="95" t="s">
        <v>5</v>
      </c>
      <c r="Q186" s="95" t="s">
        <v>176</v>
      </c>
      <c r="R186" s="95" t="s">
        <v>195</v>
      </c>
      <c r="S186" s="95" t="s">
        <v>208</v>
      </c>
      <c r="T186" s="210">
        <f t="shared" ca="1" si="46"/>
        <v>4527476.5721919667</v>
      </c>
      <c r="U186" s="76">
        <f t="shared" ca="1" si="47"/>
        <v>4493804.3647422977</v>
      </c>
      <c r="V186" s="135">
        <f t="shared" si="48"/>
        <v>74269628.808923334</v>
      </c>
      <c r="W186" s="76">
        <f t="shared" ca="1" si="49"/>
        <v>3888435.8312116745</v>
      </c>
      <c r="Y186" s="303"/>
      <c r="Z186" s="135"/>
    </row>
    <row r="187" spans="14:30">
      <c r="N187" s="97" t="s">
        <v>506</v>
      </c>
      <c r="O187" s="97" t="s">
        <v>29</v>
      </c>
      <c r="P187" s="95" t="s">
        <v>5</v>
      </c>
      <c r="Q187" s="95" t="s">
        <v>176</v>
      </c>
      <c r="R187" s="95" t="s">
        <v>195</v>
      </c>
      <c r="S187" s="95" t="s">
        <v>201</v>
      </c>
      <c r="T187" s="210">
        <f t="shared" si="46"/>
        <v>17939.23</v>
      </c>
      <c r="U187" s="76">
        <f t="shared" si="47"/>
        <v>17939.229999999996</v>
      </c>
      <c r="V187" s="135">
        <f t="shared" si="48"/>
        <v>31472.333333333332</v>
      </c>
      <c r="W187" s="76">
        <f t="shared" si="49"/>
        <v>17918.58478387678</v>
      </c>
      <c r="Y187" s="303"/>
      <c r="Z187" s="135"/>
    </row>
    <row r="188" spans="14:30">
      <c r="N188" s="97" t="s">
        <v>506</v>
      </c>
      <c r="O188" s="97" t="s">
        <v>29</v>
      </c>
      <c r="P188" s="95" t="s">
        <v>5</v>
      </c>
      <c r="Q188" s="95" t="s">
        <v>177</v>
      </c>
      <c r="R188" s="95" t="s">
        <v>203</v>
      </c>
      <c r="S188" s="97" t="s">
        <v>335</v>
      </c>
      <c r="T188" s="210">
        <f t="shared" ca="1" si="46"/>
        <v>110735.34333333334</v>
      </c>
      <c r="U188" s="76">
        <f t="shared" ca="1" si="47"/>
        <v>109965.18391896927</v>
      </c>
      <c r="V188" s="135">
        <f t="shared" si="48"/>
        <v>83.666666666666671</v>
      </c>
      <c r="W188" s="76">
        <f t="shared" ca="1" si="49"/>
        <v>351394.14333333337</v>
      </c>
      <c r="Y188" s="303"/>
      <c r="Z188" s="135"/>
    </row>
    <row r="189" spans="14:30">
      <c r="N189" s="97" t="s">
        <v>506</v>
      </c>
      <c r="O189" s="97" t="s">
        <v>29</v>
      </c>
      <c r="P189" s="95" t="s">
        <v>5</v>
      </c>
      <c r="Q189" s="95" t="s">
        <v>177</v>
      </c>
      <c r="R189" s="95" t="s">
        <v>204</v>
      </c>
      <c r="S189" s="97" t="s">
        <v>335</v>
      </c>
      <c r="T189" s="210">
        <f t="shared" ca="1" si="46"/>
        <v>19120.32</v>
      </c>
      <c r="U189" s="76">
        <f t="shared" ca="1" si="47"/>
        <v>18987.36194509342</v>
      </c>
      <c r="V189" s="135">
        <f t="shared" si="48"/>
        <v>12</v>
      </c>
      <c r="W189" s="76">
        <f t="shared" ca="1" si="49"/>
        <v>50399.16</v>
      </c>
      <c r="Y189" s="135"/>
      <c r="Z189" s="135"/>
    </row>
    <row r="190" spans="14:30">
      <c r="N190" s="97" t="s">
        <v>506</v>
      </c>
      <c r="O190" s="97" t="s">
        <v>29</v>
      </c>
      <c r="P190" s="95" t="s">
        <v>5</v>
      </c>
      <c r="Q190" s="95" t="s">
        <v>177</v>
      </c>
      <c r="R190" s="95" t="s">
        <v>203</v>
      </c>
      <c r="S190" s="95" t="s">
        <v>281</v>
      </c>
      <c r="T190" s="210">
        <f t="shared" ca="1" si="46"/>
        <v>158251.21114754098</v>
      </c>
      <c r="U190" s="76">
        <f t="shared" ca="1" si="47"/>
        <v>156961.13361726</v>
      </c>
      <c r="V190" s="135">
        <f t="shared" si="48"/>
        <v>91474.688524590165</v>
      </c>
      <c r="W190" s="76">
        <f t="shared" ca="1" si="49"/>
        <v>229999.45170867463</v>
      </c>
      <c r="Y190" s="135"/>
      <c r="Z190" s="135"/>
    </row>
    <row r="191" spans="14:30">
      <c r="N191" s="97" t="s">
        <v>506</v>
      </c>
      <c r="O191" s="97" t="s">
        <v>29</v>
      </c>
      <c r="P191" s="95" t="s">
        <v>5</v>
      </c>
      <c r="Q191" s="95" t="s">
        <v>177</v>
      </c>
      <c r="R191" s="95" t="s">
        <v>204</v>
      </c>
      <c r="S191" s="95" t="s">
        <v>281</v>
      </c>
      <c r="T191" s="210">
        <f t="shared" ca="1" si="46"/>
        <v>77256.51999999999</v>
      </c>
      <c r="U191" s="76">
        <f t="shared" ca="1" si="47"/>
        <v>76599.045116325899</v>
      </c>
      <c r="V191" s="135">
        <f t="shared" si="48"/>
        <v>54406</v>
      </c>
      <c r="W191" s="76">
        <f t="shared" ca="1" si="49"/>
        <v>136795.76691095615</v>
      </c>
      <c r="Y191" s="135"/>
      <c r="Z191" s="135"/>
    </row>
    <row r="192" spans="14:30">
      <c r="N192" s="97" t="s">
        <v>506</v>
      </c>
      <c r="O192" s="97" t="s">
        <v>29</v>
      </c>
      <c r="P192" s="95" t="s">
        <v>5</v>
      </c>
      <c r="Q192" s="95" t="s">
        <v>177</v>
      </c>
      <c r="R192" s="95" t="s">
        <v>195</v>
      </c>
      <c r="S192" s="95" t="s">
        <v>202</v>
      </c>
      <c r="T192" s="210">
        <f t="shared" ca="1" si="46"/>
        <v>1073582.5402727274</v>
      </c>
      <c r="U192" s="76">
        <f t="shared" ca="1" si="47"/>
        <v>1065818.2254003868</v>
      </c>
      <c r="V192" s="135">
        <f t="shared" si="48"/>
        <v>117203.33409090909</v>
      </c>
      <c r="W192" s="76">
        <f t="shared" ca="1" si="49"/>
        <v>921263.02983393602</v>
      </c>
      <c r="Y192" s="135"/>
      <c r="Z192" s="135"/>
    </row>
    <row r="193" spans="14:26">
      <c r="N193" s="97" t="s">
        <v>506</v>
      </c>
      <c r="O193" s="97" t="s">
        <v>29</v>
      </c>
      <c r="P193" s="95" t="s">
        <v>5</v>
      </c>
      <c r="Q193" s="95" t="s">
        <v>177</v>
      </c>
      <c r="R193" s="95" t="s">
        <v>195</v>
      </c>
      <c r="S193" s="95" t="s">
        <v>207</v>
      </c>
      <c r="T193" s="210">
        <f t="shared" ca="1" si="46"/>
        <v>1439777.7997475681</v>
      </c>
      <c r="U193" s="76">
        <f t="shared" ca="1" si="47"/>
        <v>1430573.296289885</v>
      </c>
      <c r="V193" s="135">
        <f t="shared" si="48"/>
        <v>20677549.9030241</v>
      </c>
      <c r="W193" s="76">
        <f t="shared" ca="1" si="49"/>
        <v>1275508.4234708985</v>
      </c>
      <c r="Y193" s="135"/>
      <c r="Z193" s="135"/>
    </row>
    <row r="194" spans="14:26">
      <c r="N194" s="97" t="s">
        <v>506</v>
      </c>
      <c r="O194" s="97" t="s">
        <v>29</v>
      </c>
      <c r="P194" s="95" t="s">
        <v>5</v>
      </c>
      <c r="Q194" s="95" t="s">
        <v>177</v>
      </c>
      <c r="R194" s="95" t="s">
        <v>195</v>
      </c>
      <c r="S194" s="95" t="s">
        <v>208</v>
      </c>
      <c r="T194" s="210">
        <f t="shared" ca="1" si="46"/>
        <v>1854988.7019060752</v>
      </c>
      <c r="U194" s="76">
        <f t="shared" ca="1" si="47"/>
        <v>1841294.862062607</v>
      </c>
      <c r="V194" s="135">
        <f t="shared" si="48"/>
        <v>30762665.039901745</v>
      </c>
      <c r="W194" s="76">
        <f t="shared" ca="1" si="49"/>
        <v>1610599.7959470714</v>
      </c>
      <c r="Y194" s="135"/>
      <c r="Z194" s="135"/>
    </row>
    <row r="195" spans="14:26">
      <c r="N195" s="97" t="s">
        <v>506</v>
      </c>
      <c r="O195" s="97" t="s">
        <v>29</v>
      </c>
      <c r="P195" s="95" t="s">
        <v>5</v>
      </c>
      <c r="Q195" s="95" t="s">
        <v>177</v>
      </c>
      <c r="R195" s="95" t="s">
        <v>195</v>
      </c>
      <c r="S195" s="95" t="s">
        <v>201</v>
      </c>
      <c r="T195" s="210">
        <f t="shared" si="46"/>
        <v>5180.08</v>
      </c>
      <c r="U195" s="76">
        <f t="shared" si="47"/>
        <v>5180.08</v>
      </c>
      <c r="V195" s="135">
        <f t="shared" si="48"/>
        <v>9250.1428571428569</v>
      </c>
      <c r="W195" s="76">
        <f t="shared" si="49"/>
        <v>5266.5135213580124</v>
      </c>
      <c r="Y195" s="135"/>
      <c r="Z195" s="135"/>
    </row>
    <row r="196" spans="14:26">
      <c r="N196" s="145" t="s">
        <v>506</v>
      </c>
      <c r="O196" s="145" t="s">
        <v>29</v>
      </c>
      <c r="P196" s="147" t="s">
        <v>5</v>
      </c>
      <c r="Q196" s="147" t="s">
        <v>195</v>
      </c>
      <c r="R196" s="147" t="s">
        <v>195</v>
      </c>
      <c r="S196" s="209" t="s">
        <v>168</v>
      </c>
      <c r="T196" s="211">
        <f t="shared" si="46"/>
        <v>211823.16276683079</v>
      </c>
      <c r="U196" s="76">
        <f t="shared" si="47"/>
        <v>211823.16276683079</v>
      </c>
      <c r="V196" s="135">
        <f t="shared" si="48"/>
        <v>0</v>
      </c>
      <c r="W196" s="76">
        <f t="shared" si="49"/>
        <v>211823.16276683079</v>
      </c>
      <c r="Y196" s="135"/>
      <c r="Z196" s="135"/>
    </row>
    <row r="197" spans="14:26">
      <c r="N197" s="140" t="s">
        <v>506</v>
      </c>
      <c r="O197" s="140" t="s">
        <v>29</v>
      </c>
      <c r="P197" s="141" t="s">
        <v>7</v>
      </c>
      <c r="Q197" s="139" t="s">
        <v>176</v>
      </c>
      <c r="R197" s="139" t="s">
        <v>203</v>
      </c>
      <c r="S197" s="140" t="s">
        <v>335</v>
      </c>
      <c r="T197" s="213">
        <f t="shared" ca="1" si="46"/>
        <v>399537</v>
      </c>
      <c r="U197" s="76">
        <f t="shared" ca="1" si="47"/>
        <v>396760.05990635388</v>
      </c>
      <c r="V197" s="135">
        <f t="shared" si="48"/>
        <v>309</v>
      </c>
      <c r="W197" s="76">
        <f t="shared" ca="1" si="49"/>
        <v>1297778.3700000001</v>
      </c>
      <c r="Y197" s="135"/>
      <c r="Z197" s="135"/>
    </row>
    <row r="198" spans="14:26">
      <c r="N198" s="97" t="s">
        <v>506</v>
      </c>
      <c r="O198" s="97" t="s">
        <v>29</v>
      </c>
      <c r="P198" s="143" t="s">
        <v>7</v>
      </c>
      <c r="Q198" s="95" t="s">
        <v>176</v>
      </c>
      <c r="R198" s="95" t="s">
        <v>204</v>
      </c>
      <c r="S198" s="97" t="s">
        <v>335</v>
      </c>
      <c r="T198" s="210">
        <f t="shared" ca="1" si="46"/>
        <v>42196.14</v>
      </c>
      <c r="U198" s="76">
        <f t="shared" ca="1" si="47"/>
        <v>41902.88363810294</v>
      </c>
      <c r="V198" s="135">
        <f t="shared" si="48"/>
        <v>27</v>
      </c>
      <c r="W198" s="76">
        <f t="shared" ca="1" si="49"/>
        <v>113398.11000000002</v>
      </c>
      <c r="Y198" s="135"/>
      <c r="Z198" s="135"/>
    </row>
    <row r="199" spans="14:26">
      <c r="N199" s="97" t="s">
        <v>506</v>
      </c>
      <c r="O199" s="97" t="s">
        <v>29</v>
      </c>
      <c r="P199" s="143" t="s">
        <v>7</v>
      </c>
      <c r="Q199" s="95" t="s">
        <v>176</v>
      </c>
      <c r="R199" s="95" t="s">
        <v>203</v>
      </c>
      <c r="S199" s="95" t="s">
        <v>281</v>
      </c>
      <c r="T199" s="210">
        <f t="shared" ca="1" si="46"/>
        <v>1401275.78</v>
      </c>
      <c r="U199" s="76">
        <f t="shared" ca="1" si="47"/>
        <v>1389852.4589119891</v>
      </c>
      <c r="V199" s="135">
        <f t="shared" si="48"/>
        <v>404993</v>
      </c>
      <c r="W199" s="76">
        <f t="shared" ca="1" si="49"/>
        <v>1018294.453342809</v>
      </c>
      <c r="Y199" s="135"/>
      <c r="Z199" s="135"/>
    </row>
    <row r="200" spans="14:26">
      <c r="N200" s="97" t="s">
        <v>506</v>
      </c>
      <c r="O200" s="97" t="s">
        <v>29</v>
      </c>
      <c r="P200" s="143" t="s">
        <v>7</v>
      </c>
      <c r="Q200" s="95" t="s">
        <v>176</v>
      </c>
      <c r="R200" s="95" t="s">
        <v>204</v>
      </c>
      <c r="S200" s="95" t="s">
        <v>281</v>
      </c>
      <c r="T200" s="210">
        <f t="shared" ca="1" si="46"/>
        <v>325077.26999999996</v>
      </c>
      <c r="U200" s="76">
        <f t="shared" ca="1" si="47"/>
        <v>322462.88567378488</v>
      </c>
      <c r="V200" s="135">
        <f t="shared" si="48"/>
        <v>105203</v>
      </c>
      <c r="W200" s="76">
        <f t="shared" ca="1" si="49"/>
        <v>264517.24196473404</v>
      </c>
      <c r="Y200" s="135"/>
      <c r="Z200" s="135"/>
    </row>
    <row r="201" spans="14:26">
      <c r="N201" s="97" t="s">
        <v>506</v>
      </c>
      <c r="O201" s="97" t="s">
        <v>29</v>
      </c>
      <c r="P201" s="143" t="s">
        <v>7</v>
      </c>
      <c r="Q201" s="95" t="s">
        <v>176</v>
      </c>
      <c r="R201" s="95" t="s">
        <v>195</v>
      </c>
      <c r="S201" s="95" t="s">
        <v>202</v>
      </c>
      <c r="T201" s="210">
        <f t="shared" ca="1" si="46"/>
        <v>3920680.44</v>
      </c>
      <c r="U201" s="76">
        <f t="shared" ca="1" si="47"/>
        <v>3892023.3266468081</v>
      </c>
      <c r="V201" s="135">
        <f t="shared" si="48"/>
        <v>431793</v>
      </c>
      <c r="W201" s="76">
        <f t="shared" ca="1" si="49"/>
        <v>3394058.1172591387</v>
      </c>
      <c r="Y201" s="135"/>
      <c r="Z201" s="135"/>
    </row>
    <row r="202" spans="14:26">
      <c r="N202" s="97" t="s">
        <v>506</v>
      </c>
      <c r="O202" s="97" t="s">
        <v>29</v>
      </c>
      <c r="P202" s="143" t="s">
        <v>7</v>
      </c>
      <c r="Q202" s="95" t="s">
        <v>176</v>
      </c>
      <c r="R202" s="95" t="s">
        <v>195</v>
      </c>
      <c r="S202" s="95" t="s">
        <v>207</v>
      </c>
      <c r="T202" s="210">
        <f t="shared" ca="1" si="46"/>
        <v>5427277.448047935</v>
      </c>
      <c r="U202" s="76">
        <f t="shared" ca="1" si="47"/>
        <v>5392270.9380632918</v>
      </c>
      <c r="V202" s="135">
        <f t="shared" si="48"/>
        <v>77212653.977065504</v>
      </c>
      <c r="W202" s="76">
        <f t="shared" ca="1" si="49"/>
        <v>4762913.933622634</v>
      </c>
      <c r="Y202" s="135"/>
      <c r="Z202" s="135"/>
    </row>
    <row r="203" spans="14:26">
      <c r="N203" s="97" t="s">
        <v>506</v>
      </c>
      <c r="O203" s="97" t="s">
        <v>29</v>
      </c>
      <c r="P203" s="143" t="s">
        <v>7</v>
      </c>
      <c r="Q203" s="95" t="s">
        <v>176</v>
      </c>
      <c r="R203" s="95" t="s">
        <v>195</v>
      </c>
      <c r="S203" s="95" t="s">
        <v>208</v>
      </c>
      <c r="T203" s="210">
        <f t="shared" ca="1" si="46"/>
        <v>7411312.5347390547</v>
      </c>
      <c r="U203" s="76">
        <f t="shared" ca="1" si="47"/>
        <v>7356192.3703020168</v>
      </c>
      <c r="V203" s="135">
        <f t="shared" si="48"/>
        <v>121576649.19191363</v>
      </c>
      <c r="W203" s="76">
        <f t="shared" ca="1" si="49"/>
        <v>6365226.3588489862</v>
      </c>
      <c r="Y203" s="135"/>
      <c r="Z203" s="135"/>
    </row>
    <row r="204" spans="14:26">
      <c r="N204" s="97" t="s">
        <v>506</v>
      </c>
      <c r="O204" s="97" t="s">
        <v>29</v>
      </c>
      <c r="P204" s="143" t="s">
        <v>7</v>
      </c>
      <c r="Q204" s="95" t="s">
        <v>176</v>
      </c>
      <c r="R204" s="95" t="s">
        <v>195</v>
      </c>
      <c r="S204" s="95" t="s">
        <v>201</v>
      </c>
      <c r="T204" s="210">
        <f t="shared" si="46"/>
        <v>62045.069999999992</v>
      </c>
      <c r="U204" s="76">
        <f t="shared" si="47"/>
        <v>62045.069999999985</v>
      </c>
      <c r="V204" s="135">
        <f t="shared" si="48"/>
        <v>108851</v>
      </c>
      <c r="W204" s="76">
        <f t="shared" si="49"/>
        <v>61973.665938647857</v>
      </c>
      <c r="Y204" s="135"/>
      <c r="Z204" s="135"/>
    </row>
    <row r="205" spans="14:26">
      <c r="N205" s="97" t="s">
        <v>506</v>
      </c>
      <c r="O205" s="97" t="s">
        <v>29</v>
      </c>
      <c r="P205" s="143" t="s">
        <v>7</v>
      </c>
      <c r="Q205" s="95" t="s">
        <v>177</v>
      </c>
      <c r="R205" s="95" t="s">
        <v>203</v>
      </c>
      <c r="S205" s="97" t="s">
        <v>335</v>
      </c>
      <c r="T205" s="210">
        <f t="shared" ca="1" si="46"/>
        <v>15882.36</v>
      </c>
      <c r="U205" s="76">
        <f t="shared" ca="1" si="47"/>
        <v>15771.898888776468</v>
      </c>
      <c r="V205" s="135">
        <f t="shared" si="48"/>
        <v>12</v>
      </c>
      <c r="W205" s="76">
        <f t="shared" ca="1" si="49"/>
        <v>50399.16</v>
      </c>
      <c r="Y205" s="135"/>
      <c r="Z205" s="135"/>
    </row>
    <row r="206" spans="14:26">
      <c r="N206" s="97" t="s">
        <v>506</v>
      </c>
      <c r="O206" s="97" t="s">
        <v>29</v>
      </c>
      <c r="P206" s="143" t="s">
        <v>7</v>
      </c>
      <c r="Q206" s="95" t="s">
        <v>177</v>
      </c>
      <c r="R206" s="95" t="s">
        <v>204</v>
      </c>
      <c r="S206" s="97" t="s">
        <v>335</v>
      </c>
      <c r="T206" s="210">
        <f t="shared" ca="1" si="46"/>
        <v>0</v>
      </c>
      <c r="U206" s="76">
        <f t="shared" ca="1" si="47"/>
        <v>0</v>
      </c>
      <c r="V206" s="135">
        <f t="shared" si="48"/>
        <v>0</v>
      </c>
      <c r="W206" s="76">
        <f t="shared" ca="1" si="49"/>
        <v>0</v>
      </c>
      <c r="Y206" s="135"/>
      <c r="Z206" s="135"/>
    </row>
    <row r="207" spans="14:26">
      <c r="N207" s="97" t="s">
        <v>506</v>
      </c>
      <c r="O207" s="97" t="s">
        <v>29</v>
      </c>
      <c r="P207" s="143" t="s">
        <v>7</v>
      </c>
      <c r="Q207" s="95" t="s">
        <v>177</v>
      </c>
      <c r="R207" s="95" t="s">
        <v>203</v>
      </c>
      <c r="S207" s="95" t="s">
        <v>281</v>
      </c>
      <c r="T207" s="210">
        <f t="shared" ca="1" si="46"/>
        <v>1868.4</v>
      </c>
      <c r="U207" s="76">
        <f t="shared" ca="1" si="47"/>
        <v>1853.1686419579453</v>
      </c>
      <c r="V207" s="135">
        <f t="shared" si="48"/>
        <v>1080</v>
      </c>
      <c r="W207" s="76">
        <f t="shared" ca="1" si="49"/>
        <v>2715.4988101281597</v>
      </c>
      <c r="Y207" s="135"/>
      <c r="Z207" s="135"/>
    </row>
    <row r="208" spans="14:26">
      <c r="N208" s="97" t="s">
        <v>506</v>
      </c>
      <c r="O208" s="97" t="s">
        <v>29</v>
      </c>
      <c r="P208" s="143" t="s">
        <v>7</v>
      </c>
      <c r="Q208" s="95" t="s">
        <v>177</v>
      </c>
      <c r="R208" s="95" t="s">
        <v>204</v>
      </c>
      <c r="S208" s="95" t="s">
        <v>281</v>
      </c>
      <c r="T208" s="210">
        <f t="shared" ca="1" si="46"/>
        <v>0</v>
      </c>
      <c r="U208" s="76">
        <f t="shared" ca="1" si="47"/>
        <v>0</v>
      </c>
      <c r="V208" s="135">
        <f t="shared" si="48"/>
        <v>0</v>
      </c>
      <c r="W208" s="76">
        <f t="shared" ca="1" si="49"/>
        <v>0</v>
      </c>
      <c r="Y208" s="135"/>
      <c r="Z208" s="135"/>
    </row>
    <row r="209" spans="14:26">
      <c r="N209" s="97" t="s">
        <v>506</v>
      </c>
      <c r="O209" s="97" t="s">
        <v>29</v>
      </c>
      <c r="P209" s="143" t="s">
        <v>7</v>
      </c>
      <c r="Q209" s="95" t="s">
        <v>177</v>
      </c>
      <c r="R209" s="95" t="s">
        <v>195</v>
      </c>
      <c r="S209" s="95" t="s">
        <v>202</v>
      </c>
      <c r="T209" s="210">
        <f t="shared" ca="1" si="46"/>
        <v>54959.999999999993</v>
      </c>
      <c r="U209" s="76">
        <f t="shared" ca="1" si="47"/>
        <v>54562.520784964108</v>
      </c>
      <c r="V209" s="135">
        <f t="shared" si="48"/>
        <v>5999.9999999999991</v>
      </c>
      <c r="W209" s="76">
        <f t="shared" ca="1" si="49"/>
        <v>47162.294672574193</v>
      </c>
      <c r="Y209" s="135"/>
      <c r="Z209" s="135"/>
    </row>
    <row r="210" spans="14:26">
      <c r="N210" s="97" t="s">
        <v>506</v>
      </c>
      <c r="O210" s="97" t="s">
        <v>29</v>
      </c>
      <c r="P210" s="143" t="s">
        <v>7</v>
      </c>
      <c r="Q210" s="95" t="s">
        <v>177</v>
      </c>
      <c r="R210" s="95" t="s">
        <v>195</v>
      </c>
      <c r="S210" s="95" t="s">
        <v>207</v>
      </c>
      <c r="T210" s="210">
        <f t="shared" ca="1" si="46"/>
        <v>11656.070293730323</v>
      </c>
      <c r="U210" s="76">
        <f t="shared" ca="1" si="47"/>
        <v>11581.553004089901</v>
      </c>
      <c r="V210" s="135">
        <f t="shared" si="48"/>
        <v>167400.11911145085</v>
      </c>
      <c r="W210" s="76">
        <f t="shared" ca="1" si="49"/>
        <v>10326.187726209278</v>
      </c>
      <c r="Y210" s="135"/>
      <c r="Z210" s="135"/>
    </row>
    <row r="211" spans="14:26">
      <c r="N211" s="97" t="s">
        <v>506</v>
      </c>
      <c r="O211" s="97" t="s">
        <v>29</v>
      </c>
      <c r="P211" s="143" t="s">
        <v>7</v>
      </c>
      <c r="Q211" s="95" t="s">
        <v>177</v>
      </c>
      <c r="R211" s="95" t="s">
        <v>195</v>
      </c>
      <c r="S211" s="95" t="s">
        <v>208</v>
      </c>
      <c r="T211" s="210">
        <f t="shared" ca="1" si="46"/>
        <v>16063.90079208671</v>
      </c>
      <c r="U211" s="76">
        <f t="shared" ca="1" si="47"/>
        <v>15945.314363780079</v>
      </c>
      <c r="V211" s="135">
        <f t="shared" si="48"/>
        <v>266399.6814608078</v>
      </c>
      <c r="W211" s="76">
        <f t="shared" ca="1" si="49"/>
        <v>13947.532570556255</v>
      </c>
      <c r="Y211" s="135"/>
      <c r="Z211" s="135"/>
    </row>
    <row r="212" spans="14:26">
      <c r="N212" s="97" t="s">
        <v>506</v>
      </c>
      <c r="O212" s="97" t="s">
        <v>29</v>
      </c>
      <c r="P212" s="143" t="s">
        <v>7</v>
      </c>
      <c r="Q212" s="95" t="s">
        <v>177</v>
      </c>
      <c r="R212" s="95" t="s">
        <v>195</v>
      </c>
      <c r="S212" s="95" t="s">
        <v>201</v>
      </c>
      <c r="T212" s="210">
        <f t="shared" si="46"/>
        <v>336.56000000000006</v>
      </c>
      <c r="U212" s="76">
        <f t="shared" si="47"/>
        <v>336.56000000000006</v>
      </c>
      <c r="V212" s="135">
        <f t="shared" si="48"/>
        <v>601</v>
      </c>
      <c r="W212" s="76">
        <f t="shared" si="49"/>
        <v>342.17575611732883</v>
      </c>
      <c r="Y212" s="135"/>
      <c r="Z212" s="135"/>
    </row>
    <row r="213" spans="14:26">
      <c r="N213" s="145" t="s">
        <v>506</v>
      </c>
      <c r="O213" s="145" t="s">
        <v>29</v>
      </c>
      <c r="P213" s="146" t="s">
        <v>7</v>
      </c>
      <c r="Q213" s="147" t="s">
        <v>195</v>
      </c>
      <c r="R213" s="147" t="s">
        <v>195</v>
      </c>
      <c r="S213" s="209" t="s">
        <v>168</v>
      </c>
      <c r="T213" s="211">
        <f t="shared" si="46"/>
        <v>316128.70153986604</v>
      </c>
      <c r="U213" s="76">
        <f t="shared" si="47"/>
        <v>316128.70153986604</v>
      </c>
      <c r="V213" s="135">
        <f t="shared" si="48"/>
        <v>0</v>
      </c>
      <c r="W213" s="76">
        <f t="shared" si="49"/>
        <v>316128.70153986604</v>
      </c>
      <c r="Y213" s="135"/>
      <c r="Z213" s="135"/>
    </row>
    <row r="215" spans="14:26">
      <c r="T215" s="266" t="s">
        <v>215</v>
      </c>
      <c r="U215" s="200"/>
      <c r="V215" s="216"/>
    </row>
    <row r="216" spans="14:26">
      <c r="T216" s="213"/>
      <c r="U216" s="553" t="s">
        <v>176</v>
      </c>
      <c r="V216" s="256"/>
    </row>
    <row r="217" spans="14:26">
      <c r="T217" s="211"/>
      <c r="U217" s="528" t="s">
        <v>585</v>
      </c>
      <c r="V217" s="85" t="s">
        <v>509</v>
      </c>
    </row>
    <row r="218" spans="14:26">
      <c r="T218" s="550" t="s">
        <v>501</v>
      </c>
      <c r="U218" s="551">
        <f ca="1">SUM(U114:U147)-SUM(T82:T85)</f>
        <v>0</v>
      </c>
      <c r="V218" s="256">
        <f ca="1">ROUND(SUM(W114:W147)-SUM(X82:X85)-X108+X86,7)</f>
        <v>0</v>
      </c>
    </row>
    <row r="219" spans="14:26">
      <c r="T219" s="549" t="s">
        <v>503</v>
      </c>
      <c r="U219" s="552">
        <f ca="1">SUM(U180:U213)-SUM(T148:T151)</f>
        <v>0</v>
      </c>
      <c r="V219" s="257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6.6640625" bestFit="1" customWidth="1"/>
    <col min="2" max="2" width="7.5" bestFit="1" customWidth="1"/>
    <col min="3" max="3" width="8.5" bestFit="1" customWidth="1"/>
    <col min="4" max="11" width="10.1640625" customWidth="1"/>
    <col min="12" max="12" width="46.1640625" style="152" bestFit="1" customWidth="1"/>
    <col min="13" max="13" width="7.1640625" style="152" bestFit="1" customWidth="1"/>
    <col min="14" max="14" width="15.1640625" style="152" bestFit="1" customWidth="1"/>
    <col min="15" max="16" width="13.33203125" style="153" customWidth="1"/>
    <col min="17" max="17" width="14.6640625" bestFit="1" customWidth="1"/>
    <col min="18" max="19" width="13.33203125" style="135" customWidth="1"/>
    <col min="20" max="22" width="13.33203125" customWidth="1"/>
  </cols>
  <sheetData>
    <row r="1" spans="12:19">
      <c r="L1" s="253" t="s">
        <v>287</v>
      </c>
      <c r="M1" s="244"/>
      <c r="N1" s="244"/>
      <c r="O1" s="246"/>
      <c r="P1" s="76"/>
    </row>
    <row r="2" spans="12:19">
      <c r="L2" s="268" t="s">
        <v>487</v>
      </c>
      <c r="M2" s="247"/>
      <c r="N2" s="247"/>
      <c r="O2" s="263"/>
      <c r="P2" s="76"/>
    </row>
    <row r="3" spans="12:19">
      <c r="L3" s="248" t="s">
        <v>407</v>
      </c>
      <c r="M3" s="249"/>
      <c r="N3" s="251"/>
      <c r="O3" s="252"/>
      <c r="P3" s="76"/>
      <c r="R3" s="138"/>
      <c r="S3" s="138"/>
    </row>
    <row r="4" spans="12:19">
      <c r="L4" s="226"/>
      <c r="M4" s="226"/>
      <c r="N4" s="227" t="s">
        <v>401</v>
      </c>
      <c r="O4" s="228" t="s">
        <v>206</v>
      </c>
      <c r="R4" s="138"/>
      <c r="S4" s="138"/>
    </row>
    <row r="5" spans="12:19">
      <c r="L5" s="254" t="s">
        <v>217</v>
      </c>
      <c r="M5" s="140" t="s">
        <v>402</v>
      </c>
      <c r="N5" s="139" t="s">
        <v>335</v>
      </c>
      <c r="O5" s="139">
        <f>SUMIFS('Normalized Units'!I:I,'Normalized Units'!B:B,"Normalized Billing Units",'Normalized Units'!C:C,L$1,'Normalized Units'!H:H,N5)</f>
        <v>12</v>
      </c>
      <c r="P5" s="86"/>
      <c r="R5" s="138"/>
      <c r="S5" s="138"/>
    </row>
    <row r="6" spans="12:19">
      <c r="L6" s="230" t="s">
        <v>217</v>
      </c>
      <c r="M6" s="97" t="s">
        <v>402</v>
      </c>
      <c r="N6" s="95" t="s">
        <v>281</v>
      </c>
      <c r="O6" s="95">
        <f>SUMIFS('Normalized Units'!I:I,'Normalized Units'!B:B,"Normalized Billing Units",'Normalized Units'!C:C,L$1,'Normalized Units'!H:H,N6)</f>
        <v>827586</v>
      </c>
      <c r="P6" s="86"/>
      <c r="R6" s="138"/>
      <c r="S6" s="138"/>
    </row>
    <row r="7" spans="12:19">
      <c r="L7" s="230" t="s">
        <v>217</v>
      </c>
      <c r="M7" s="97" t="s">
        <v>402</v>
      </c>
      <c r="N7" s="95" t="s">
        <v>202</v>
      </c>
      <c r="O7" s="95">
        <f>SUMIFS('Normalized Units'!I:I,'Normalized Units'!B:B,"Normalized Billing Units",'Normalized Units'!C:C,L$1,'Normalized Units'!H:H,N7)</f>
        <v>815013</v>
      </c>
      <c r="P7" s="86"/>
      <c r="R7" s="138"/>
      <c r="S7" s="138"/>
    </row>
    <row r="8" spans="12:19">
      <c r="L8" s="230" t="s">
        <v>217</v>
      </c>
      <c r="M8" s="97" t="s">
        <v>402</v>
      </c>
      <c r="N8" s="95" t="s">
        <v>207</v>
      </c>
      <c r="O8" s="95">
        <f>SUMIFS('Normalized Units'!I:I,'Normalized Units'!B:B,"Normalized Billing Units",'Normalized Units'!C:C,L$1,'Normalized Units'!H:H,N8)</f>
        <v>210164400.0636223</v>
      </c>
      <c r="P8" s="86"/>
      <c r="R8" s="138"/>
      <c r="S8" s="138"/>
    </row>
    <row r="9" spans="12:19">
      <c r="L9" s="230" t="s">
        <v>217</v>
      </c>
      <c r="M9" s="97" t="s">
        <v>402</v>
      </c>
      <c r="N9" s="95" t="s">
        <v>208</v>
      </c>
      <c r="O9" s="95">
        <f>SUMIFS('Normalized Units'!I:I,'Normalized Units'!B:B,"Normalized Billing Units",'Normalized Units'!C:C,L$1,'Normalized Units'!H:H,N9)</f>
        <v>330066000</v>
      </c>
      <c r="P9" s="86"/>
      <c r="R9" s="138"/>
      <c r="S9" s="138"/>
    </row>
    <row r="10" spans="12:19">
      <c r="L10" s="255" t="s">
        <v>217</v>
      </c>
      <c r="M10" s="145" t="s">
        <v>402</v>
      </c>
      <c r="N10" s="147" t="s">
        <v>201</v>
      </c>
      <c r="O10" s="147">
        <f>SUMIFS('Normalized Units'!I:I,'Normalized Units'!B:B,"Normalized Billing Units",'Normalized Units'!C:C,L$1,'Normalized Units'!H:H,N10)</f>
        <v>22838.999999999996</v>
      </c>
      <c r="P10" s="86"/>
      <c r="R10" s="138"/>
      <c r="S10" s="138"/>
    </row>
    <row r="11" spans="12:19" s="135" customFormat="1">
      <c r="L11" s="140" t="s">
        <v>406</v>
      </c>
      <c r="M11" s="140" t="s">
        <v>403</v>
      </c>
      <c r="N11" s="140" t="s">
        <v>335</v>
      </c>
      <c r="O11" s="315">
        <v>2999</v>
      </c>
      <c r="P11" s="347"/>
      <c r="Q11"/>
    </row>
    <row r="12" spans="12:19" s="135" customFormat="1">
      <c r="L12" s="97" t="s">
        <v>406</v>
      </c>
      <c r="M12" s="97" t="s">
        <v>403</v>
      </c>
      <c r="N12" s="95" t="s">
        <v>281</v>
      </c>
      <c r="O12" s="316">
        <v>0.26</v>
      </c>
      <c r="P12" s="347"/>
      <c r="Q12"/>
    </row>
    <row r="13" spans="12:19" s="135" customFormat="1">
      <c r="L13" s="97" t="s">
        <v>406</v>
      </c>
      <c r="M13" s="97" t="s">
        <v>403</v>
      </c>
      <c r="N13" s="95" t="s">
        <v>202</v>
      </c>
      <c r="O13" s="316">
        <v>8.93</v>
      </c>
      <c r="P13" s="347"/>
      <c r="Q13"/>
    </row>
    <row r="14" spans="12:19" s="135" customFormat="1">
      <c r="L14" s="97" t="s">
        <v>406</v>
      </c>
      <c r="M14" s="97" t="s">
        <v>403</v>
      </c>
      <c r="N14" s="95" t="s">
        <v>207</v>
      </c>
      <c r="O14" s="316">
        <v>6.1969999999999997E-2</v>
      </c>
      <c r="P14" s="347"/>
      <c r="Q14"/>
    </row>
    <row r="15" spans="12:19" s="135" customFormat="1">
      <c r="L15" s="97" t="s">
        <v>406</v>
      </c>
      <c r="M15" s="97" t="s">
        <v>403</v>
      </c>
      <c r="N15" s="95" t="s">
        <v>208</v>
      </c>
      <c r="O15" s="316">
        <v>5.2639999999999999E-2</v>
      </c>
      <c r="P15" s="347">
        <f>ROUND(26113617.80325/463519192.5,5)</f>
        <v>5.6340000000000001E-2</v>
      </c>
      <c r="Q15"/>
    </row>
    <row r="16" spans="12:19" s="135" customFormat="1">
      <c r="L16" s="145" t="s">
        <v>406</v>
      </c>
      <c r="M16" s="145" t="s">
        <v>403</v>
      </c>
      <c r="N16" s="147" t="s">
        <v>201</v>
      </c>
      <c r="O16" s="317">
        <v>0.55000000000000004</v>
      </c>
      <c r="P16" s="347"/>
      <c r="Q16"/>
    </row>
    <row r="17" spans="1:22" s="135" customForma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40" t="s">
        <v>406</v>
      </c>
      <c r="M17" s="140" t="s">
        <v>29</v>
      </c>
      <c r="N17" s="141" t="s">
        <v>335</v>
      </c>
      <c r="O17" s="213">
        <f t="shared" ref="O17:O22" si="0">O5*O11</f>
        <v>35988</v>
      </c>
      <c r="P17" s="153"/>
    </row>
    <row r="18" spans="1:22" s="135" customFormat="1">
      <c r="A18" s="138"/>
      <c r="L18" s="97" t="s">
        <v>406</v>
      </c>
      <c r="M18" s="97" t="s">
        <v>29</v>
      </c>
      <c r="N18" s="143" t="s">
        <v>281</v>
      </c>
      <c r="O18" s="210">
        <f t="shared" si="0"/>
        <v>215172.36000000002</v>
      </c>
      <c r="P18" s="153"/>
    </row>
    <row r="19" spans="1:22" s="135" customFormat="1">
      <c r="A19" s="138"/>
      <c r="L19" s="97" t="s">
        <v>406</v>
      </c>
      <c r="M19" s="97" t="s">
        <v>29</v>
      </c>
      <c r="N19" s="143" t="s">
        <v>202</v>
      </c>
      <c r="O19" s="210">
        <f t="shared" si="0"/>
        <v>7278066.0899999999</v>
      </c>
      <c r="P19" s="153"/>
    </row>
    <row r="20" spans="1:22" s="135" customFormat="1">
      <c r="A20" s="138"/>
      <c r="L20" s="97" t="s">
        <v>406</v>
      </c>
      <c r="M20" s="97" t="s">
        <v>29</v>
      </c>
      <c r="N20" s="143" t="s">
        <v>207</v>
      </c>
      <c r="O20" s="210">
        <f t="shared" si="0"/>
        <v>13023887.871942673</v>
      </c>
      <c r="P20" s="153"/>
    </row>
    <row r="21" spans="1:22" s="135" customFormat="1">
      <c r="A21" s="138"/>
      <c r="L21" s="97" t="s">
        <v>406</v>
      </c>
      <c r="M21" s="97" t="s">
        <v>29</v>
      </c>
      <c r="N21" s="143" t="s">
        <v>208</v>
      </c>
      <c r="O21" s="210">
        <f t="shared" si="0"/>
        <v>17374674.239999998</v>
      </c>
      <c r="P21" s="153"/>
    </row>
    <row r="22" spans="1:22" s="135" customFormat="1">
      <c r="A22" s="138"/>
      <c r="L22" s="97" t="s">
        <v>406</v>
      </c>
      <c r="M22" s="97" t="s">
        <v>29</v>
      </c>
      <c r="N22" s="143" t="s">
        <v>201</v>
      </c>
      <c r="O22" s="210">
        <f t="shared" si="0"/>
        <v>12561.449999999999</v>
      </c>
      <c r="P22" s="153"/>
    </row>
    <row r="23" spans="1:22" s="135" customFormat="1">
      <c r="A23" s="138"/>
      <c r="L23" s="145" t="s">
        <v>406</v>
      </c>
      <c r="M23" s="145" t="s">
        <v>29</v>
      </c>
      <c r="N23" s="257" t="s">
        <v>168</v>
      </c>
      <c r="O23" s="211">
        <f>Unbilled!E15</f>
        <v>730955.31297389569</v>
      </c>
      <c r="P23" s="153"/>
    </row>
    <row r="24" spans="1:22">
      <c r="A24" s="138"/>
      <c r="L24" s="301" t="s">
        <v>536</v>
      </c>
      <c r="M24" s="140" t="s">
        <v>29</v>
      </c>
      <c r="N24" s="212" t="s">
        <v>195</v>
      </c>
      <c r="O24" s="212">
        <f ca="1">'Cost of Service and Proposed $'!P123</f>
        <v>86093.83513372537</v>
      </c>
      <c r="P24" s="152"/>
    </row>
    <row r="25" spans="1:22">
      <c r="A25" s="138"/>
      <c r="L25" s="319" t="s">
        <v>537</v>
      </c>
      <c r="M25" s="97" t="s">
        <v>29</v>
      </c>
      <c r="N25" s="208" t="s">
        <v>195</v>
      </c>
      <c r="O25" s="208">
        <f ca="1">'Cost of Service and Proposed $'!P124</f>
        <v>11995358.642861906</v>
      </c>
      <c r="P25"/>
    </row>
    <row r="26" spans="1:22">
      <c r="A26" s="138"/>
      <c r="L26" s="319" t="s">
        <v>538</v>
      </c>
      <c r="M26" s="97" t="s">
        <v>29</v>
      </c>
      <c r="N26" s="208" t="s">
        <v>195</v>
      </c>
      <c r="O26" s="208">
        <f ca="1">'Cost of Service and Proposed $'!P125</f>
        <v>4697146.8986344337</v>
      </c>
      <c r="P26" s="76"/>
      <c r="Q26" s="135"/>
      <c r="T26" s="135"/>
      <c r="U26" s="135"/>
      <c r="V26" s="135"/>
    </row>
    <row r="27" spans="1:22">
      <c r="A27" s="375" t="s">
        <v>287</v>
      </c>
      <c r="B27" s="376"/>
      <c r="C27" s="376"/>
      <c r="D27" s="370"/>
      <c r="E27" s="370"/>
      <c r="F27" s="370"/>
      <c r="G27" s="370"/>
      <c r="H27" s="370"/>
      <c r="I27" s="370"/>
      <c r="J27" s="370"/>
      <c r="K27" s="371"/>
      <c r="L27" s="302" t="s">
        <v>539</v>
      </c>
      <c r="M27" s="145" t="s">
        <v>29</v>
      </c>
      <c r="N27" s="209" t="s">
        <v>195</v>
      </c>
      <c r="O27" s="209">
        <f ca="1">'Cost of Service and Proposed $'!P126</f>
        <v>27289153.088216111</v>
      </c>
      <c r="P27" s="76"/>
      <c r="Q27" s="135"/>
      <c r="T27" s="135"/>
      <c r="U27" s="135"/>
      <c r="V27" s="135"/>
    </row>
    <row r="28" spans="1:22">
      <c r="A28" s="378" t="s">
        <v>487</v>
      </c>
      <c r="B28" s="335"/>
      <c r="C28" s="335"/>
      <c r="D28" s="368"/>
      <c r="E28" s="368"/>
      <c r="F28" s="368"/>
      <c r="G28" s="368"/>
      <c r="H28" s="368"/>
      <c r="I28" s="368"/>
      <c r="J28" s="368"/>
      <c r="K28" s="372"/>
      <c r="L28" s="387" t="s">
        <v>534</v>
      </c>
      <c r="M28" s="140" t="s">
        <v>29</v>
      </c>
      <c r="N28" s="140" t="s">
        <v>335</v>
      </c>
      <c r="O28" s="260">
        <f ca="1">(P28*(Q28-R28)+100*R28)/100</f>
        <v>45461.729767144985</v>
      </c>
      <c r="P28" s="505">
        <v>10</v>
      </c>
      <c r="Q28" s="153">
        <f ca="1">O24*(1-SUM(Q32:Q33)/SUM(O24:O27))</f>
        <v>84641.248922034647</v>
      </c>
      <c r="R28" s="153" cm="1">
        <f t="array" aca="1" ref="R28" ca="1">SUMIFS(O$17:O$23,N$17:N$23,"Bill")/SUM(SUMIFS(O$17:O$23,N$17:N$23,{"Bill","Load Size kW","kW","kWh*"}))*(SUM(O$24:O$27)-SUM(R$32:R$33))</f>
        <v>41108.449861046138</v>
      </c>
      <c r="T28" s="135"/>
      <c r="U28" s="135"/>
      <c r="V28" s="135"/>
    </row>
    <row r="29" spans="1:22">
      <c r="A29" s="378" t="s">
        <v>508</v>
      </c>
      <c r="B29" s="335"/>
      <c r="C29" s="335"/>
      <c r="D29" s="373"/>
      <c r="E29" s="373"/>
      <c r="F29" s="373"/>
      <c r="G29" s="373"/>
      <c r="H29" s="373"/>
      <c r="I29" s="373"/>
      <c r="J29" s="373"/>
      <c r="K29" s="374"/>
      <c r="L29" s="386" t="s">
        <v>534</v>
      </c>
      <c r="M29" s="97" t="s">
        <v>29</v>
      </c>
      <c r="N29" s="95" t="s">
        <v>281</v>
      </c>
      <c r="O29" s="136">
        <f t="shared" ref="O29:O33" ca="1" si="1">(P29*(Q29-R29)+100*R29)/100</f>
        <v>1400505.9321465688</v>
      </c>
      <c r="P29" s="229">
        <f>$P$28</f>
        <v>10</v>
      </c>
      <c r="Q29" s="153">
        <f ca="1">O25*(1-SUM(Q32:Q33)/SUM(O24:O27))</f>
        <v>11792971.415694688</v>
      </c>
      <c r="R29" s="153" cm="1">
        <f t="array" aca="1" ref="R29" ca="1">SUMIFS(O$17:O$23,N$17:N$23,"Load Size kW")/SUM(SUMIFS(O$17:O$23,N$17:N$23,{"Bill","Load Size kW","kW","kWh*"}))*(SUM(O$24:O$27)-SUM(R$32:R$33))</f>
        <v>245787.54508566661</v>
      </c>
      <c r="T29" s="135"/>
      <c r="U29" s="135"/>
      <c r="V29" s="135"/>
    </row>
    <row r="30" spans="1:22">
      <c r="A30" s="427"/>
      <c r="B30" s="427"/>
      <c r="C30" s="427"/>
      <c r="D30" s="503" t="s">
        <v>623</v>
      </c>
      <c r="E30" s="200"/>
      <c r="F30" s="200"/>
      <c r="G30" s="200"/>
      <c r="H30" s="200"/>
      <c r="I30" s="200"/>
      <c r="J30" s="200"/>
      <c r="K30" s="201"/>
      <c r="L30" s="386" t="s">
        <v>534</v>
      </c>
      <c r="M30" s="97" t="s">
        <v>29</v>
      </c>
      <c r="N30" s="95" t="s">
        <v>202</v>
      </c>
      <c r="O30" s="136">
        <f t="shared" ca="1" si="1"/>
        <v>7944034.0586023247</v>
      </c>
      <c r="P30" s="229">
        <f t="shared" ref="P30:P33" si="2">$P$28</f>
        <v>10</v>
      </c>
      <c r="Q30" s="153">
        <f ca="1">O26*(1-SUM(Q32:Q33)/SUM(O24:O27))</f>
        <v>4617896.0346365133</v>
      </c>
      <c r="R30" s="153" cm="1">
        <f t="array" aca="1" ref="R30" ca="1">SUMIFS(O$17:O$23,N$17:N$23,"kW")/SUM(SUMIFS(O$17:O$23,N$17:N$23,{"Bill","Load Size kW","kW","kWh*"}))*(SUM(O$24:O$27)-SUM(R$32:R$33))</f>
        <v>8313604.9501540819</v>
      </c>
      <c r="T30" s="135"/>
      <c r="U30" s="135"/>
      <c r="V30" s="135"/>
    </row>
    <row r="31" spans="1:22">
      <c r="A31" s="418" t="s">
        <v>490</v>
      </c>
      <c r="B31" s="136" t="s">
        <v>528</v>
      </c>
      <c r="C31" s="419"/>
      <c r="D31" s="377" t="s">
        <v>501</v>
      </c>
      <c r="E31" s="377"/>
      <c r="F31" s="333"/>
      <c r="G31" s="300"/>
      <c r="H31" s="338" t="s">
        <v>503</v>
      </c>
      <c r="I31" s="377"/>
      <c r="J31" s="333"/>
      <c r="K31" s="300"/>
      <c r="L31" s="386" t="s">
        <v>534</v>
      </c>
      <c r="M31" s="97" t="s">
        <v>29</v>
      </c>
      <c r="N31" s="95" t="s">
        <v>6</v>
      </c>
      <c r="O31" s="136">
        <f t="shared" ca="1" si="1"/>
        <v>33934233.981356241</v>
      </c>
      <c r="P31" s="229">
        <f t="shared" si="2"/>
        <v>10</v>
      </c>
      <c r="Q31" s="153">
        <f ca="1">O27*(1-SUM(Q32:Q33)/SUM(O24:O27))</f>
        <v>26828727.002619047</v>
      </c>
      <c r="R31" s="153" cm="1">
        <f t="array" aca="1" ref="R31" ca="1">SUMIFS(O$17:O$23,N$17:N$23,"kWh*")/SUM(SUMIFS(O$17:O$23,N$17:N$23,{"Bill","Load Size kW","kW","kWh*"}))*(SUM(O$24:O$27)-SUM(R$32:R$33))</f>
        <v>34723734.756771483</v>
      </c>
      <c r="T31" s="135"/>
      <c r="U31" s="135"/>
      <c r="V31" s="135"/>
    </row>
    <row r="32" spans="1:22">
      <c r="A32" s="418" t="s">
        <v>527</v>
      </c>
      <c r="B32" s="419" t="s">
        <v>530</v>
      </c>
      <c r="C32" s="418"/>
      <c r="D32" s="630"/>
      <c r="E32" s="383"/>
      <c r="F32" s="383"/>
      <c r="G32" s="213" t="s">
        <v>494</v>
      </c>
      <c r="H32" s="383"/>
      <c r="I32" s="383"/>
      <c r="J32" s="383"/>
      <c r="K32" s="213" t="s">
        <v>494</v>
      </c>
      <c r="L32" s="386" t="s">
        <v>534</v>
      </c>
      <c r="M32" s="97" t="s">
        <v>29</v>
      </c>
      <c r="N32" s="95" t="s">
        <v>201</v>
      </c>
      <c r="O32" s="136">
        <f t="shared" si="1"/>
        <v>12561.45</v>
      </c>
      <c r="P32" s="229">
        <f t="shared" si="2"/>
        <v>10</v>
      </c>
      <c r="Q32" s="153">
        <f>O22</f>
        <v>12561.449999999999</v>
      </c>
      <c r="R32" s="153">
        <f>O22</f>
        <v>12561.449999999999</v>
      </c>
      <c r="T32" s="135"/>
      <c r="U32" s="135"/>
      <c r="V32" s="135"/>
    </row>
    <row r="33" spans="1:22">
      <c r="A33" s="420" t="s">
        <v>529</v>
      </c>
      <c r="B33" s="420" t="s">
        <v>529</v>
      </c>
      <c r="C33" s="420" t="s">
        <v>528</v>
      </c>
      <c r="D33" s="631" t="s">
        <v>406</v>
      </c>
      <c r="E33" s="276" t="s">
        <v>412</v>
      </c>
      <c r="F33" s="211" t="s">
        <v>414</v>
      </c>
      <c r="G33" s="211" t="s">
        <v>414</v>
      </c>
      <c r="H33" s="354" t="s">
        <v>406</v>
      </c>
      <c r="I33" s="276" t="s">
        <v>412</v>
      </c>
      <c r="J33" s="211" t="s">
        <v>414</v>
      </c>
      <c r="K33" s="211" t="s">
        <v>414</v>
      </c>
      <c r="L33" s="388" t="s">
        <v>534</v>
      </c>
      <c r="M33" s="145" t="s">
        <v>29</v>
      </c>
      <c r="N33" s="147" t="s">
        <v>168</v>
      </c>
      <c r="O33" s="137">
        <f t="shared" si="1"/>
        <v>730955.31297389569</v>
      </c>
      <c r="P33" s="229">
        <f t="shared" si="2"/>
        <v>10</v>
      </c>
      <c r="Q33" s="153">
        <f>O23</f>
        <v>730955.31297389569</v>
      </c>
      <c r="R33" s="153">
        <f>O23</f>
        <v>730955.31297389569</v>
      </c>
      <c r="T33" s="135"/>
      <c r="U33" s="135"/>
      <c r="V33" s="135"/>
    </row>
    <row r="34" spans="1:22">
      <c r="A34" s="319">
        <v>30</v>
      </c>
      <c r="B34" s="319">
        <v>300</v>
      </c>
      <c r="C34" s="284">
        <f t="shared" ref="C34:C45" si="3">A34*B34</f>
        <v>9000</v>
      </c>
      <c r="D34" s="406">
        <f t="shared" ref="D34:D45" si="4">O$11/1000+(O$12+O$13)*A34+P$15*C34</f>
        <v>785.75900000000001</v>
      </c>
      <c r="E34" s="260">
        <f t="shared" ref="E34:E45" ca="1" si="5">O$34/1000+(O$35+O$36)*A34+V$38*C34</f>
        <v>873.11556999999993</v>
      </c>
      <c r="F34" s="260">
        <f t="shared" ref="F34:F45" ca="1" si="6">E34-D34</f>
        <v>87.35656999999992</v>
      </c>
      <c r="G34" s="519">
        <f t="shared" ref="G34:G45" ca="1" si="7">IFERROR(F34/D34*100,100)</f>
        <v>11.117476223625809</v>
      </c>
      <c r="H34" s="260">
        <f t="shared" ref="H34:H45" ca="1" si="8">O$34/1000+(O$35+O$36)*A34+V$38*C34</f>
        <v>873.11556999999993</v>
      </c>
      <c r="I34" s="312">
        <f t="shared" ref="I34:I45" ca="1" si="9">O$57/1000+(O$58+O$59)*A34+V$61*C34</f>
        <v>945.23992999999996</v>
      </c>
      <c r="J34" s="260">
        <f t="shared" ref="J34:J45" ca="1" si="10">I34-H34</f>
        <v>72.124360000000024</v>
      </c>
      <c r="K34" s="504">
        <f t="shared" ref="K34:K45" ca="1" si="11">IFERROR(J34/H34*100,100)</f>
        <v>8.2605742559372786</v>
      </c>
      <c r="L34" s="140" t="s">
        <v>505</v>
      </c>
      <c r="M34" s="140" t="s">
        <v>403</v>
      </c>
      <c r="N34" s="140" t="s">
        <v>335</v>
      </c>
      <c r="O34" s="315">
        <f ca="1">ROUND(P34/100*S34/T34+U34,Q34)</f>
        <v>3625.57</v>
      </c>
      <c r="P34" s="229">
        <f>100+Summary!$Q$12</f>
        <v>95.7</v>
      </c>
      <c r="Q34" s="135">
        <v>2</v>
      </c>
      <c r="R34" s="303">
        <f ca="1">S34/T34+U34</f>
        <v>3788.4774805954153</v>
      </c>
      <c r="S34" s="135">
        <f ca="1">SUMIFS(O$28:O$33,N$28:N$33,N34)</f>
        <v>45461.729767144985</v>
      </c>
      <c r="T34" s="135">
        <f>SUMIFS(O$5:O$10,N$5:N$10,N34)</f>
        <v>12</v>
      </c>
      <c r="U34" s="135"/>
      <c r="V34" s="135"/>
    </row>
    <row r="35" spans="1:22">
      <c r="A35" s="319">
        <v>30</v>
      </c>
      <c r="B35" s="136">
        <v>500</v>
      </c>
      <c r="C35" s="284">
        <f t="shared" si="3"/>
        <v>15000</v>
      </c>
      <c r="D35" s="384">
        <f t="shared" si="4"/>
        <v>1123.799</v>
      </c>
      <c r="E35" s="136">
        <f t="shared" ca="1" si="5"/>
        <v>1233.77557</v>
      </c>
      <c r="F35" s="136">
        <f t="shared" ca="1" si="6"/>
        <v>109.97657000000004</v>
      </c>
      <c r="G35" s="516">
        <f t="shared" ca="1" si="7"/>
        <v>9.7861423617568644</v>
      </c>
      <c r="H35" s="136">
        <f t="shared" ca="1" si="8"/>
        <v>1233.77557</v>
      </c>
      <c r="I35" s="267">
        <f t="shared" ca="1" si="9"/>
        <v>1321.7999299999999</v>
      </c>
      <c r="J35" s="136">
        <f t="shared" ca="1" si="10"/>
        <v>88.024359999999888</v>
      </c>
      <c r="K35" s="499">
        <f t="shared" ca="1" si="11"/>
        <v>7.1345520320198821</v>
      </c>
      <c r="L35" s="97" t="s">
        <v>505</v>
      </c>
      <c r="M35" s="97" t="s">
        <v>403</v>
      </c>
      <c r="N35" s="95" t="s">
        <v>281</v>
      </c>
      <c r="O35" s="316">
        <f t="shared" ref="O35:O39" ca="1" si="12">ROUND(P35/100*S35/T35+U35,Q35)</f>
        <v>1.62</v>
      </c>
      <c r="P35" s="229">
        <f>100+Summary!$Q$12</f>
        <v>95.7</v>
      </c>
      <c r="Q35" s="135">
        <v>2</v>
      </c>
      <c r="R35" s="303">
        <f t="shared" ref="R35:R39" ca="1" si="13">S35/T35+U35</f>
        <v>1.6922784244133766</v>
      </c>
      <c r="S35" s="135">
        <f ca="1">SUMIFS(O$28:O$33,N$28:N$33,N35)</f>
        <v>1400505.9321465688</v>
      </c>
      <c r="T35" s="135">
        <f>SUMIFS(O$5:O$10,N$5:N$10,N35)</f>
        <v>827586</v>
      </c>
      <c r="U35" s="135"/>
      <c r="V35" s="135"/>
    </row>
    <row r="36" spans="1:22">
      <c r="A36" s="319">
        <v>30</v>
      </c>
      <c r="B36" s="136">
        <v>700</v>
      </c>
      <c r="C36" s="284">
        <f t="shared" si="3"/>
        <v>21000</v>
      </c>
      <c r="D36" s="384">
        <f t="shared" si="4"/>
        <v>1461.8390000000002</v>
      </c>
      <c r="E36" s="136">
        <f t="shared" ca="1" si="5"/>
        <v>1594.4355699999999</v>
      </c>
      <c r="F36" s="136">
        <f t="shared" ca="1" si="6"/>
        <v>132.5965699999997</v>
      </c>
      <c r="G36" s="516">
        <f t="shared" ca="1" si="7"/>
        <v>9.070531706980022</v>
      </c>
      <c r="H36" s="136">
        <f t="shared" ca="1" si="8"/>
        <v>1594.4355699999999</v>
      </c>
      <c r="I36" s="267">
        <f t="shared" ca="1" si="9"/>
        <v>1698.3599300000001</v>
      </c>
      <c r="J36" s="136">
        <f t="shared" ca="1" si="10"/>
        <v>103.92436000000021</v>
      </c>
      <c r="K36" s="499">
        <f t="shared" ca="1" si="11"/>
        <v>6.5179403894006338</v>
      </c>
      <c r="L36" s="97" t="s">
        <v>505</v>
      </c>
      <c r="M36" s="97" t="s">
        <v>403</v>
      </c>
      <c r="N36" s="95" t="s">
        <v>202</v>
      </c>
      <c r="O36" s="316">
        <f t="shared" ca="1" si="12"/>
        <v>9.33</v>
      </c>
      <c r="P36" s="229">
        <f>100+Summary!$Q$12</f>
        <v>95.7</v>
      </c>
      <c r="Q36" s="135">
        <v>2</v>
      </c>
      <c r="R36" s="303">
        <f t="shared" ca="1" si="13"/>
        <v>9.7471255778770711</v>
      </c>
      <c r="S36" s="135">
        <f ca="1">SUMIFS(O$28:O$33,N$28:N$33,N36)</f>
        <v>7944034.0586023247</v>
      </c>
      <c r="T36" s="135">
        <f>SUMIFS(O$5:O$10,N$5:N$10,N36)</f>
        <v>815013</v>
      </c>
      <c r="U36" s="135"/>
      <c r="V36" s="135"/>
    </row>
    <row r="37" spans="1:22">
      <c r="A37" s="319">
        <v>40</v>
      </c>
      <c r="B37" s="319">
        <v>300</v>
      </c>
      <c r="C37" s="284">
        <f t="shared" si="3"/>
        <v>12000</v>
      </c>
      <c r="D37" s="384">
        <f t="shared" si="4"/>
        <v>1046.6790000000001</v>
      </c>
      <c r="E37" s="136">
        <f t="shared" ca="1" si="5"/>
        <v>1162.9455699999999</v>
      </c>
      <c r="F37" s="136">
        <f t="shared" ca="1" si="6"/>
        <v>116.26656999999977</v>
      </c>
      <c r="G37" s="516">
        <f t="shared" ca="1" si="7"/>
        <v>11.10814012701122</v>
      </c>
      <c r="H37" s="136">
        <f t="shared" ca="1" si="8"/>
        <v>1162.9455699999999</v>
      </c>
      <c r="I37" s="267">
        <f t="shared" ca="1" si="9"/>
        <v>1258.91993</v>
      </c>
      <c r="J37" s="136">
        <f t="shared" ca="1" si="10"/>
        <v>95.974360000000161</v>
      </c>
      <c r="K37" s="499">
        <f t="shared" ca="1" si="11"/>
        <v>8.2526957817982982</v>
      </c>
      <c r="L37" s="97" t="s">
        <v>505</v>
      </c>
      <c r="M37" s="97" t="s">
        <v>403</v>
      </c>
      <c r="N37" s="95" t="s">
        <v>207</v>
      </c>
      <c r="O37" s="316">
        <f t="shared" ca="1" si="12"/>
        <v>6.5809999999999994E-2</v>
      </c>
      <c r="P37" s="229">
        <f>100+Summary!$Q$12</f>
        <v>95.7</v>
      </c>
      <c r="Q37" s="135">
        <v>5</v>
      </c>
      <c r="R37" s="303">
        <f t="shared" ca="1" si="13"/>
        <v>6.8514748072298737E-2</v>
      </c>
      <c r="S37" s="135">
        <f ca="1">SUMIFS(O$28:O$33,N$28:N$33,"kWh")</f>
        <v>33934233.981356241</v>
      </c>
      <c r="T37" s="135">
        <f>SUMIFS(O$5:O$10,N$5:N$10,"kWh*")</f>
        <v>540230400.06362224</v>
      </c>
      <c r="U37" s="303">
        <f>O9/(O8+O9)*(O14-O15)</f>
        <v>5.7003748393969107E-3</v>
      </c>
      <c r="V37" s="135"/>
    </row>
    <row r="38" spans="1:22">
      <c r="A38" s="319">
        <v>40</v>
      </c>
      <c r="B38" s="136">
        <v>500</v>
      </c>
      <c r="C38" s="284">
        <f t="shared" si="3"/>
        <v>20000</v>
      </c>
      <c r="D38" s="384">
        <f t="shared" si="4"/>
        <v>1497.3989999999999</v>
      </c>
      <c r="E38" s="136">
        <f t="shared" ca="1" si="5"/>
        <v>1643.82557</v>
      </c>
      <c r="F38" s="136">
        <f t="shared" ca="1" si="6"/>
        <v>146.42657000000008</v>
      </c>
      <c r="G38" s="516">
        <f t="shared" ca="1" si="7"/>
        <v>9.7787276470733655</v>
      </c>
      <c r="H38" s="136">
        <f t="shared" ca="1" si="8"/>
        <v>1643.82557</v>
      </c>
      <c r="I38" s="267">
        <f t="shared" ca="1" si="9"/>
        <v>1760.9999299999997</v>
      </c>
      <c r="J38" s="136">
        <f t="shared" ca="1" si="10"/>
        <v>117.17435999999975</v>
      </c>
      <c r="K38" s="499">
        <f t="shared" ca="1" si="11"/>
        <v>7.12815046428556</v>
      </c>
      <c r="L38" s="97" t="s">
        <v>505</v>
      </c>
      <c r="M38" s="97" t="s">
        <v>403</v>
      </c>
      <c r="N38" s="95" t="s">
        <v>208</v>
      </c>
      <c r="O38" s="316">
        <f ca="1">ROUND(P38/100*S38/T38+U38,Q38)</f>
        <v>5.6480000000000002E-2</v>
      </c>
      <c r="P38" s="229">
        <f>100+Summary!$Q$12</f>
        <v>95.7</v>
      </c>
      <c r="Q38" s="135">
        <v>5</v>
      </c>
      <c r="R38" s="303">
        <f t="shared" ca="1" si="13"/>
        <v>5.9184748072298739E-2</v>
      </c>
      <c r="S38" s="135">
        <f ca="1">SUMIFS(O$28:O$33,N$28:N$33,"kWh")</f>
        <v>33934233.981356241</v>
      </c>
      <c r="T38" s="135">
        <f>SUMIFS(O$5:O$10,N$5:N$10,"kWh*")</f>
        <v>540230400.06362224</v>
      </c>
      <c r="U38" s="303">
        <f>O8/(O8+O9)*(O15-O14)</f>
        <v>-3.6296251606030886E-3</v>
      </c>
      <c r="V38" s="303">
        <f ca="1">ROUND(P38/100*S38/T38,Q38)</f>
        <v>6.0109999999999997E-2</v>
      </c>
    </row>
    <row r="39" spans="1:22">
      <c r="A39" s="319">
        <v>40</v>
      </c>
      <c r="B39" s="136">
        <v>700</v>
      </c>
      <c r="C39" s="284">
        <f t="shared" si="3"/>
        <v>28000</v>
      </c>
      <c r="D39" s="384">
        <f t="shared" si="4"/>
        <v>1948.1189999999999</v>
      </c>
      <c r="E39" s="136">
        <f t="shared" ca="1" si="5"/>
        <v>2124.7055700000001</v>
      </c>
      <c r="F39" s="136">
        <f t="shared" ca="1" si="6"/>
        <v>176.58657000000017</v>
      </c>
      <c r="G39" s="516">
        <f t="shared" ca="1" si="7"/>
        <v>9.0644652611057204</v>
      </c>
      <c r="H39" s="136">
        <f t="shared" ca="1" si="8"/>
        <v>2124.7055700000001</v>
      </c>
      <c r="I39" s="267">
        <f t="shared" ca="1" si="9"/>
        <v>2263.0799299999999</v>
      </c>
      <c r="J39" s="136">
        <f t="shared" ca="1" si="10"/>
        <v>138.3743599999998</v>
      </c>
      <c r="K39" s="499">
        <f t="shared" ca="1" si="11"/>
        <v>6.5126369485631734</v>
      </c>
      <c r="L39" s="145" t="s">
        <v>505</v>
      </c>
      <c r="M39" s="145" t="s">
        <v>403</v>
      </c>
      <c r="N39" s="147" t="s">
        <v>201</v>
      </c>
      <c r="O39" s="317">
        <f t="shared" si="12"/>
        <v>0.53</v>
      </c>
      <c r="P39" s="229">
        <f>100+Summary!$Q$12</f>
        <v>95.7</v>
      </c>
      <c r="Q39" s="135">
        <v>2</v>
      </c>
      <c r="R39" s="303">
        <f t="shared" si="13"/>
        <v>0.55000000000000016</v>
      </c>
      <c r="S39" s="135">
        <f>SUMIFS(O$28:O$33,N$28:N$33,N39)</f>
        <v>12561.45</v>
      </c>
      <c r="T39" s="135">
        <f>SUMIFS(O$5:O$10,N$5:N$10,N39)</f>
        <v>22838.999999999996</v>
      </c>
      <c r="U39" s="135"/>
      <c r="V39" s="135"/>
    </row>
    <row r="40" spans="1:22">
      <c r="A40" s="319">
        <v>50</v>
      </c>
      <c r="B40" s="319">
        <v>300</v>
      </c>
      <c r="C40" s="284">
        <f t="shared" si="3"/>
        <v>15000</v>
      </c>
      <c r="D40" s="384">
        <f t="shared" si="4"/>
        <v>1307.5990000000002</v>
      </c>
      <c r="E40" s="136">
        <f t="shared" ca="1" si="5"/>
        <v>1452.77557</v>
      </c>
      <c r="F40" s="136">
        <f t="shared" ca="1" si="6"/>
        <v>145.17656999999986</v>
      </c>
      <c r="G40" s="516">
        <f t="shared" ca="1" si="7"/>
        <v>11.102529904045493</v>
      </c>
      <c r="H40" s="136">
        <f t="shared" ca="1" si="8"/>
        <v>1452.77557</v>
      </c>
      <c r="I40" s="267">
        <f t="shared" ca="1" si="9"/>
        <v>1572.5999299999999</v>
      </c>
      <c r="J40" s="136">
        <f t="shared" ca="1" si="10"/>
        <v>119.82435999999984</v>
      </c>
      <c r="K40" s="499">
        <f t="shared" ca="1" si="11"/>
        <v>8.2479608326563376</v>
      </c>
      <c r="L40" s="140" t="s">
        <v>505</v>
      </c>
      <c r="M40" s="140" t="s">
        <v>29</v>
      </c>
      <c r="N40" s="140" t="s">
        <v>335</v>
      </c>
      <c r="O40" s="213">
        <f t="shared" ref="O40:O46" ca="1" si="14">IF(N40="Unbilled",SUMIFS(O$17:O$23,N$17:N$23,N40),SUMIFS(O$34:O$39,N$34:N$39,N40)*Q40)</f>
        <v>43506.840000000004</v>
      </c>
      <c r="P40" s="135">
        <f t="shared" ref="P40:P46" ca="1" si="15">IF(N40="Unbilled",SUMIFS(O$17:O$23,N$17:N$23,N40),SUMIFS(R$34:R$39,N$34:N$39,N40)*Q40)</f>
        <v>45461.729767144985</v>
      </c>
      <c r="Q40" s="135">
        <f t="shared" ref="Q40:Q46" si="16">SUMIFS(O$5:O$10,N$5:N$10,N40)</f>
        <v>12</v>
      </c>
      <c r="T40" s="135"/>
      <c r="U40" s="135"/>
      <c r="V40" s="135"/>
    </row>
    <row r="41" spans="1:22">
      <c r="A41" s="319">
        <v>50</v>
      </c>
      <c r="B41" s="136">
        <v>500</v>
      </c>
      <c r="C41" s="284">
        <f t="shared" si="3"/>
        <v>25000</v>
      </c>
      <c r="D41" s="384">
        <f t="shared" si="4"/>
        <v>1870.999</v>
      </c>
      <c r="E41" s="136">
        <f t="shared" ca="1" si="5"/>
        <v>2053.8755700000002</v>
      </c>
      <c r="F41" s="136">
        <f t="shared" ca="1" si="6"/>
        <v>182.87657000000013</v>
      </c>
      <c r="G41" s="516">
        <f t="shared" ca="1" si="7"/>
        <v>9.7742740642833112</v>
      </c>
      <c r="H41" s="136">
        <f t="shared" ca="1" si="8"/>
        <v>2053.8755700000002</v>
      </c>
      <c r="I41" s="267">
        <f t="shared" ca="1" si="9"/>
        <v>2200.1999299999998</v>
      </c>
      <c r="J41" s="136">
        <f t="shared" ca="1" si="10"/>
        <v>146.32435999999961</v>
      </c>
      <c r="K41" s="499">
        <f t="shared" ca="1" si="11"/>
        <v>7.1243050035401909</v>
      </c>
      <c r="L41" s="97" t="s">
        <v>505</v>
      </c>
      <c r="M41" s="97" t="s">
        <v>29</v>
      </c>
      <c r="N41" s="95" t="s">
        <v>281</v>
      </c>
      <c r="O41" s="210">
        <f t="shared" ca="1" si="14"/>
        <v>1340689.32</v>
      </c>
      <c r="P41" s="135">
        <f t="shared" ca="1" si="15"/>
        <v>1400505.9321465688</v>
      </c>
      <c r="Q41" s="135">
        <f t="shared" si="16"/>
        <v>827586</v>
      </c>
      <c r="T41" s="135"/>
      <c r="U41" s="135"/>
      <c r="V41" s="135"/>
    </row>
    <row r="42" spans="1:22">
      <c r="A42" s="319">
        <v>50</v>
      </c>
      <c r="B42" s="136">
        <v>700</v>
      </c>
      <c r="C42" s="284">
        <f t="shared" si="3"/>
        <v>35000</v>
      </c>
      <c r="D42" s="384">
        <f t="shared" si="4"/>
        <v>2434.3990000000003</v>
      </c>
      <c r="E42" s="136">
        <f t="shared" ca="1" si="5"/>
        <v>2654.9755700000001</v>
      </c>
      <c r="F42" s="136">
        <f t="shared" ca="1" si="6"/>
        <v>220.57656999999972</v>
      </c>
      <c r="G42" s="516">
        <f t="shared" ca="1" si="7"/>
        <v>9.0608224042155658</v>
      </c>
      <c r="H42" s="136">
        <f t="shared" ca="1" si="8"/>
        <v>2654.9755700000001</v>
      </c>
      <c r="I42" s="267">
        <f t="shared" ca="1" si="9"/>
        <v>2827.7999300000001</v>
      </c>
      <c r="J42" s="136">
        <f t="shared" ca="1" si="10"/>
        <v>172.82436000000007</v>
      </c>
      <c r="K42" s="499">
        <f t="shared" ca="1" si="11"/>
        <v>6.5094519871608485</v>
      </c>
      <c r="L42" s="97" t="s">
        <v>505</v>
      </c>
      <c r="M42" s="97" t="s">
        <v>29</v>
      </c>
      <c r="N42" s="95" t="s">
        <v>202</v>
      </c>
      <c r="O42" s="210">
        <f t="shared" ca="1" si="14"/>
        <v>7604071.29</v>
      </c>
      <c r="P42" s="135">
        <f t="shared" ca="1" si="15"/>
        <v>7944034.0586023256</v>
      </c>
      <c r="Q42" s="135">
        <f t="shared" si="16"/>
        <v>815013</v>
      </c>
      <c r="T42" s="135"/>
      <c r="U42" s="135"/>
      <c r="V42" s="135"/>
    </row>
    <row r="43" spans="1:22">
      <c r="A43" s="319">
        <v>60</v>
      </c>
      <c r="B43" s="319">
        <v>300</v>
      </c>
      <c r="C43" s="284">
        <f t="shared" si="3"/>
        <v>18000</v>
      </c>
      <c r="D43" s="384">
        <f t="shared" si="4"/>
        <v>1568.519</v>
      </c>
      <c r="E43" s="136">
        <f t="shared" ca="1" si="5"/>
        <v>1742.6055700000002</v>
      </c>
      <c r="F43" s="136">
        <f t="shared" ca="1" si="6"/>
        <v>174.08657000000017</v>
      </c>
      <c r="G43" s="516">
        <f t="shared" ca="1" si="7"/>
        <v>11.098786179829519</v>
      </c>
      <c r="H43" s="136">
        <f t="shared" ca="1" si="8"/>
        <v>1742.6055700000002</v>
      </c>
      <c r="I43" s="267">
        <f t="shared" ca="1" si="9"/>
        <v>1886.2799299999997</v>
      </c>
      <c r="J43" s="136">
        <f t="shared" ca="1" si="10"/>
        <v>143.67435999999952</v>
      </c>
      <c r="K43" s="499">
        <f t="shared" ca="1" si="11"/>
        <v>8.2448009161361462</v>
      </c>
      <c r="L43" s="97" t="s">
        <v>505</v>
      </c>
      <c r="M43" s="97" t="s">
        <v>29</v>
      </c>
      <c r="N43" s="95" t="s">
        <v>207</v>
      </c>
      <c r="O43" s="210">
        <f t="shared" ca="1" si="14"/>
        <v>13830919.168186981</v>
      </c>
      <c r="P43" s="135">
        <f t="shared" ca="1" si="15"/>
        <v>14399360.924124885</v>
      </c>
      <c r="Q43" s="135">
        <f t="shared" si="16"/>
        <v>210164400.0636223</v>
      </c>
      <c r="T43" s="135"/>
      <c r="U43" s="135"/>
      <c r="V43" s="135"/>
    </row>
    <row r="44" spans="1:22">
      <c r="A44" s="319">
        <v>60</v>
      </c>
      <c r="B44" s="136">
        <v>500</v>
      </c>
      <c r="C44" s="284">
        <f t="shared" si="3"/>
        <v>30000</v>
      </c>
      <c r="D44" s="384">
        <f t="shared" si="4"/>
        <v>2244.5990000000002</v>
      </c>
      <c r="E44" s="136">
        <f t="shared" ca="1" si="5"/>
        <v>2463.9255699999999</v>
      </c>
      <c r="F44" s="136">
        <f t="shared" ca="1" si="6"/>
        <v>219.32656999999972</v>
      </c>
      <c r="G44" s="516">
        <f t="shared" ca="1" si="7"/>
        <v>9.7713030256183711</v>
      </c>
      <c r="H44" s="136">
        <f t="shared" ca="1" si="8"/>
        <v>2463.9255699999999</v>
      </c>
      <c r="I44" s="267">
        <f t="shared" ca="1" si="9"/>
        <v>2639.39993</v>
      </c>
      <c r="J44" s="136">
        <f t="shared" ca="1" si="10"/>
        <v>175.47436000000016</v>
      </c>
      <c r="K44" s="499">
        <f t="shared" ca="1" si="11"/>
        <v>7.1217394768950006</v>
      </c>
      <c r="L44" s="97" t="s">
        <v>505</v>
      </c>
      <c r="M44" s="97" t="s">
        <v>29</v>
      </c>
      <c r="N44" s="95" t="s">
        <v>208</v>
      </c>
      <c r="O44" s="210">
        <f t="shared" ca="1" si="14"/>
        <v>18642127.68</v>
      </c>
      <c r="P44" s="135">
        <f t="shared" ca="1" si="15"/>
        <v>19534873.057231355</v>
      </c>
      <c r="Q44" s="135">
        <f t="shared" si="16"/>
        <v>330066000</v>
      </c>
      <c r="T44" s="135"/>
      <c r="U44" s="135"/>
      <c r="V44" s="135"/>
    </row>
    <row r="45" spans="1:22">
      <c r="A45" s="302">
        <v>60</v>
      </c>
      <c r="B45" s="137">
        <v>700</v>
      </c>
      <c r="C45" s="275">
        <f t="shared" si="3"/>
        <v>42000</v>
      </c>
      <c r="D45" s="385">
        <f t="shared" si="4"/>
        <v>2920.6790000000001</v>
      </c>
      <c r="E45" s="137">
        <f t="shared" ca="1" si="5"/>
        <v>3185.24557</v>
      </c>
      <c r="F45" s="137">
        <f t="shared" ca="1" si="6"/>
        <v>264.56656999999996</v>
      </c>
      <c r="G45" s="517">
        <f t="shared" ca="1" si="7"/>
        <v>9.0583925861075443</v>
      </c>
      <c r="H45" s="137">
        <f t="shared" ca="1" si="8"/>
        <v>3185.24557</v>
      </c>
      <c r="I45" s="313">
        <f t="shared" ca="1" si="9"/>
        <v>3392.5199299999999</v>
      </c>
      <c r="J45" s="137">
        <f t="shared" ca="1" si="10"/>
        <v>207.27435999999989</v>
      </c>
      <c r="K45" s="500">
        <f t="shared" ca="1" si="11"/>
        <v>6.5073274711437676</v>
      </c>
      <c r="L45" s="97" t="s">
        <v>505</v>
      </c>
      <c r="M45" s="97" t="s">
        <v>29</v>
      </c>
      <c r="N45" s="95" t="s">
        <v>201</v>
      </c>
      <c r="O45" s="210">
        <f t="shared" si="14"/>
        <v>12104.669999999998</v>
      </c>
      <c r="P45" s="135">
        <f t="shared" si="15"/>
        <v>12561.45</v>
      </c>
      <c r="Q45" s="135">
        <f t="shared" si="16"/>
        <v>22838.999999999996</v>
      </c>
      <c r="T45" s="135"/>
      <c r="U45" s="135"/>
      <c r="V45" s="135"/>
    </row>
    <row r="46" spans="1:22">
      <c r="A46" s="330" t="s">
        <v>510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13"/>
      <c r="L46" s="145" t="s">
        <v>505</v>
      </c>
      <c r="M46" s="145" t="s">
        <v>29</v>
      </c>
      <c r="N46" s="147" t="s">
        <v>168</v>
      </c>
      <c r="O46" s="211">
        <f t="shared" si="14"/>
        <v>730955.31297389569</v>
      </c>
      <c r="P46" s="135">
        <f t="shared" si="15"/>
        <v>730955.31297389569</v>
      </c>
      <c r="Q46" s="135">
        <f t="shared" si="16"/>
        <v>0</v>
      </c>
      <c r="T46" s="135"/>
      <c r="U46" s="135"/>
      <c r="V46" s="135"/>
    </row>
    <row r="47" spans="1:22">
      <c r="L47" s="301" t="s">
        <v>540</v>
      </c>
      <c r="M47" s="140" t="s">
        <v>29</v>
      </c>
      <c r="N47" s="212" t="s">
        <v>195</v>
      </c>
      <c r="O47" s="212">
        <f ca="1">'Cost of Service and Proposed $'!Y123</f>
        <v>91670.700245738844</v>
      </c>
      <c r="P47"/>
      <c r="Q47" s="135"/>
      <c r="T47" s="135"/>
      <c r="U47" s="135"/>
      <c r="V47" s="135"/>
    </row>
    <row r="48" spans="1:22">
      <c r="L48" s="319" t="s">
        <v>541</v>
      </c>
      <c r="M48" s="97" t="s">
        <v>29</v>
      </c>
      <c r="N48" s="208" t="s">
        <v>195</v>
      </c>
      <c r="O48" s="208">
        <f ca="1">'Cost of Service and Proposed $'!Y124</f>
        <v>12771556.334647603</v>
      </c>
      <c r="P48"/>
      <c r="Q48" s="135"/>
      <c r="T48" s="135"/>
      <c r="U48" s="135"/>
      <c r="V48" s="135"/>
    </row>
    <row r="49" spans="12:22">
      <c r="L49" s="319" t="s">
        <v>542</v>
      </c>
      <c r="M49" s="97" t="s">
        <v>29</v>
      </c>
      <c r="N49" s="208" t="s">
        <v>195</v>
      </c>
      <c r="O49" s="208">
        <f ca="1">'Cost of Service and Proposed $'!Y125</f>
        <v>5001130.4780246047</v>
      </c>
      <c r="P49"/>
      <c r="Q49" s="135"/>
      <c r="T49" s="135"/>
      <c r="U49" s="135"/>
      <c r="V49" s="135"/>
    </row>
    <row r="50" spans="12:22">
      <c r="L50" s="302" t="s">
        <v>543</v>
      </c>
      <c r="M50" s="145" t="s">
        <v>29</v>
      </c>
      <c r="N50" s="209" t="s">
        <v>195</v>
      </c>
      <c r="O50" s="209">
        <f ca="1">'Cost of Service and Proposed $'!Y126</f>
        <v>29054830.044715311</v>
      </c>
      <c r="P50"/>
      <c r="Q50" s="135"/>
      <c r="T50" s="135"/>
      <c r="U50" s="135"/>
      <c r="V50" s="135"/>
    </row>
    <row r="51" spans="12:22">
      <c r="L51" s="387" t="s">
        <v>535</v>
      </c>
      <c r="M51" s="140" t="s">
        <v>29</v>
      </c>
      <c r="N51" s="140" t="s">
        <v>335</v>
      </c>
      <c r="O51" s="260">
        <f ca="1">(P51*(Q51-R51)+100*R51)/100</f>
        <v>52630.726959481311</v>
      </c>
      <c r="P51" s="229">
        <f>$P$28</f>
        <v>10</v>
      </c>
      <c r="Q51" s="135">
        <f ca="1">O47*(1-SUM(Q55:Q56)/SUM(O47:O50))</f>
        <v>90218.909784104515</v>
      </c>
      <c r="R51" s="135" cm="1">
        <f t="array" aca="1" ref="R51" ca="1">SUMIFS(O$40:O$46,N$40:N$46,"Bill")/SUM(SUMIFS(O$40:O$46,N$40:N$46,{"Bill","Load Size kW","kW","kWh*"}))*(SUM(O$47:O$50)-SUM(R$55:R$56))</f>
        <v>48454.262201189842</v>
      </c>
      <c r="T51" s="135"/>
      <c r="U51" s="135"/>
      <c r="V51" s="135"/>
    </row>
    <row r="52" spans="12:22">
      <c r="L52" s="386" t="s">
        <v>535</v>
      </c>
      <c r="M52" s="97" t="s">
        <v>29</v>
      </c>
      <c r="N52" s="95" t="s">
        <v>281</v>
      </c>
      <c r="O52" s="136">
        <f t="shared" ref="O52:O56" ca="1" si="17">(P52*(Q52-R52)+100*R52)/100</f>
        <v>2600761.684876021</v>
      </c>
      <c r="P52" s="229">
        <f t="shared" ref="P52:P56" si="18">$P$28</f>
        <v>10</v>
      </c>
      <c r="Q52" s="135">
        <f ca="1">O48*(1-SUM(Q55:Q56)/SUM(O47:O50))</f>
        <v>12569292.976593582</v>
      </c>
      <c r="R52" s="135" cm="1">
        <f t="array" aca="1" ref="R52" ca="1">SUMIFS(O$40:O$46,N$40:N$46,"Load Size kW")/SUM(SUMIFS(O$40:O$46,N$40:N$46,{"Bill","Load Size kW","kW","kWh*"}))*(SUM(O$47:O$50)-SUM(R$55:R$56))</f>
        <v>1493147.0969074036</v>
      </c>
      <c r="T52" s="135"/>
      <c r="U52" s="135"/>
      <c r="V52" s="135"/>
    </row>
    <row r="53" spans="12:22">
      <c r="L53" s="386" t="s">
        <v>535</v>
      </c>
      <c r="M53" s="97" t="s">
        <v>29</v>
      </c>
      <c r="N53" s="95" t="s">
        <v>202</v>
      </c>
      <c r="O53" s="136">
        <f t="shared" ca="1" si="17"/>
        <v>8114090.7693293141</v>
      </c>
      <c r="P53" s="229">
        <f t="shared" si="18"/>
        <v>10</v>
      </c>
      <c r="Q53" s="135">
        <f ca="1">O49*(1-SUM(Q55:Q56)/SUM(O47:O50))</f>
        <v>4921927.4883460971</v>
      </c>
      <c r="R53" s="135" cm="1">
        <f t="array" aca="1" ref="R53" ca="1">SUMIFS(O$40:O$46,N$40:N$46,"kW")/SUM(SUMIFS(O$40:O$46,N$40:N$46,{"Bill","Load Size kW","kW","kWh*"}))*(SUM(O$47:O$50)-SUM(R$55:R$56))</f>
        <v>8468775.578327449</v>
      </c>
      <c r="T53" s="135"/>
      <c r="U53" s="135"/>
      <c r="V53" s="135"/>
    </row>
    <row r="54" spans="12:22">
      <c r="L54" s="386" t="s">
        <v>535</v>
      </c>
      <c r="M54" s="97" t="s">
        <v>29</v>
      </c>
      <c r="N54" s="95" t="s">
        <v>6</v>
      </c>
      <c r="O54" s="136">
        <f t="shared" ca="1" si="17"/>
        <v>35408644.393494546</v>
      </c>
      <c r="P54" s="229">
        <f t="shared" si="18"/>
        <v>10</v>
      </c>
      <c r="Q54" s="135">
        <f ca="1">O50*(1-SUM(Q55:Q56)/SUM(O47:O50))</f>
        <v>28594688.199935582</v>
      </c>
      <c r="R54" s="135" cm="1">
        <f t="array" aca="1" ref="R54" ca="1">SUMIFS(O$40:O$46,N$40:N$46,"kWh*")/SUM(SUMIFS(O$40:O$46,N$40:N$46,{"Bill","Load Size kW","kW","kWh*"}))*(SUM(O$47:O$50)-SUM(R$55:R$56))</f>
        <v>36165750.637223318</v>
      </c>
      <c r="T54" s="135"/>
      <c r="U54" s="135"/>
      <c r="V54" s="135"/>
    </row>
    <row r="55" spans="12:22">
      <c r="L55" s="386" t="s">
        <v>535</v>
      </c>
      <c r="M55" s="97" t="s">
        <v>29</v>
      </c>
      <c r="N55" s="95" t="s">
        <v>201</v>
      </c>
      <c r="O55" s="136">
        <f t="shared" si="17"/>
        <v>12104.669999999998</v>
      </c>
      <c r="P55" s="229">
        <f t="shared" si="18"/>
        <v>10</v>
      </c>
      <c r="Q55" s="135">
        <f>O45</f>
        <v>12104.669999999998</v>
      </c>
      <c r="R55" s="135">
        <f>O45</f>
        <v>12104.669999999998</v>
      </c>
      <c r="T55" s="135"/>
      <c r="U55" s="135"/>
      <c r="V55" s="135"/>
    </row>
    <row r="56" spans="12:22">
      <c r="L56" s="388" t="s">
        <v>535</v>
      </c>
      <c r="M56" s="145" t="s">
        <v>29</v>
      </c>
      <c r="N56" s="147" t="s">
        <v>168</v>
      </c>
      <c r="O56" s="137">
        <f t="shared" si="17"/>
        <v>730955.31297389569</v>
      </c>
      <c r="P56" s="229">
        <f t="shared" si="18"/>
        <v>10</v>
      </c>
      <c r="Q56" s="2">
        <f>O46</f>
        <v>730955.31297389569</v>
      </c>
      <c r="R56" s="135">
        <f>O46</f>
        <v>730955.31297389569</v>
      </c>
    </row>
    <row r="57" spans="12:22">
      <c r="L57" s="140" t="s">
        <v>506</v>
      </c>
      <c r="M57" s="140" t="s">
        <v>403</v>
      </c>
      <c r="N57" s="140" t="s">
        <v>335</v>
      </c>
      <c r="O57" s="315">
        <f ca="1">ROUND(P57/100*S57/T57+U57,Q57)</f>
        <v>4199.93</v>
      </c>
      <c r="P57" s="229">
        <f>100+Summary!$R$12</f>
        <v>95.76</v>
      </c>
      <c r="Q57" s="135">
        <v>2</v>
      </c>
      <c r="R57" s="303">
        <f ca="1">S57/T57+U57</f>
        <v>4385.8939132901096</v>
      </c>
      <c r="S57" s="135">
        <f ca="1">SUMIFS(O$51:O$56,N$51:N$56,N57)</f>
        <v>52630.726959481311</v>
      </c>
      <c r="T57" s="135">
        <f>SUMIFS(O$5:O$10,N$5:N$10,N57)</f>
        <v>12</v>
      </c>
    </row>
    <row r="58" spans="12:22">
      <c r="L58" s="97" t="s">
        <v>506</v>
      </c>
      <c r="M58" s="97" t="s">
        <v>403</v>
      </c>
      <c r="N58" s="95" t="s">
        <v>281</v>
      </c>
      <c r="O58" s="316">
        <f t="shared" ref="O58:O62" ca="1" si="19">ROUND(P58/100*S58/T58+U58,Q58)</f>
        <v>3.01</v>
      </c>
      <c r="P58" s="229">
        <f>100+Summary!$R$12</f>
        <v>95.76</v>
      </c>
      <c r="Q58" s="135">
        <v>2</v>
      </c>
      <c r="R58" s="303">
        <f t="shared" ref="R58:R62" ca="1" si="20">S58/T58+U58</f>
        <v>3.1425878215388141</v>
      </c>
      <c r="S58" s="135">
        <f t="shared" ref="S58:S62" ca="1" si="21">SUMIFS(O$51:O$56,N$51:N$56,N58)</f>
        <v>2600761.684876021</v>
      </c>
      <c r="T58" s="135">
        <f>SUMIFS(O$5:O$10,N$5:N$10,N58)</f>
        <v>827586</v>
      </c>
    </row>
    <row r="59" spans="12:22">
      <c r="L59" s="97" t="s">
        <v>506</v>
      </c>
      <c r="M59" s="97" t="s">
        <v>403</v>
      </c>
      <c r="N59" s="95" t="s">
        <v>202</v>
      </c>
      <c r="O59" s="316">
        <f t="shared" ca="1" si="19"/>
        <v>9.5299999999999994</v>
      </c>
      <c r="P59" s="229">
        <f>100+Summary!$R$12</f>
        <v>95.76</v>
      </c>
      <c r="Q59" s="135">
        <v>2</v>
      </c>
      <c r="R59" s="303">
        <f t="shared" ca="1" si="20"/>
        <v>9.955780790403729</v>
      </c>
      <c r="S59" s="135">
        <f t="shared" ca="1" si="21"/>
        <v>8114090.7693293141</v>
      </c>
      <c r="T59" s="135">
        <f>SUMIFS(O$5:O$10,N$5:N$10,N59)</f>
        <v>815013</v>
      </c>
    </row>
    <row r="60" spans="12:22">
      <c r="L60" s="97" t="s">
        <v>506</v>
      </c>
      <c r="M60" s="97" t="s">
        <v>403</v>
      </c>
      <c r="N60" s="95" t="s">
        <v>207</v>
      </c>
      <c r="O60" s="316">
        <f t="shared" ca="1" si="19"/>
        <v>6.8459999999999993E-2</v>
      </c>
      <c r="P60" s="229">
        <f>100+Summary!$R$12</f>
        <v>95.76</v>
      </c>
      <c r="Q60" s="135">
        <v>5</v>
      </c>
      <c r="R60" s="303">
        <f t="shared" ca="1" si="20"/>
        <v>7.1243973254674006E-2</v>
      </c>
      <c r="S60" s="135">
        <f ca="1">SUMIFS(O$51:O$56,N$51:N$56,"kWh")</f>
        <v>35408644.393494546</v>
      </c>
      <c r="T60" s="135">
        <f>SUMIFS(O$5:O$10,N$5:N$10,"kWh*")</f>
        <v>540230400.06362224</v>
      </c>
      <c r="U60" s="303">
        <f ca="1">O9/(O8+O9)*(O37-O38)</f>
        <v>5.7003748393969064E-3</v>
      </c>
    </row>
    <row r="61" spans="12:22">
      <c r="L61" s="97" t="s">
        <v>506</v>
      </c>
      <c r="M61" s="97" t="s">
        <v>403</v>
      </c>
      <c r="N61" s="95" t="s">
        <v>208</v>
      </c>
      <c r="O61" s="316">
        <f t="shared" ca="1" si="19"/>
        <v>5.9130000000000002E-2</v>
      </c>
      <c r="P61" s="229">
        <f>100+Summary!$R$12</f>
        <v>95.76</v>
      </c>
      <c r="Q61" s="135">
        <v>5</v>
      </c>
      <c r="R61" s="303">
        <f t="shared" ca="1" si="20"/>
        <v>6.1913973254674015E-2</v>
      </c>
      <c r="S61" s="135">
        <f ca="1">SUMIFS(O$51:O$56,N$51:N$56,"kWh")</f>
        <v>35408644.393494546</v>
      </c>
      <c r="T61" s="135">
        <f>SUMIFS(O$5:O$10,N$5:N$10,"kWh*")</f>
        <v>540230400.06362224</v>
      </c>
      <c r="U61" s="303">
        <f ca="1">O8/(O8+O9)*(O38-O37)</f>
        <v>-3.629625160603086E-3</v>
      </c>
      <c r="V61" s="303">
        <f ca="1">ROUND(P61/100*S61/T61,Q61)</f>
        <v>6.2759999999999996E-2</v>
      </c>
    </row>
    <row r="62" spans="12:22">
      <c r="L62" s="145" t="s">
        <v>506</v>
      </c>
      <c r="M62" s="145" t="s">
        <v>403</v>
      </c>
      <c r="N62" s="147" t="s">
        <v>201</v>
      </c>
      <c r="O62" s="317">
        <f t="shared" si="19"/>
        <v>0.51</v>
      </c>
      <c r="P62" s="229">
        <f>100+Summary!$R$12</f>
        <v>95.76</v>
      </c>
      <c r="Q62" s="135">
        <v>2</v>
      </c>
      <c r="R62" s="303">
        <f t="shared" si="20"/>
        <v>0.53</v>
      </c>
      <c r="S62" s="135">
        <f t="shared" si="21"/>
        <v>12104.669999999998</v>
      </c>
      <c r="T62" s="135">
        <f>SUMIFS(O$5:O$10,N$5:N$10,N62)</f>
        <v>22838.999999999996</v>
      </c>
    </row>
    <row r="63" spans="12:22">
      <c r="L63" s="140" t="s">
        <v>506</v>
      </c>
      <c r="M63" s="140" t="s">
        <v>29</v>
      </c>
      <c r="N63" s="140" t="s">
        <v>335</v>
      </c>
      <c r="O63" s="213">
        <f t="shared" ref="O63:O69" ca="1" si="22">IF(N63="Unbilled",SUMIFS(O$40:O$46,N$40:N$46,N63),SUMIFS(O$57:O$62,N$57:N$62,N63)*Q63)</f>
        <v>50399.16</v>
      </c>
      <c r="P63" s="135">
        <f t="shared" ref="P63:P69" ca="1" si="23">IF(N63="Unbilled",SUMIFS(O$40:O$46,N$40:N$46,N63),SUMIFS(R$57:R$62,N$57:N$62,N63)*Q63)</f>
        <v>52630.726959481311</v>
      </c>
      <c r="Q63" s="135">
        <f t="shared" ref="Q63:Q69" si="24">SUMIFS(O$5:O$10,N$5:N$10,N63)</f>
        <v>12</v>
      </c>
      <c r="T63" s="135"/>
    </row>
    <row r="64" spans="12:22">
      <c r="L64" s="97" t="s">
        <v>506</v>
      </c>
      <c r="M64" s="97" t="s">
        <v>29</v>
      </c>
      <c r="N64" s="95" t="s">
        <v>281</v>
      </c>
      <c r="O64" s="210">
        <f t="shared" ca="1" si="22"/>
        <v>2491033.86</v>
      </c>
      <c r="P64" s="135">
        <f t="shared" ca="1" si="23"/>
        <v>2600761.684876021</v>
      </c>
      <c r="Q64" s="135">
        <f t="shared" si="24"/>
        <v>827586</v>
      </c>
      <c r="T64" s="135"/>
    </row>
    <row r="65" spans="12:20">
      <c r="L65" s="97" t="s">
        <v>506</v>
      </c>
      <c r="M65" s="97" t="s">
        <v>29</v>
      </c>
      <c r="N65" s="95" t="s">
        <v>202</v>
      </c>
      <c r="O65" s="210">
        <f t="shared" ca="1" si="22"/>
        <v>7767073.8899999997</v>
      </c>
      <c r="P65" s="135">
        <f t="shared" ca="1" si="23"/>
        <v>8114090.7693293141</v>
      </c>
      <c r="Q65" s="135">
        <f t="shared" si="24"/>
        <v>815013</v>
      </c>
      <c r="T65" s="135"/>
    </row>
    <row r="66" spans="12:20">
      <c r="L66" s="97" t="s">
        <v>506</v>
      </c>
      <c r="M66" s="97" t="s">
        <v>29</v>
      </c>
      <c r="N66" s="95" t="s">
        <v>207</v>
      </c>
      <c r="O66" s="210">
        <f t="shared" ca="1" si="22"/>
        <v>14387854.828355581</v>
      </c>
      <c r="P66" s="135">
        <f t="shared" ca="1" si="23"/>
        <v>14972946.897217315</v>
      </c>
      <c r="Q66" s="135">
        <f t="shared" si="24"/>
        <v>210164400.0636223</v>
      </c>
      <c r="T66" s="135"/>
    </row>
    <row r="67" spans="12:20">
      <c r="L67" s="97" t="s">
        <v>506</v>
      </c>
      <c r="M67" s="97" t="s">
        <v>29</v>
      </c>
      <c r="N67" s="95" t="s">
        <v>208</v>
      </c>
      <c r="O67" s="210">
        <f t="shared" ca="1" si="22"/>
        <v>19516802.580000002</v>
      </c>
      <c r="P67" s="135">
        <f t="shared" ca="1" si="23"/>
        <v>20435697.496277232</v>
      </c>
      <c r="Q67" s="135">
        <f t="shared" si="24"/>
        <v>330066000</v>
      </c>
      <c r="T67" s="135"/>
    </row>
    <row r="68" spans="12:20">
      <c r="L68" s="97" t="s">
        <v>506</v>
      </c>
      <c r="M68" s="97" t="s">
        <v>29</v>
      </c>
      <c r="N68" s="95" t="s">
        <v>201</v>
      </c>
      <c r="O68" s="210">
        <f t="shared" si="22"/>
        <v>11647.889999999998</v>
      </c>
      <c r="P68" s="135">
        <f t="shared" si="23"/>
        <v>12104.669999999998</v>
      </c>
      <c r="Q68" s="135">
        <f t="shared" si="24"/>
        <v>22838.999999999996</v>
      </c>
      <c r="T68" s="135"/>
    </row>
    <row r="69" spans="12:20">
      <c r="L69" s="145" t="s">
        <v>506</v>
      </c>
      <c r="M69" s="145" t="s">
        <v>29</v>
      </c>
      <c r="N69" s="147" t="s">
        <v>168</v>
      </c>
      <c r="O69" s="211">
        <f t="shared" si="22"/>
        <v>730955.31297389569</v>
      </c>
      <c r="P69" s="135">
        <f t="shared" si="23"/>
        <v>730955.31297389569</v>
      </c>
      <c r="Q69" s="135">
        <f t="shared" si="24"/>
        <v>0</v>
      </c>
      <c r="T69" s="135"/>
    </row>
    <row r="71" spans="12:20">
      <c r="O71" s="547" t="s">
        <v>215</v>
      </c>
      <c r="P71" s="201"/>
    </row>
    <row r="72" spans="12:20">
      <c r="O72" s="548" t="s">
        <v>501</v>
      </c>
      <c r="P72" s="546">
        <f ca="1">SUM(P40:P46)-SUM(O24:O27)</f>
        <v>0</v>
      </c>
    </row>
    <row r="73" spans="12:20">
      <c r="O73" s="549" t="s">
        <v>503</v>
      </c>
      <c r="P73" s="534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26.33203125" style="152" bestFit="1" customWidth="1"/>
    <col min="2" max="2" width="7.1640625" style="152" bestFit="1" customWidth="1"/>
    <col min="3" max="5" width="15.1640625" style="152" customWidth="1"/>
    <col min="6" max="6" width="13.33203125" style="153" customWidth="1"/>
    <col min="7" max="7" width="13.33203125" style="303" bestFit="1" customWidth="1"/>
    <col min="8" max="8" width="13.33203125" customWidth="1"/>
  </cols>
  <sheetData>
    <row r="1" spans="1:7">
      <c r="A1" s="253" t="s">
        <v>252</v>
      </c>
      <c r="B1" s="244"/>
      <c r="C1" s="244"/>
      <c r="D1" s="244"/>
      <c r="E1" s="244"/>
      <c r="F1" s="246"/>
    </row>
    <row r="2" spans="1:7">
      <c r="A2" s="268" t="s">
        <v>485</v>
      </c>
      <c r="B2" s="247"/>
      <c r="C2" s="247"/>
      <c r="D2" s="247"/>
      <c r="E2" s="247"/>
      <c r="F2" s="263"/>
    </row>
    <row r="3" spans="1:7">
      <c r="A3" s="248" t="s">
        <v>407</v>
      </c>
      <c r="B3" s="249"/>
      <c r="C3" s="249"/>
      <c r="D3" s="250"/>
      <c r="E3" s="251"/>
      <c r="F3" s="252"/>
      <c r="G3" s="270"/>
    </row>
    <row r="4" spans="1:7">
      <c r="A4" s="226"/>
      <c r="B4" s="226"/>
      <c r="C4" s="226" t="s">
        <v>178</v>
      </c>
      <c r="D4" s="227" t="s">
        <v>194</v>
      </c>
      <c r="E4" s="227" t="s">
        <v>401</v>
      </c>
      <c r="F4" s="228" t="s">
        <v>206</v>
      </c>
      <c r="G4" s="270"/>
    </row>
    <row r="5" spans="1:7">
      <c r="A5" s="254" t="s">
        <v>217</v>
      </c>
      <c r="B5" s="140" t="s">
        <v>402</v>
      </c>
      <c r="C5" s="140" t="s">
        <v>176</v>
      </c>
      <c r="D5" s="139" t="s">
        <v>203</v>
      </c>
      <c r="E5" s="139" t="s">
        <v>335</v>
      </c>
      <c r="F5" s="139">
        <f>SUMIFS('Normalized Units'!I:I,'Normalized Units'!B:B,"Normalized Billing Units",'Normalized Units'!C:C,A$1,'Normalized Units'!G:G,D5,'Normalized Units'!H:H,E5)</f>
        <v>12</v>
      </c>
      <c r="G5" s="270"/>
    </row>
    <row r="6" spans="1:7">
      <c r="A6" s="230" t="s">
        <v>217</v>
      </c>
      <c r="B6" s="97" t="s">
        <v>402</v>
      </c>
      <c r="C6" s="97" t="s">
        <v>176</v>
      </c>
      <c r="D6" s="95" t="s">
        <v>203</v>
      </c>
      <c r="E6" s="97" t="s">
        <v>281</v>
      </c>
      <c r="F6" s="95">
        <f>SUMIFS('Normalized Units'!I:I,'Normalized Units'!B:B,"Normalized Billing Units",'Normalized Units'!C:C,A$1,'Normalized Units'!G:G,D6,'Normalized Units'!H:H,E6)</f>
        <v>24249</v>
      </c>
      <c r="G6" s="270"/>
    </row>
    <row r="7" spans="1:7">
      <c r="A7" s="230" t="s">
        <v>217</v>
      </c>
      <c r="B7" s="97" t="s">
        <v>402</v>
      </c>
      <c r="C7" s="97" t="s">
        <v>176</v>
      </c>
      <c r="D7" s="95" t="s">
        <v>195</v>
      </c>
      <c r="E7" s="95" t="s">
        <v>202</v>
      </c>
      <c r="F7" s="95">
        <f>SUMIFS('Normalized Units'!I:I,'Normalized Units'!B:B,"Normalized Billing Units",'Normalized Units'!C:C,A$1,'Normalized Units'!G:G,D7,'Normalized Units'!H:H,E7)</f>
        <v>17900</v>
      </c>
      <c r="G7" s="270"/>
    </row>
    <row r="8" spans="1:7">
      <c r="A8" s="230" t="s">
        <v>217</v>
      </c>
      <c r="B8" s="97" t="s">
        <v>402</v>
      </c>
      <c r="C8" s="97" t="s">
        <v>176</v>
      </c>
      <c r="D8" s="95" t="s">
        <v>195</v>
      </c>
      <c r="E8" s="95" t="s">
        <v>286</v>
      </c>
      <c r="F8" s="95">
        <f>SUMIFS('Normalized Units'!I:I,'Normalized Units'!B:B,"Normalized Billing Units",'Normalized Units'!C:C,A$1,'Normalized Units'!G:G,D8,'Normalized Units'!H:H,E8)</f>
        <v>6100</v>
      </c>
      <c r="G8" s="270"/>
    </row>
    <row r="9" spans="1:7">
      <c r="A9" s="230" t="s">
        <v>217</v>
      </c>
      <c r="B9" s="97" t="s">
        <v>402</v>
      </c>
      <c r="C9" s="97" t="s">
        <v>176</v>
      </c>
      <c r="D9" s="95" t="s">
        <v>195</v>
      </c>
      <c r="E9" s="95" t="s">
        <v>207</v>
      </c>
      <c r="F9" s="95">
        <f>SUMIFS('Normalized Units'!I:I,'Normalized Units'!B:B,"Normalized Billing Units",'Normalized Units'!C:C,A$1,'Normalized Units'!G:G,D9,'Normalized Units'!H:H,E9)</f>
        <v>750000</v>
      </c>
      <c r="G9" s="270"/>
    </row>
    <row r="10" spans="1:7">
      <c r="A10" s="255" t="s">
        <v>217</v>
      </c>
      <c r="B10" s="145" t="s">
        <v>402</v>
      </c>
      <c r="C10" s="145" t="s">
        <v>176</v>
      </c>
      <c r="D10" s="147" t="s">
        <v>195</v>
      </c>
      <c r="E10" s="147" t="s">
        <v>208</v>
      </c>
      <c r="F10" s="147">
        <f>SUMIFS('Normalized Units'!I:I,'Normalized Units'!B:B,"Normalized Billing Units",'Normalized Units'!C:C,A$1,'Normalized Units'!G:G,D10,'Normalized Units'!H:H,E10)</f>
        <v>927000</v>
      </c>
      <c r="G10" s="270"/>
    </row>
    <row r="11" spans="1:7" s="135" customFormat="1">
      <c r="A11" s="140" t="s">
        <v>406</v>
      </c>
      <c r="B11" s="140" t="s">
        <v>403</v>
      </c>
      <c r="C11" s="140" t="s">
        <v>176</v>
      </c>
      <c r="D11" s="139" t="s">
        <v>203</v>
      </c>
      <c r="E11" s="140" t="s">
        <v>335</v>
      </c>
      <c r="F11" s="315">
        <v>1313</v>
      </c>
      <c r="G11" s="303"/>
    </row>
    <row r="12" spans="1:7" s="135" customFormat="1">
      <c r="A12" s="97" t="s">
        <v>406</v>
      </c>
      <c r="B12" s="97" t="s">
        <v>403</v>
      </c>
      <c r="C12" s="97" t="s">
        <v>176</v>
      </c>
      <c r="D12" s="95" t="s">
        <v>203</v>
      </c>
      <c r="E12" s="97" t="s">
        <v>281</v>
      </c>
      <c r="F12" s="316">
        <v>1.22</v>
      </c>
      <c r="G12" s="303"/>
    </row>
    <row r="13" spans="1:7" s="135" customFormat="1">
      <c r="A13" s="97" t="s">
        <v>406</v>
      </c>
      <c r="B13" s="97" t="s">
        <v>403</v>
      </c>
      <c r="C13" s="97" t="s">
        <v>176</v>
      </c>
      <c r="D13" s="95" t="s">
        <v>195</v>
      </c>
      <c r="E13" s="95" t="s">
        <v>202</v>
      </c>
      <c r="F13" s="316">
        <v>8.73</v>
      </c>
      <c r="G13" s="303"/>
    </row>
    <row r="14" spans="1:7" s="135" customFormat="1">
      <c r="A14" s="97" t="s">
        <v>406</v>
      </c>
      <c r="B14" s="97" t="s">
        <v>403</v>
      </c>
      <c r="C14" s="97" t="s">
        <v>176</v>
      </c>
      <c r="D14" s="95" t="s">
        <v>195</v>
      </c>
      <c r="E14" s="95" t="s">
        <v>286</v>
      </c>
      <c r="F14" s="316">
        <v>4.37</v>
      </c>
      <c r="G14" s="303"/>
    </row>
    <row r="15" spans="1:7" s="135" customFormat="1">
      <c r="A15" s="97" t="s">
        <v>406</v>
      </c>
      <c r="B15" s="97" t="s">
        <v>403</v>
      </c>
      <c r="C15" s="97" t="s">
        <v>176</v>
      </c>
      <c r="D15" s="95" t="s">
        <v>195</v>
      </c>
      <c r="E15" s="95" t="s">
        <v>207</v>
      </c>
      <c r="F15" s="316">
        <v>6.318E-2</v>
      </c>
      <c r="G15" s="303"/>
    </row>
    <row r="16" spans="1:7" s="135" customFormat="1">
      <c r="A16" s="145" t="s">
        <v>406</v>
      </c>
      <c r="B16" s="145" t="s">
        <v>403</v>
      </c>
      <c r="C16" s="145" t="s">
        <v>176</v>
      </c>
      <c r="D16" s="147" t="s">
        <v>195</v>
      </c>
      <c r="E16" s="147" t="s">
        <v>208</v>
      </c>
      <c r="F16" s="317">
        <v>5.3850000000000002E-2</v>
      </c>
      <c r="G16" s="303"/>
    </row>
    <row r="17" spans="1:8" s="135" customFormat="1">
      <c r="A17" s="140" t="s">
        <v>406</v>
      </c>
      <c r="B17" s="140" t="s">
        <v>29</v>
      </c>
      <c r="C17" s="140" t="s">
        <v>176</v>
      </c>
      <c r="D17" s="141" t="s">
        <v>203</v>
      </c>
      <c r="E17" s="141" t="s">
        <v>335</v>
      </c>
      <c r="F17" s="213">
        <f t="shared" ref="F17:F22" si="0">F5*F11</f>
        <v>15756</v>
      </c>
      <c r="G17" s="303"/>
    </row>
    <row r="18" spans="1:8" s="135" customFormat="1">
      <c r="A18" s="97" t="s">
        <v>406</v>
      </c>
      <c r="B18" s="97" t="s">
        <v>29</v>
      </c>
      <c r="C18" s="97" t="s">
        <v>176</v>
      </c>
      <c r="D18" s="143" t="s">
        <v>203</v>
      </c>
      <c r="E18" s="59" t="s">
        <v>281</v>
      </c>
      <c r="F18" s="210">
        <f t="shared" si="0"/>
        <v>29583.78</v>
      </c>
      <c r="G18" s="303"/>
    </row>
    <row r="19" spans="1:8" s="135" customFormat="1">
      <c r="A19" s="97" t="s">
        <v>406</v>
      </c>
      <c r="B19" s="97" t="s">
        <v>29</v>
      </c>
      <c r="C19" s="97" t="s">
        <v>176</v>
      </c>
      <c r="D19" s="143" t="s">
        <v>195</v>
      </c>
      <c r="E19" s="143" t="s">
        <v>202</v>
      </c>
      <c r="F19" s="210">
        <f t="shared" si="0"/>
        <v>156267</v>
      </c>
      <c r="G19" s="303"/>
    </row>
    <row r="20" spans="1:8" s="135" customFormat="1">
      <c r="A20" s="97" t="s">
        <v>406</v>
      </c>
      <c r="B20" s="97" t="s">
        <v>29</v>
      </c>
      <c r="C20" s="97" t="s">
        <v>176</v>
      </c>
      <c r="D20" s="143" t="s">
        <v>195</v>
      </c>
      <c r="E20" s="143" t="s">
        <v>286</v>
      </c>
      <c r="F20" s="210">
        <f t="shared" si="0"/>
        <v>26657</v>
      </c>
      <c r="G20" s="303"/>
    </row>
    <row r="21" spans="1:8" s="135" customFormat="1">
      <c r="A21" s="97" t="s">
        <v>406</v>
      </c>
      <c r="B21" s="97" t="s">
        <v>29</v>
      </c>
      <c r="C21" s="97" t="s">
        <v>176</v>
      </c>
      <c r="D21" s="143" t="s">
        <v>195</v>
      </c>
      <c r="E21" s="143" t="s">
        <v>207</v>
      </c>
      <c r="F21" s="210">
        <f t="shared" si="0"/>
        <v>47385</v>
      </c>
      <c r="G21" s="303"/>
    </row>
    <row r="22" spans="1:8" s="135" customFormat="1">
      <c r="A22" s="97" t="s">
        <v>406</v>
      </c>
      <c r="B22" s="97" t="s">
        <v>29</v>
      </c>
      <c r="C22" s="97" t="s">
        <v>176</v>
      </c>
      <c r="D22" s="143" t="s">
        <v>195</v>
      </c>
      <c r="E22" s="143" t="s">
        <v>208</v>
      </c>
      <c r="F22" s="210">
        <f t="shared" si="0"/>
        <v>49918.950000000004</v>
      </c>
      <c r="G22" s="303"/>
    </row>
    <row r="23" spans="1:8" s="135" customFormat="1">
      <c r="A23" s="145" t="s">
        <v>406</v>
      </c>
      <c r="B23" s="145" t="s">
        <v>29</v>
      </c>
      <c r="C23" s="145" t="s">
        <v>176</v>
      </c>
      <c r="D23" s="147" t="s">
        <v>195</v>
      </c>
      <c r="E23" s="209" t="s">
        <v>168</v>
      </c>
      <c r="F23" s="211">
        <f>Unbilled!E12</f>
        <v>6272.3581069083993</v>
      </c>
      <c r="G23" s="303"/>
    </row>
    <row r="24" spans="1:8">
      <c r="A24" s="292" t="s">
        <v>532</v>
      </c>
      <c r="B24" s="416" t="s">
        <v>29</v>
      </c>
      <c r="C24" s="226" t="s">
        <v>195</v>
      </c>
      <c r="D24" s="226" t="s">
        <v>195</v>
      </c>
      <c r="E24" s="226" t="s">
        <v>195</v>
      </c>
      <c r="F24" s="226">
        <f ca="1">SUM(G31:G37)</f>
        <v>369089.94290457672</v>
      </c>
      <c r="G24" s="327"/>
    </row>
    <row r="25" spans="1:8">
      <c r="A25" s="212" t="s">
        <v>505</v>
      </c>
      <c r="B25" s="212" t="s">
        <v>403</v>
      </c>
      <c r="C25" s="140" t="s">
        <v>176</v>
      </c>
      <c r="D25" s="141" t="s">
        <v>203</v>
      </c>
      <c r="E25" s="141" t="s">
        <v>335</v>
      </c>
      <c r="F25" s="535">
        <f ca="1">Sch.48T!T92</f>
        <v>1318.25</v>
      </c>
      <c r="G25" s="303">
        <f ca="1">Sch.48T!W92</f>
        <v>1308.887795699148</v>
      </c>
      <c r="H25" s="303"/>
    </row>
    <row r="26" spans="1:8">
      <c r="A26" s="208" t="s">
        <v>505</v>
      </c>
      <c r="B26" s="208" t="s">
        <v>403</v>
      </c>
      <c r="C26" s="97" t="s">
        <v>176</v>
      </c>
      <c r="D26" s="143" t="s">
        <v>203</v>
      </c>
      <c r="E26" s="59" t="s">
        <v>281</v>
      </c>
      <c r="F26" s="343">
        <f ca="1">Sch.48T!T94</f>
        <v>2.34</v>
      </c>
      <c r="G26" s="303">
        <f ca="1">Sch.48T!W94</f>
        <v>2.3200433544941528</v>
      </c>
      <c r="H26" s="303"/>
    </row>
    <row r="27" spans="1:8">
      <c r="A27" s="208" t="s">
        <v>505</v>
      </c>
      <c r="B27" s="208" t="s">
        <v>403</v>
      </c>
      <c r="C27" s="97" t="s">
        <v>176</v>
      </c>
      <c r="D27" s="143" t="s">
        <v>195</v>
      </c>
      <c r="E27" s="143" t="s">
        <v>202</v>
      </c>
      <c r="F27" s="343">
        <f ca="1">Sch.48T!T96</f>
        <v>9</v>
      </c>
      <c r="G27" s="303">
        <f ca="1">Sch.48T!W96</f>
        <v>8.9395577492777605</v>
      </c>
      <c r="H27" s="303"/>
    </row>
    <row r="28" spans="1:8">
      <c r="A28" s="208" t="s">
        <v>505</v>
      </c>
      <c r="B28" s="208" t="s">
        <v>403</v>
      </c>
      <c r="C28" s="97" t="s">
        <v>176</v>
      </c>
      <c r="D28" s="143" t="s">
        <v>195</v>
      </c>
      <c r="E28" s="143" t="s">
        <v>286</v>
      </c>
      <c r="F28" s="343">
        <f ca="1">ROUND(F27/2,2)</f>
        <v>4.5</v>
      </c>
      <c r="G28" s="303">
        <f ca="1">G27/2</f>
        <v>4.4697788746388802</v>
      </c>
      <c r="H28" s="303"/>
    </row>
    <row r="29" spans="1:8">
      <c r="A29" s="208" t="s">
        <v>505</v>
      </c>
      <c r="B29" s="208" t="s">
        <v>403</v>
      </c>
      <c r="C29" s="97" t="s">
        <v>176</v>
      </c>
      <c r="D29" s="143" t="s">
        <v>195</v>
      </c>
      <c r="E29" s="143" t="s">
        <v>207</v>
      </c>
      <c r="F29" s="343">
        <f ca="1">Sch.48T!T97</f>
        <v>6.7349999999999993E-2</v>
      </c>
      <c r="G29" s="303">
        <f ca="1">Sch.48T!W97</f>
        <v>6.6915548657591389E-2</v>
      </c>
      <c r="H29" s="303"/>
    </row>
    <row r="30" spans="1:8">
      <c r="A30" s="209" t="s">
        <v>505</v>
      </c>
      <c r="B30" s="209" t="s">
        <v>403</v>
      </c>
      <c r="C30" s="145" t="s">
        <v>176</v>
      </c>
      <c r="D30" s="146" t="s">
        <v>195</v>
      </c>
      <c r="E30" s="146" t="s">
        <v>208</v>
      </c>
      <c r="F30" s="536">
        <f ca="1">Sch.48T!T98</f>
        <v>5.8020000000000002E-2</v>
      </c>
      <c r="G30" s="303">
        <f ca="1">Sch.48T!W98</f>
        <v>5.7585548657591398E-2</v>
      </c>
      <c r="H30" s="303"/>
    </row>
    <row r="31" spans="1:8">
      <c r="A31" s="212" t="s">
        <v>505</v>
      </c>
      <c r="B31" s="212" t="s">
        <v>29</v>
      </c>
      <c r="C31" s="140" t="s">
        <v>176</v>
      </c>
      <c r="D31" s="141" t="s">
        <v>203</v>
      </c>
      <c r="E31" s="141" t="s">
        <v>335</v>
      </c>
      <c r="F31" s="213">
        <f ca="1">SUMIFS(F$25:F$30,E$25:E$30,E31)*H31</f>
        <v>15819</v>
      </c>
      <c r="G31" s="135">
        <f t="shared" ref="G31:G36" ca="1" si="1">SUMIFS(G$25:G$30,E$25:E$30,E31)*H31</f>
        <v>15706.653548389775</v>
      </c>
      <c r="H31" s="135">
        <f>SUMIFS(F$5:F$10,E$5:E$10,E31)</f>
        <v>12</v>
      </c>
    </row>
    <row r="32" spans="1:8">
      <c r="A32" s="208" t="s">
        <v>505</v>
      </c>
      <c r="B32" s="208" t="s">
        <v>29</v>
      </c>
      <c r="C32" s="97" t="s">
        <v>176</v>
      </c>
      <c r="D32" s="143" t="s">
        <v>203</v>
      </c>
      <c r="E32" s="59" t="s">
        <v>281</v>
      </c>
      <c r="F32" s="210">
        <f t="shared" ref="F32:F36" ca="1" si="2">SUMIFS(F$25:F$30,E$25:E$30,E32)*H32</f>
        <v>56742.659999999996</v>
      </c>
      <c r="G32" s="135">
        <f t="shared" ca="1" si="1"/>
        <v>56258.731303128712</v>
      </c>
      <c r="H32" s="135">
        <f t="shared" ref="H32:H37" si="3">SUMIFS(F$5:F$10,E$5:E$10,E32)</f>
        <v>24249</v>
      </c>
    </row>
    <row r="33" spans="1:8">
      <c r="A33" s="208" t="s">
        <v>505</v>
      </c>
      <c r="B33" s="208" t="s">
        <v>29</v>
      </c>
      <c r="C33" s="97" t="s">
        <v>176</v>
      </c>
      <c r="D33" s="143" t="s">
        <v>195</v>
      </c>
      <c r="E33" s="143" t="s">
        <v>202</v>
      </c>
      <c r="F33" s="210">
        <f t="shared" ca="1" si="2"/>
        <v>161100</v>
      </c>
      <c r="G33" s="135">
        <f t="shared" ca="1" si="1"/>
        <v>160018.08371207191</v>
      </c>
      <c r="H33" s="135">
        <f t="shared" si="3"/>
        <v>17900</v>
      </c>
    </row>
    <row r="34" spans="1:8">
      <c r="A34" s="208" t="s">
        <v>505</v>
      </c>
      <c r="B34" s="208" t="s">
        <v>29</v>
      </c>
      <c r="C34" s="97" t="s">
        <v>176</v>
      </c>
      <c r="D34" s="143" t="s">
        <v>195</v>
      </c>
      <c r="E34" s="143" t="s">
        <v>286</v>
      </c>
      <c r="F34" s="210">
        <f t="shared" ca="1" si="2"/>
        <v>27450</v>
      </c>
      <c r="G34" s="135">
        <f t="shared" ca="1" si="1"/>
        <v>27265.651135297168</v>
      </c>
      <c r="H34" s="135">
        <f t="shared" si="3"/>
        <v>6100</v>
      </c>
    </row>
    <row r="35" spans="1:8">
      <c r="A35" s="208" t="s">
        <v>505</v>
      </c>
      <c r="B35" s="208" t="s">
        <v>29</v>
      </c>
      <c r="C35" s="97" t="s">
        <v>176</v>
      </c>
      <c r="D35" s="143" t="s">
        <v>195</v>
      </c>
      <c r="E35" s="143" t="s">
        <v>207</v>
      </c>
      <c r="F35" s="210">
        <f t="shared" ca="1" si="2"/>
        <v>50512.499999999993</v>
      </c>
      <c r="G35" s="135">
        <f t="shared" ca="1" si="1"/>
        <v>50186.66149319354</v>
      </c>
      <c r="H35" s="135">
        <f t="shared" si="3"/>
        <v>750000</v>
      </c>
    </row>
    <row r="36" spans="1:8">
      <c r="A36" s="208" t="s">
        <v>505</v>
      </c>
      <c r="B36" s="208" t="s">
        <v>29</v>
      </c>
      <c r="C36" s="97" t="s">
        <v>176</v>
      </c>
      <c r="D36" s="143" t="s">
        <v>195</v>
      </c>
      <c r="E36" s="143" t="s">
        <v>208</v>
      </c>
      <c r="F36" s="210">
        <f t="shared" ca="1" si="2"/>
        <v>53784.54</v>
      </c>
      <c r="G36" s="135">
        <f t="shared" ca="1" si="1"/>
        <v>53381.803605587229</v>
      </c>
      <c r="H36" s="135">
        <f t="shared" si="3"/>
        <v>927000</v>
      </c>
    </row>
    <row r="37" spans="1:8">
      <c r="A37" s="209" t="s">
        <v>505</v>
      </c>
      <c r="B37" s="209" t="s">
        <v>29</v>
      </c>
      <c r="C37" s="145" t="s">
        <v>176</v>
      </c>
      <c r="D37" s="147" t="s">
        <v>195</v>
      </c>
      <c r="E37" s="209" t="s">
        <v>168</v>
      </c>
      <c r="F37" s="211">
        <f>F23</f>
        <v>6272.3581069083993</v>
      </c>
      <c r="G37" s="135">
        <f>F23</f>
        <v>6272.3581069083993</v>
      </c>
      <c r="H37" s="135">
        <f t="shared" si="3"/>
        <v>0</v>
      </c>
    </row>
    <row r="38" spans="1:8">
      <c r="A38" s="292" t="s">
        <v>533</v>
      </c>
      <c r="B38" s="416" t="s">
        <v>29</v>
      </c>
      <c r="C38" s="226" t="s">
        <v>195</v>
      </c>
      <c r="D38" s="226" t="s">
        <v>195</v>
      </c>
      <c r="E38" s="226" t="s">
        <v>195</v>
      </c>
      <c r="F38" s="226">
        <f ca="1">SUM(G45:G51)</f>
        <v>402200.7848994573</v>
      </c>
      <c r="G38" s="327"/>
    </row>
    <row r="39" spans="1:8">
      <c r="A39" s="212" t="s">
        <v>506</v>
      </c>
      <c r="B39" s="212" t="s">
        <v>403</v>
      </c>
      <c r="C39" s="140" t="s">
        <v>176</v>
      </c>
      <c r="D39" s="141" t="s">
        <v>203</v>
      </c>
      <c r="E39" s="141" t="s">
        <v>335</v>
      </c>
      <c r="F39" s="535">
        <f ca="1">Sch.48T!T158</f>
        <v>1293</v>
      </c>
      <c r="G39" s="303">
        <f ca="1">Sch.48T!W158</f>
        <v>1284.0131388555142</v>
      </c>
      <c r="H39" s="303"/>
    </row>
    <row r="40" spans="1:8">
      <c r="A40" s="208" t="s">
        <v>506</v>
      </c>
      <c r="B40" s="208" t="s">
        <v>403</v>
      </c>
      <c r="C40" s="97" t="s">
        <v>176</v>
      </c>
      <c r="D40" s="143" t="s">
        <v>203</v>
      </c>
      <c r="E40" s="59" t="s">
        <v>281</v>
      </c>
      <c r="F40" s="343">
        <f ca="1">Sch.48T!T160</f>
        <v>3.46</v>
      </c>
      <c r="G40" s="303">
        <f ca="1">Sch.48T!W160</f>
        <v>3.4317937814036021</v>
      </c>
      <c r="H40" s="303"/>
    </row>
    <row r="41" spans="1:8">
      <c r="A41" s="208" t="s">
        <v>506</v>
      </c>
      <c r="B41" s="208" t="s">
        <v>403</v>
      </c>
      <c r="C41" s="97" t="s">
        <v>176</v>
      </c>
      <c r="D41" s="143" t="s">
        <v>195</v>
      </c>
      <c r="E41" s="143" t="s">
        <v>202</v>
      </c>
      <c r="F41" s="343">
        <f ca="1">Sch.48T!T162</f>
        <v>9.08</v>
      </c>
      <c r="G41" s="303">
        <f ca="1">Sch.48T!W162</f>
        <v>9.0136322882649971</v>
      </c>
      <c r="H41" s="303"/>
    </row>
    <row r="42" spans="1:8">
      <c r="A42" s="208" t="s">
        <v>506</v>
      </c>
      <c r="B42" s="208" t="s">
        <v>403</v>
      </c>
      <c r="C42" s="97" t="s">
        <v>176</v>
      </c>
      <c r="D42" s="143" t="s">
        <v>195</v>
      </c>
      <c r="E42" s="143" t="s">
        <v>286</v>
      </c>
      <c r="F42" s="343">
        <f ca="1">ROUND(F41/2,2)</f>
        <v>4.54</v>
      </c>
      <c r="G42" s="303">
        <f ca="1">G41/2</f>
        <v>4.5068161441324985</v>
      </c>
      <c r="H42" s="303"/>
    </row>
    <row r="43" spans="1:8">
      <c r="A43" s="208" t="s">
        <v>506</v>
      </c>
      <c r="B43" s="208" t="s">
        <v>403</v>
      </c>
      <c r="C43" s="97" t="s">
        <v>176</v>
      </c>
      <c r="D43" s="143" t="s">
        <v>195</v>
      </c>
      <c r="E43" s="143" t="s">
        <v>207</v>
      </c>
      <c r="F43" s="343">
        <f ca="1">Sch.48T!T163</f>
        <v>7.0290000000000005E-2</v>
      </c>
      <c r="G43" s="303">
        <f ca="1">Sch.48T!W163</f>
        <v>6.9836622112030497E-2</v>
      </c>
      <c r="H43" s="303"/>
    </row>
    <row r="44" spans="1:8">
      <c r="A44" s="209" t="s">
        <v>506</v>
      </c>
      <c r="B44" s="209" t="s">
        <v>403</v>
      </c>
      <c r="C44" s="145" t="s">
        <v>176</v>
      </c>
      <c r="D44" s="146" t="s">
        <v>195</v>
      </c>
      <c r="E44" s="146" t="s">
        <v>208</v>
      </c>
      <c r="F44" s="536">
        <f ca="1">Sch.48T!T164</f>
        <v>6.096E-2</v>
      </c>
      <c r="G44" s="303">
        <f ca="1">Sch.48T!W164</f>
        <v>6.0506622112030499E-2</v>
      </c>
      <c r="H44" s="303"/>
    </row>
    <row r="45" spans="1:8">
      <c r="A45" s="212" t="s">
        <v>506</v>
      </c>
      <c r="B45" s="212" t="s">
        <v>29</v>
      </c>
      <c r="C45" s="140" t="s">
        <v>176</v>
      </c>
      <c r="D45" s="141" t="s">
        <v>203</v>
      </c>
      <c r="E45" s="141" t="s">
        <v>335</v>
      </c>
      <c r="F45" s="213">
        <f t="shared" ref="F45:F50" ca="1" si="4">SUMIFS(F$39:F$44,E$39:E$44,E45)*H45</f>
        <v>15516</v>
      </c>
      <c r="G45" s="135">
        <f t="shared" ref="G45:G50" ca="1" si="5">SUMIFS(G$39:G$44,E$39:E$44,E45)*H45</f>
        <v>15408.15766626617</v>
      </c>
      <c r="H45" s="135">
        <f>SUMIFS(F$5:F$10,E$5:E$10,E45)</f>
        <v>12</v>
      </c>
    </row>
    <row r="46" spans="1:8">
      <c r="A46" s="208" t="s">
        <v>506</v>
      </c>
      <c r="B46" s="208" t="s">
        <v>29</v>
      </c>
      <c r="C46" s="97" t="s">
        <v>176</v>
      </c>
      <c r="D46" s="143" t="s">
        <v>203</v>
      </c>
      <c r="E46" s="59" t="s">
        <v>281</v>
      </c>
      <c r="F46" s="210">
        <f t="shared" ca="1" si="4"/>
        <v>83901.54</v>
      </c>
      <c r="G46" s="135">
        <f t="shared" ca="1" si="5"/>
        <v>83217.567405255948</v>
      </c>
      <c r="H46" s="135">
        <f t="shared" ref="H46:H51" si="6">SUMIFS(F$5:F$10,E$5:E$10,E46)</f>
        <v>24249</v>
      </c>
    </row>
    <row r="47" spans="1:8">
      <c r="A47" s="208" t="s">
        <v>506</v>
      </c>
      <c r="B47" s="208" t="s">
        <v>29</v>
      </c>
      <c r="C47" s="97" t="s">
        <v>176</v>
      </c>
      <c r="D47" s="143" t="s">
        <v>195</v>
      </c>
      <c r="E47" s="143" t="s">
        <v>202</v>
      </c>
      <c r="F47" s="210">
        <f t="shared" ca="1" si="4"/>
        <v>162532</v>
      </c>
      <c r="G47" s="135">
        <f t="shared" ca="1" si="5"/>
        <v>161344.01795994345</v>
      </c>
      <c r="H47" s="135">
        <f t="shared" si="6"/>
        <v>17900</v>
      </c>
    </row>
    <row r="48" spans="1:8">
      <c r="A48" s="208" t="s">
        <v>506</v>
      </c>
      <c r="B48" s="208" t="s">
        <v>29</v>
      </c>
      <c r="C48" s="97" t="s">
        <v>176</v>
      </c>
      <c r="D48" s="143" t="s">
        <v>195</v>
      </c>
      <c r="E48" s="143" t="s">
        <v>286</v>
      </c>
      <c r="F48" s="210">
        <f t="shared" ca="1" si="4"/>
        <v>27694</v>
      </c>
      <c r="G48" s="135">
        <f t="shared" ca="1" si="5"/>
        <v>27491.578479208241</v>
      </c>
      <c r="H48" s="135">
        <f t="shared" si="6"/>
        <v>6100</v>
      </c>
    </row>
    <row r="49" spans="1:8">
      <c r="A49" s="208" t="s">
        <v>506</v>
      </c>
      <c r="B49" s="208" t="s">
        <v>29</v>
      </c>
      <c r="C49" s="97" t="s">
        <v>176</v>
      </c>
      <c r="D49" s="143" t="s">
        <v>195</v>
      </c>
      <c r="E49" s="143" t="s">
        <v>207</v>
      </c>
      <c r="F49" s="210">
        <f t="shared" ca="1" si="4"/>
        <v>52717.500000000007</v>
      </c>
      <c r="G49" s="135">
        <f t="shared" ca="1" si="5"/>
        <v>52377.46658402287</v>
      </c>
      <c r="H49" s="135">
        <f t="shared" si="6"/>
        <v>750000</v>
      </c>
    </row>
    <row r="50" spans="1:8">
      <c r="A50" s="208" t="s">
        <v>506</v>
      </c>
      <c r="B50" s="208" t="s">
        <v>29</v>
      </c>
      <c r="C50" s="97" t="s">
        <v>176</v>
      </c>
      <c r="D50" s="143" t="s">
        <v>195</v>
      </c>
      <c r="E50" s="143" t="s">
        <v>208</v>
      </c>
      <c r="F50" s="210">
        <f t="shared" ca="1" si="4"/>
        <v>56509.919999999998</v>
      </c>
      <c r="G50" s="135">
        <f t="shared" ca="1" si="5"/>
        <v>56089.638697852271</v>
      </c>
      <c r="H50" s="135">
        <f t="shared" si="6"/>
        <v>927000</v>
      </c>
    </row>
    <row r="51" spans="1:8">
      <c r="A51" s="209" t="s">
        <v>506</v>
      </c>
      <c r="B51" s="209" t="s">
        <v>29</v>
      </c>
      <c r="C51" s="145" t="s">
        <v>176</v>
      </c>
      <c r="D51" s="147" t="s">
        <v>195</v>
      </c>
      <c r="E51" s="209" t="s">
        <v>168</v>
      </c>
      <c r="F51" s="211">
        <f>F23</f>
        <v>6272.3581069083993</v>
      </c>
      <c r="G51" s="135">
        <f>F23</f>
        <v>6272.3581069083993</v>
      </c>
      <c r="H51" s="135">
        <f t="shared" si="6"/>
        <v>0</v>
      </c>
    </row>
    <row r="53" spans="1:8">
      <c r="F53" s="547" t="s">
        <v>215</v>
      </c>
      <c r="G53" s="201"/>
    </row>
    <row r="54" spans="1:8">
      <c r="F54" s="548" t="s">
        <v>501</v>
      </c>
      <c r="G54" s="546">
        <f ca="1">SUM(G31:G37)-F24</f>
        <v>0</v>
      </c>
    </row>
    <row r="55" spans="1:8">
      <c r="F55" s="549" t="s">
        <v>503</v>
      </c>
      <c r="G55" s="534">
        <f ca="1">SUM(G45:G51)-F38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7.6640625" style="229" bestFit="1" customWidth="1"/>
    <col min="2" max="2" width="9.1640625" style="229" bestFit="1" customWidth="1"/>
    <col min="3" max="3" width="6.6640625" style="229" bestFit="1" customWidth="1"/>
    <col min="4" max="4" width="7.5" style="229" bestFit="1" customWidth="1"/>
    <col min="5" max="5" width="11.1640625" style="229" bestFit="1" customWidth="1"/>
    <col min="6" max="13" width="10.1640625" customWidth="1"/>
    <col min="14" max="14" width="46.1640625" style="152" bestFit="1" customWidth="1"/>
    <col min="15" max="15" width="7.1640625" style="152" bestFit="1" customWidth="1"/>
    <col min="16" max="16" width="7.6640625" style="152" bestFit="1" customWidth="1"/>
    <col min="17" max="17" width="10.5" style="152" bestFit="1" customWidth="1"/>
    <col min="18" max="18" width="41" style="152" bestFit="1" customWidth="1"/>
    <col min="19" max="19" width="13.33203125" style="153" bestFit="1" customWidth="1"/>
    <col min="20" max="27" width="13.33203125" customWidth="1"/>
  </cols>
  <sheetData>
    <row r="1" spans="14:20">
      <c r="N1" s="253" t="s">
        <v>152</v>
      </c>
      <c r="O1" s="244"/>
      <c r="P1" s="244"/>
      <c r="Q1" s="244"/>
      <c r="R1" s="244"/>
      <c r="S1" s="246"/>
    </row>
    <row r="2" spans="14:20">
      <c r="N2" s="268" t="s">
        <v>486</v>
      </c>
      <c r="O2" s="247"/>
      <c r="P2" s="247"/>
      <c r="Q2" s="247"/>
      <c r="R2" s="247"/>
      <c r="S2" s="263"/>
    </row>
    <row r="3" spans="14:20" customFormat="1">
      <c r="N3" s="248" t="s">
        <v>407</v>
      </c>
      <c r="O3" s="249"/>
      <c r="P3" s="250"/>
      <c r="Q3" s="250"/>
      <c r="R3" s="251"/>
      <c r="S3" s="252"/>
    </row>
    <row r="4" spans="14:20" customFormat="1">
      <c r="N4" s="226"/>
      <c r="O4" s="226"/>
      <c r="P4" s="227" t="s">
        <v>193</v>
      </c>
      <c r="Q4" s="227" t="s">
        <v>194</v>
      </c>
      <c r="R4" s="227" t="s">
        <v>401</v>
      </c>
      <c r="S4" s="228" t="s">
        <v>206</v>
      </c>
    </row>
    <row r="5" spans="14:20" customFormat="1">
      <c r="N5" s="254" t="s">
        <v>217</v>
      </c>
      <c r="O5" s="140" t="s">
        <v>402</v>
      </c>
      <c r="P5" s="139" t="s">
        <v>199</v>
      </c>
      <c r="Q5" s="139" t="s">
        <v>195</v>
      </c>
      <c r="R5" s="139" t="s">
        <v>285</v>
      </c>
      <c r="S5" s="139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customFormat="1">
      <c r="N6" s="230" t="s">
        <v>217</v>
      </c>
      <c r="O6" s="97" t="s">
        <v>402</v>
      </c>
      <c r="P6" s="95" t="s">
        <v>199</v>
      </c>
      <c r="Q6" s="95" t="s">
        <v>195</v>
      </c>
      <c r="R6" s="95" t="s">
        <v>194</v>
      </c>
      <c r="S6" s="95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customFormat="1">
      <c r="N7" s="230" t="s">
        <v>217</v>
      </c>
      <c r="O7" s="97" t="s">
        <v>402</v>
      </c>
      <c r="P7" s="95" t="s">
        <v>200</v>
      </c>
      <c r="Q7" s="95" t="s">
        <v>203</v>
      </c>
      <c r="R7" s="95" t="s">
        <v>285</v>
      </c>
      <c r="S7" s="95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customFormat="1">
      <c r="N8" s="230" t="s">
        <v>217</v>
      </c>
      <c r="O8" s="97" t="s">
        <v>402</v>
      </c>
      <c r="P8" s="95" t="s">
        <v>200</v>
      </c>
      <c r="Q8" s="95" t="s">
        <v>203</v>
      </c>
      <c r="R8" s="95" t="s">
        <v>194</v>
      </c>
      <c r="S8" s="95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customFormat="1">
      <c r="N9" s="230" t="s">
        <v>217</v>
      </c>
      <c r="O9" s="97" t="s">
        <v>402</v>
      </c>
      <c r="P9" s="95" t="s">
        <v>200</v>
      </c>
      <c r="Q9" s="95" t="s">
        <v>284</v>
      </c>
      <c r="R9" s="95" t="s">
        <v>194</v>
      </c>
      <c r="S9" s="95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customFormat="1">
      <c r="N10" s="230" t="s">
        <v>217</v>
      </c>
      <c r="O10" s="97" t="s">
        <v>402</v>
      </c>
      <c r="P10" s="95" t="s">
        <v>200</v>
      </c>
      <c r="Q10" s="95" t="s">
        <v>204</v>
      </c>
      <c r="R10" s="95" t="s">
        <v>194</v>
      </c>
      <c r="S10" s="95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customFormat="1">
      <c r="N11" s="230" t="s">
        <v>217</v>
      </c>
      <c r="O11" s="97" t="s">
        <v>402</v>
      </c>
      <c r="P11" s="95" t="s">
        <v>200</v>
      </c>
      <c r="Q11" s="95" t="s">
        <v>284</v>
      </c>
      <c r="R11" s="95" t="s">
        <v>281</v>
      </c>
      <c r="S11" s="95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customFormat="1">
      <c r="N12" s="230" t="s">
        <v>217</v>
      </c>
      <c r="O12" s="97" t="s">
        <v>402</v>
      </c>
      <c r="P12" s="95" t="s">
        <v>200</v>
      </c>
      <c r="Q12" s="95" t="s">
        <v>204</v>
      </c>
      <c r="R12" s="95" t="s">
        <v>281</v>
      </c>
      <c r="S12" s="95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customFormat="1">
      <c r="N13" s="230" t="s">
        <v>217</v>
      </c>
      <c r="O13" s="97" t="s">
        <v>402</v>
      </c>
      <c r="P13" s="95" t="s">
        <v>195</v>
      </c>
      <c r="Q13" s="95" t="s">
        <v>203</v>
      </c>
      <c r="R13" s="95" t="s">
        <v>281</v>
      </c>
      <c r="S13" s="95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customFormat="1">
      <c r="N14" s="230" t="s">
        <v>217</v>
      </c>
      <c r="O14" s="97" t="s">
        <v>402</v>
      </c>
      <c r="P14" s="95" t="s">
        <v>195</v>
      </c>
      <c r="Q14" s="95" t="s">
        <v>195</v>
      </c>
      <c r="R14" s="95" t="s">
        <v>6</v>
      </c>
      <c r="S14" s="95">
        <f>SUMIFS('Normalized Units'!I:I,'Normalized Units'!B:B,"Normalized Billing Units",'Normalized Units'!C:C,N$1,'Normalized Units'!F:F,P14,'Normalized Units'!G:G,Q14,'Normalized Units'!H:H,R14)</f>
        <v>163418487.16573825</v>
      </c>
      <c r="T14" s="444"/>
    </row>
    <row r="15" spans="14:20" customFormat="1">
      <c r="N15" s="230" t="s">
        <v>217</v>
      </c>
      <c r="O15" s="97" t="s">
        <v>402</v>
      </c>
      <c r="P15" s="95" t="s">
        <v>195</v>
      </c>
      <c r="Q15" s="95" t="s">
        <v>195</v>
      </c>
      <c r="R15" s="95" t="s">
        <v>201</v>
      </c>
      <c r="S15" s="95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customFormat="1">
      <c r="N16" s="230" t="s">
        <v>217</v>
      </c>
      <c r="O16" s="97" t="s">
        <v>402</v>
      </c>
      <c r="P16" s="95" t="s">
        <v>195</v>
      </c>
      <c r="Q16" s="95" t="s">
        <v>195</v>
      </c>
      <c r="R16" s="166" t="s">
        <v>367</v>
      </c>
      <c r="S16" s="95">
        <f>SUMIFS('Normalized Units'!I:I,'Normalized Units'!B:B,"Normalized Billing Units",'Normalized Units'!C:C,N$1,'Normalized Units'!F:F,P16,'Normalized Units'!G:G,Q16,'Normalized Units'!H:H,R16)</f>
        <v>22840</v>
      </c>
    </row>
    <row r="17" spans="1:20">
      <c r="A17"/>
      <c r="B17"/>
      <c r="C17"/>
      <c r="D17"/>
      <c r="E17"/>
      <c r="N17" s="230" t="s">
        <v>217</v>
      </c>
      <c r="O17" s="97" t="s">
        <v>402</v>
      </c>
      <c r="P17" s="95" t="s">
        <v>195</v>
      </c>
      <c r="Q17" s="95" t="s">
        <v>195</v>
      </c>
      <c r="R17" s="166" t="s">
        <v>358</v>
      </c>
      <c r="S17" s="95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>
      <c r="A18"/>
      <c r="B18"/>
      <c r="C18"/>
      <c r="D18"/>
      <c r="E18"/>
      <c r="N18" s="255" t="s">
        <v>217</v>
      </c>
      <c r="O18" s="145" t="s">
        <v>402</v>
      </c>
      <c r="P18" s="147" t="s">
        <v>195</v>
      </c>
      <c r="Q18" s="147" t="s">
        <v>195</v>
      </c>
      <c r="R18" s="258" t="s">
        <v>368</v>
      </c>
      <c r="S18" s="147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135" customFormat="1">
      <c r="N19" s="140" t="s">
        <v>406</v>
      </c>
      <c r="O19" s="140" t="s">
        <v>403</v>
      </c>
      <c r="P19" s="139" t="s">
        <v>199</v>
      </c>
      <c r="Q19" s="139" t="s">
        <v>195</v>
      </c>
      <c r="R19" s="139" t="s">
        <v>285</v>
      </c>
      <c r="S19" s="315">
        <v>94.74</v>
      </c>
      <c r="T19" s="399"/>
    </row>
    <row r="20" spans="1:20" s="135" customFormat="1">
      <c r="N20" s="97" t="s">
        <v>406</v>
      </c>
      <c r="O20" s="97" t="s">
        <v>403</v>
      </c>
      <c r="P20" s="95" t="s">
        <v>199</v>
      </c>
      <c r="Q20" s="95" t="s">
        <v>195</v>
      </c>
      <c r="R20" s="95" t="s">
        <v>194</v>
      </c>
      <c r="S20" s="316">
        <v>0</v>
      </c>
      <c r="T20"/>
    </row>
    <row r="21" spans="1:20" s="135" customFormat="1">
      <c r="N21" s="97" t="s">
        <v>406</v>
      </c>
      <c r="O21" s="97" t="s">
        <v>403</v>
      </c>
      <c r="P21" s="95" t="s">
        <v>200</v>
      </c>
      <c r="Q21" s="95" t="s">
        <v>203</v>
      </c>
      <c r="R21" s="95" t="s">
        <v>285</v>
      </c>
      <c r="S21" s="316">
        <v>189.48</v>
      </c>
      <c r="T21" s="399"/>
    </row>
    <row r="22" spans="1:20" s="135" customFormat="1">
      <c r="N22" s="97" t="s">
        <v>406</v>
      </c>
      <c r="O22" s="97" t="s">
        <v>403</v>
      </c>
      <c r="P22" s="95" t="s">
        <v>200</v>
      </c>
      <c r="Q22" s="95" t="s">
        <v>203</v>
      </c>
      <c r="R22" s="95" t="s">
        <v>194</v>
      </c>
      <c r="S22" s="316">
        <v>0</v>
      </c>
      <c r="T22"/>
    </row>
    <row r="23" spans="1:20" s="135" customFormat="1">
      <c r="N23" s="97" t="s">
        <v>406</v>
      </c>
      <c r="O23" s="97" t="s">
        <v>403</v>
      </c>
      <c r="P23" s="95" t="s">
        <v>200</v>
      </c>
      <c r="Q23" s="95" t="s">
        <v>284</v>
      </c>
      <c r="R23" s="95" t="s">
        <v>194</v>
      </c>
      <c r="S23" s="316">
        <v>449</v>
      </c>
      <c r="T23"/>
    </row>
    <row r="24" spans="1:20" s="135" customFormat="1">
      <c r="A24" s="157"/>
      <c r="N24" s="97" t="s">
        <v>406</v>
      </c>
      <c r="O24" s="97" t="s">
        <v>403</v>
      </c>
      <c r="P24" s="95" t="s">
        <v>200</v>
      </c>
      <c r="Q24" s="95" t="s">
        <v>204</v>
      </c>
      <c r="R24" s="95" t="s">
        <v>194</v>
      </c>
      <c r="S24" s="316">
        <v>1825</v>
      </c>
      <c r="T24"/>
    </row>
    <row r="25" spans="1:20" s="135" customFormat="1">
      <c r="D25" s="138"/>
      <c r="N25" s="97" t="s">
        <v>406</v>
      </c>
      <c r="O25" s="97" t="s">
        <v>403</v>
      </c>
      <c r="P25" s="95" t="s">
        <v>200</v>
      </c>
      <c r="Q25" s="95" t="s">
        <v>284</v>
      </c>
      <c r="R25" s="95" t="s">
        <v>281</v>
      </c>
      <c r="S25" s="316">
        <v>21.97</v>
      </c>
      <c r="T25"/>
    </row>
    <row r="26" spans="1:20" s="135" customFormat="1">
      <c r="N26" s="97" t="s">
        <v>406</v>
      </c>
      <c r="O26" s="97" t="s">
        <v>403</v>
      </c>
      <c r="P26" s="95" t="s">
        <v>200</v>
      </c>
      <c r="Q26" s="95" t="s">
        <v>204</v>
      </c>
      <c r="R26" s="95" t="s">
        <v>281</v>
      </c>
      <c r="S26" s="316">
        <v>17.18</v>
      </c>
      <c r="T26"/>
    </row>
    <row r="27" spans="1:20" s="135" customFormat="1">
      <c r="N27" s="97" t="s">
        <v>406</v>
      </c>
      <c r="O27" s="97" t="s">
        <v>403</v>
      </c>
      <c r="P27" s="95" t="s">
        <v>195</v>
      </c>
      <c r="Q27" s="95" t="s">
        <v>203</v>
      </c>
      <c r="R27" s="95" t="s">
        <v>281</v>
      </c>
      <c r="S27" s="316">
        <v>31.58</v>
      </c>
      <c r="T27"/>
    </row>
    <row r="28" spans="1:20" s="135" customFormat="1">
      <c r="N28" s="97" t="s">
        <v>406</v>
      </c>
      <c r="O28" s="97" t="s">
        <v>403</v>
      </c>
      <c r="P28" s="95" t="s">
        <v>195</v>
      </c>
      <c r="Q28" s="95" t="s">
        <v>195</v>
      </c>
      <c r="R28" s="95" t="s">
        <v>6</v>
      </c>
      <c r="S28" s="316">
        <v>7.8969999999999999E-2</v>
      </c>
      <c r="T28"/>
    </row>
    <row r="29" spans="1:20" s="135" customFormat="1">
      <c r="N29" s="97" t="s">
        <v>406</v>
      </c>
      <c r="O29" s="97" t="s">
        <v>403</v>
      </c>
      <c r="P29" s="95" t="s">
        <v>195</v>
      </c>
      <c r="Q29" s="95" t="s">
        <v>195</v>
      </c>
      <c r="R29" s="95" t="s">
        <v>201</v>
      </c>
      <c r="S29" s="316">
        <v>0.57999999999999996</v>
      </c>
      <c r="T29"/>
    </row>
    <row r="30" spans="1:20" s="135" customFormat="1">
      <c r="N30" s="97" t="s">
        <v>406</v>
      </c>
      <c r="O30" s="97" t="s">
        <v>403</v>
      </c>
      <c r="P30" s="95" t="s">
        <v>195</v>
      </c>
      <c r="Q30" s="95" t="s">
        <v>195</v>
      </c>
      <c r="R30" s="166" t="s">
        <v>367</v>
      </c>
      <c r="S30" s="316">
        <v>-0.01</v>
      </c>
      <c r="T30"/>
    </row>
    <row r="31" spans="1:20" s="135" customFormat="1">
      <c r="N31" s="97" t="s">
        <v>406</v>
      </c>
      <c r="O31" s="97" t="s">
        <v>403</v>
      </c>
      <c r="P31" s="95" t="s">
        <v>195</v>
      </c>
      <c r="Q31" s="95" t="s">
        <v>195</v>
      </c>
      <c r="R31" s="166" t="s">
        <v>358</v>
      </c>
      <c r="S31" s="316">
        <v>-0.3</v>
      </c>
      <c r="T31"/>
    </row>
    <row r="32" spans="1:20" s="135" customFormat="1">
      <c r="N32" s="145" t="s">
        <v>406</v>
      </c>
      <c r="O32" s="145" t="s">
        <v>403</v>
      </c>
      <c r="P32" s="147" t="s">
        <v>195</v>
      </c>
      <c r="Q32" s="147" t="s">
        <v>195</v>
      </c>
      <c r="R32" s="258" t="s">
        <v>368</v>
      </c>
      <c r="S32" s="317">
        <v>60</v>
      </c>
      <c r="T32"/>
    </row>
    <row r="33" spans="1:20" s="135" customFormat="1">
      <c r="N33" s="140" t="s">
        <v>406</v>
      </c>
      <c r="O33" s="140" t="s">
        <v>29</v>
      </c>
      <c r="P33" s="141" t="s">
        <v>199</v>
      </c>
      <c r="Q33" s="141" t="s">
        <v>195</v>
      </c>
      <c r="R33" s="141" t="s">
        <v>285</v>
      </c>
      <c r="S33" s="213">
        <f t="shared" ref="S33:S46" si="0">S5*S19</f>
        <v>48216.497555388327</v>
      </c>
    </row>
    <row r="34" spans="1:20" s="135" customFormat="1">
      <c r="N34" s="97" t="s">
        <v>406</v>
      </c>
      <c r="O34" s="97" t="s">
        <v>29</v>
      </c>
      <c r="P34" s="143" t="s">
        <v>199</v>
      </c>
      <c r="Q34" s="143" t="s">
        <v>195</v>
      </c>
      <c r="R34" s="143" t="s">
        <v>194</v>
      </c>
      <c r="S34" s="210">
        <f t="shared" si="0"/>
        <v>0</v>
      </c>
    </row>
    <row r="35" spans="1:20" s="135" customFormat="1">
      <c r="N35" s="97" t="s">
        <v>406</v>
      </c>
      <c r="O35" s="97" t="s">
        <v>29</v>
      </c>
      <c r="P35" s="143" t="s">
        <v>200</v>
      </c>
      <c r="Q35" s="143" t="s">
        <v>203</v>
      </c>
      <c r="R35" s="143" t="s">
        <v>285</v>
      </c>
      <c r="S35" s="210">
        <f t="shared" si="0"/>
        <v>186303.43788584389</v>
      </c>
    </row>
    <row r="36" spans="1:20" s="135" customFormat="1">
      <c r="N36" s="97" t="s">
        <v>406</v>
      </c>
      <c r="O36" s="97" t="s">
        <v>29</v>
      </c>
      <c r="P36" s="143" t="s">
        <v>200</v>
      </c>
      <c r="Q36" s="143" t="s">
        <v>203</v>
      </c>
      <c r="R36" s="143" t="s">
        <v>194</v>
      </c>
      <c r="S36" s="210">
        <f t="shared" si="0"/>
        <v>0</v>
      </c>
    </row>
    <row r="37" spans="1:20" s="135" customFormat="1">
      <c r="N37" s="97" t="s">
        <v>406</v>
      </c>
      <c r="O37" s="97" t="s">
        <v>29</v>
      </c>
      <c r="P37" s="143" t="s">
        <v>200</v>
      </c>
      <c r="Q37" s="143" t="s">
        <v>284</v>
      </c>
      <c r="R37" s="143" t="s">
        <v>194</v>
      </c>
      <c r="S37" s="210">
        <f t="shared" si="0"/>
        <v>198215.66301369847</v>
      </c>
    </row>
    <row r="38" spans="1:20" s="135" customFormat="1">
      <c r="N38" s="97" t="s">
        <v>406</v>
      </c>
      <c r="O38" s="97" t="s">
        <v>29</v>
      </c>
      <c r="P38" s="143" t="s">
        <v>200</v>
      </c>
      <c r="Q38" s="143" t="s">
        <v>204</v>
      </c>
      <c r="R38" s="143" t="s">
        <v>194</v>
      </c>
      <c r="S38" s="210">
        <f t="shared" si="0"/>
        <v>23724.999999999993</v>
      </c>
    </row>
    <row r="39" spans="1:20" s="135" customFormat="1">
      <c r="N39" s="97" t="s">
        <v>406</v>
      </c>
      <c r="O39" s="97" t="s">
        <v>29</v>
      </c>
      <c r="P39" s="143" t="s">
        <v>200</v>
      </c>
      <c r="Q39" s="143" t="s">
        <v>284</v>
      </c>
      <c r="R39" s="143" t="s">
        <v>281</v>
      </c>
      <c r="S39" s="210">
        <f t="shared" si="0"/>
        <v>940459.66862658795</v>
      </c>
    </row>
    <row r="40" spans="1:20" s="135" customFormat="1">
      <c r="N40" s="97" t="s">
        <v>406</v>
      </c>
      <c r="O40" s="97" t="s">
        <v>29</v>
      </c>
      <c r="P40" s="143" t="s">
        <v>200</v>
      </c>
      <c r="Q40" s="143" t="s">
        <v>204</v>
      </c>
      <c r="R40" s="143" t="s">
        <v>281</v>
      </c>
      <c r="S40" s="210">
        <f t="shared" si="0"/>
        <v>98372.690302523217</v>
      </c>
    </row>
    <row r="41" spans="1:20" s="135" customFormat="1">
      <c r="N41" s="97" t="s">
        <v>406</v>
      </c>
      <c r="O41" s="97" t="s">
        <v>29</v>
      </c>
      <c r="P41" s="143" t="s">
        <v>195</v>
      </c>
      <c r="Q41" s="143" t="s">
        <v>203</v>
      </c>
      <c r="R41" s="143" t="s">
        <v>281</v>
      </c>
      <c r="S41" s="210">
        <f t="shared" si="0"/>
        <v>1762366.8614344695</v>
      </c>
    </row>
    <row r="42" spans="1:20" s="135" customFormat="1">
      <c r="N42" s="97" t="s">
        <v>406</v>
      </c>
      <c r="O42" s="97" t="s">
        <v>29</v>
      </c>
      <c r="P42" s="143" t="s">
        <v>195</v>
      </c>
      <c r="Q42" s="143" t="s">
        <v>195</v>
      </c>
      <c r="R42" s="143" t="s">
        <v>6</v>
      </c>
      <c r="S42" s="210">
        <f t="shared" si="0"/>
        <v>12905157.931478349</v>
      </c>
    </row>
    <row r="43" spans="1:20" s="135" customFormat="1">
      <c r="A43" s="264" t="s">
        <v>152</v>
      </c>
      <c r="B43" s="308"/>
      <c r="C43" s="401"/>
      <c r="D43" s="401"/>
      <c r="E43" s="401"/>
      <c r="F43" s="376"/>
      <c r="G43" s="376"/>
      <c r="H43" s="376"/>
      <c r="I43" s="376"/>
      <c r="J43" s="376"/>
      <c r="K43" s="376"/>
      <c r="L43" s="376"/>
      <c r="M43" s="334"/>
      <c r="N43" s="97" t="s">
        <v>406</v>
      </c>
      <c r="O43" s="97" t="s">
        <v>29</v>
      </c>
      <c r="P43" s="143" t="s">
        <v>195</v>
      </c>
      <c r="Q43" s="143" t="s">
        <v>195</v>
      </c>
      <c r="R43" s="143" t="s">
        <v>201</v>
      </c>
      <c r="S43" s="210">
        <f t="shared" si="0"/>
        <v>40953.17</v>
      </c>
    </row>
    <row r="44" spans="1:20" s="135" customFormat="1">
      <c r="A44" s="265" t="s">
        <v>486</v>
      </c>
      <c r="B44" s="307"/>
      <c r="C44" s="402"/>
      <c r="D44" s="402"/>
      <c r="E44" s="402"/>
      <c r="F44" s="335"/>
      <c r="G44" s="335"/>
      <c r="H44" s="335"/>
      <c r="I44" s="335"/>
      <c r="J44" s="335"/>
      <c r="K44" s="335"/>
      <c r="L44" s="335"/>
      <c r="M44" s="392"/>
      <c r="N44" s="97" t="s">
        <v>406</v>
      </c>
      <c r="O44" s="97" t="s">
        <v>29</v>
      </c>
      <c r="P44" s="143" t="s">
        <v>195</v>
      </c>
      <c r="Q44" s="143" t="s">
        <v>195</v>
      </c>
      <c r="R44" s="166" t="s">
        <v>367</v>
      </c>
      <c r="S44" s="210">
        <f t="shared" si="0"/>
        <v>-228.4</v>
      </c>
    </row>
    <row r="45" spans="1:20" s="135" customFormat="1">
      <c r="A45" s="265" t="s">
        <v>508</v>
      </c>
      <c r="B45" s="307"/>
      <c r="C45" s="402"/>
      <c r="D45" s="402"/>
      <c r="E45" s="402"/>
      <c r="F45" s="380"/>
      <c r="G45" s="380"/>
      <c r="H45" s="380"/>
      <c r="I45" s="380"/>
      <c r="J45" s="380"/>
      <c r="K45" s="380"/>
      <c r="L45" s="380"/>
      <c r="M45" s="390"/>
      <c r="N45" s="97" t="s">
        <v>406</v>
      </c>
      <c r="O45" s="97" t="s">
        <v>29</v>
      </c>
      <c r="P45" s="143" t="s">
        <v>195</v>
      </c>
      <c r="Q45" s="143" t="s">
        <v>195</v>
      </c>
      <c r="R45" s="166" t="s">
        <v>358</v>
      </c>
      <c r="S45" s="210">
        <f t="shared" si="0"/>
        <v>-256.12</v>
      </c>
    </row>
    <row r="46" spans="1:20" s="135" customFormat="1">
      <c r="A46" s="260"/>
      <c r="B46" s="260"/>
      <c r="C46" s="260"/>
      <c r="D46" s="260"/>
      <c r="E46" s="260"/>
      <c r="F46" s="333" t="s">
        <v>624</v>
      </c>
      <c r="G46" s="333"/>
      <c r="H46" s="333"/>
      <c r="I46" s="333"/>
      <c r="J46" s="333"/>
      <c r="K46" s="333"/>
      <c r="L46" s="333"/>
      <c r="M46" s="525"/>
      <c r="N46" s="97" t="s">
        <v>406</v>
      </c>
      <c r="O46" s="97" t="s">
        <v>29</v>
      </c>
      <c r="P46" s="143" t="s">
        <v>195</v>
      </c>
      <c r="Q46" s="143" t="s">
        <v>195</v>
      </c>
      <c r="R46" s="166" t="s">
        <v>368</v>
      </c>
      <c r="S46" s="210">
        <f t="shared" si="0"/>
        <v>730.00000000000011</v>
      </c>
    </row>
    <row r="47" spans="1:20" s="135" customFormat="1">
      <c r="A47" s="478"/>
      <c r="B47" s="295"/>
      <c r="C47" s="434" t="s">
        <v>490</v>
      </c>
      <c r="D47" s="434" t="s">
        <v>6</v>
      </c>
      <c r="E47" s="386"/>
      <c r="F47" s="400" t="s">
        <v>501</v>
      </c>
      <c r="G47" s="400"/>
      <c r="H47" s="376"/>
      <c r="I47" s="425"/>
      <c r="J47" s="375" t="s">
        <v>503</v>
      </c>
      <c r="K47" s="400"/>
      <c r="L47" s="376"/>
      <c r="M47" s="425"/>
      <c r="N47" s="145" t="s">
        <v>406</v>
      </c>
      <c r="O47" s="145" t="s">
        <v>29</v>
      </c>
      <c r="P47" s="147" t="s">
        <v>195</v>
      </c>
      <c r="Q47" s="147" t="s">
        <v>195</v>
      </c>
      <c r="R47" s="209" t="s">
        <v>168</v>
      </c>
      <c r="S47" s="211">
        <f>Unbilled!E11</f>
        <v>-1729000</v>
      </c>
      <c r="T47"/>
    </row>
    <row r="48" spans="1:20">
      <c r="A48" s="434"/>
      <c r="B48" s="381" t="s">
        <v>490</v>
      </c>
      <c r="C48" s="434" t="s">
        <v>527</v>
      </c>
      <c r="D48" s="386" t="s">
        <v>530</v>
      </c>
      <c r="E48" s="434"/>
      <c r="F48" s="627"/>
      <c r="G48" s="383"/>
      <c r="H48" s="383"/>
      <c r="I48" s="213" t="s">
        <v>494</v>
      </c>
      <c r="J48" s="383"/>
      <c r="K48" s="383"/>
      <c r="L48" s="383"/>
      <c r="M48" s="213" t="s">
        <v>494</v>
      </c>
      <c r="N48" s="301" t="s">
        <v>536</v>
      </c>
      <c r="O48" s="256" t="s">
        <v>29</v>
      </c>
      <c r="P48" s="139" t="s">
        <v>195</v>
      </c>
      <c r="Q48" s="212" t="s">
        <v>195</v>
      </c>
      <c r="R48" s="212" t="s">
        <v>195</v>
      </c>
      <c r="S48" s="212">
        <f ca="1">'Cost of Service and Proposed $'!Q123</f>
        <v>353309.94985181937</v>
      </c>
    </row>
    <row r="49" spans="1:27">
      <c r="A49" s="437" t="s">
        <v>193</v>
      </c>
      <c r="B49" s="439" t="s">
        <v>527</v>
      </c>
      <c r="C49" s="388" t="s">
        <v>202</v>
      </c>
      <c r="D49" s="388" t="s">
        <v>202</v>
      </c>
      <c r="E49" s="388" t="s">
        <v>6</v>
      </c>
      <c r="F49" s="359" t="s">
        <v>406</v>
      </c>
      <c r="G49" s="276" t="s">
        <v>412</v>
      </c>
      <c r="H49" s="211" t="s">
        <v>414</v>
      </c>
      <c r="I49" s="211" t="s">
        <v>414</v>
      </c>
      <c r="J49" s="276" t="s">
        <v>406</v>
      </c>
      <c r="K49" s="276" t="s">
        <v>412</v>
      </c>
      <c r="L49" s="211" t="s">
        <v>414</v>
      </c>
      <c r="M49" s="211" t="s">
        <v>414</v>
      </c>
      <c r="N49" s="319" t="s">
        <v>537</v>
      </c>
      <c r="O49" s="85" t="s">
        <v>29</v>
      </c>
      <c r="P49" s="95" t="s">
        <v>195</v>
      </c>
      <c r="Q49" s="208" t="s">
        <v>195</v>
      </c>
      <c r="R49" s="208" t="s">
        <v>195</v>
      </c>
      <c r="S49" s="208">
        <f ca="1">'Cost of Service and Proposed $'!Q124</f>
        <v>6439929.5569756301</v>
      </c>
    </row>
    <row r="50" spans="1:27">
      <c r="A50" s="220" t="s">
        <v>199</v>
      </c>
      <c r="B50" s="220" t="s">
        <v>203</v>
      </c>
      <c r="C50" s="384">
        <v>10</v>
      </c>
      <c r="D50" s="220">
        <v>1000</v>
      </c>
      <c r="E50" s="267">
        <f>C50*D50</f>
        <v>10000</v>
      </c>
      <c r="F50" s="260">
        <f t="shared" ref="F50:F67" si="1">IF(A50="Single",MAX(S$27*C50,S$19),MAX(SUMIFS(S$23:S$24,Q$23:Q$24,B50)+SUMIFS(S$25:S$27,Q$25:Q$27,B50)*C50,S$21))+S$28*E50</f>
        <v>1105.5</v>
      </c>
      <c r="G50" s="260">
        <f t="shared" ref="G50:G67" ca="1" si="2">IF(A50="Single",MAX(S$68*C50,S$60),MAX(SUMIFS(S$64:S$65,Q$64:Q$65,B50)+SUMIFS(S$66:S$68,Q$66:Q$68,B50)*C50,S$62))+S$69*E50</f>
        <v>1200.6999999999998</v>
      </c>
      <c r="H50" s="260">
        <f ca="1">G50-F50</f>
        <v>95.199999999999818</v>
      </c>
      <c r="I50" s="504">
        <f ca="1">H50/F50*100</f>
        <v>8.611488014473073</v>
      </c>
      <c r="J50" s="260">
        <f t="shared" ref="J50:J67" ca="1" si="3">IF(A50="Single",MAX(S$68*C50,S$60),MAX(SUMIFS(S$64:S$65,Q$64:Q$65,B50)+SUMIFS(S$66:S$68,Q$66:Q$68,B50)*C50,S$62))+S$69*E50</f>
        <v>1200.6999999999998</v>
      </c>
      <c r="K50" s="260">
        <f t="shared" ref="K50:K67" ca="1" si="4">IF(A50="Single",MAX(S$109*C50,S$101),MAX(SUMIFS(S$105:S$106,Q$105:Q$106,B50)+SUMIFS(S$107:S$109,Q$107:Q$109,B50)*C50,S$103))+S$110*E50</f>
        <v>1269.3000000000002</v>
      </c>
      <c r="L50" s="260">
        <f ca="1">K50-J50</f>
        <v>68.600000000000364</v>
      </c>
      <c r="M50" s="504">
        <f ca="1">L50/J50*100</f>
        <v>5.7133338885650353</v>
      </c>
      <c r="N50" s="319" t="s">
        <v>538</v>
      </c>
      <c r="O50" s="85" t="s">
        <v>29</v>
      </c>
      <c r="P50" s="95" t="s">
        <v>195</v>
      </c>
      <c r="Q50" s="208" t="s">
        <v>195</v>
      </c>
      <c r="R50" s="208" t="s">
        <v>195</v>
      </c>
      <c r="S50" s="208">
        <f ca="1">'Cost of Service and Proposed $'!Q125</f>
        <v>1720645.031188362</v>
      </c>
    </row>
    <row r="51" spans="1:27">
      <c r="A51" s="220" t="s">
        <v>199</v>
      </c>
      <c r="B51" s="220" t="s">
        <v>203</v>
      </c>
      <c r="C51" s="384">
        <v>10</v>
      </c>
      <c r="D51" s="136">
        <v>2000</v>
      </c>
      <c r="E51" s="267">
        <f t="shared" ref="E51:E67" si="5">C51*D51</f>
        <v>20000</v>
      </c>
      <c r="F51" s="136">
        <f t="shared" si="1"/>
        <v>1895.1999999999998</v>
      </c>
      <c r="G51" s="136">
        <f t="shared" ca="1" si="2"/>
        <v>2020.8999999999999</v>
      </c>
      <c r="H51" s="136">
        <f t="shared" ref="H51:H67" ca="1" si="6">G51-F51</f>
        <v>125.70000000000005</v>
      </c>
      <c r="I51" s="499">
        <f t="shared" ref="I51:I67" ca="1" si="7">H51/F51*100</f>
        <v>6.632545377796542</v>
      </c>
      <c r="J51" s="136">
        <f t="shared" ca="1" si="3"/>
        <v>2020.8999999999999</v>
      </c>
      <c r="K51" s="136">
        <f t="shared" ca="1" si="4"/>
        <v>2105.7000000000003</v>
      </c>
      <c r="L51" s="136">
        <f t="shared" ref="L51:L67" ca="1" si="8">K51-J51</f>
        <v>84.800000000000409</v>
      </c>
      <c r="M51" s="499">
        <f t="shared" ref="M51:M67" ca="1" si="9">L51/J51*100</f>
        <v>4.1961502300955225</v>
      </c>
      <c r="N51" s="302" t="s">
        <v>539</v>
      </c>
      <c r="O51" s="257" t="s">
        <v>29</v>
      </c>
      <c r="P51" s="147" t="s">
        <v>195</v>
      </c>
      <c r="Q51" s="209" t="s">
        <v>195</v>
      </c>
      <c r="R51" s="209" t="s">
        <v>195</v>
      </c>
      <c r="S51" s="209">
        <f ca="1">'Cost of Service and Proposed $'!Q126</f>
        <v>7906447.6582818218</v>
      </c>
    </row>
    <row r="52" spans="1:27">
      <c r="A52" s="220" t="s">
        <v>199</v>
      </c>
      <c r="B52" s="220" t="s">
        <v>203</v>
      </c>
      <c r="C52" s="384">
        <v>10</v>
      </c>
      <c r="D52" s="136">
        <v>3000</v>
      </c>
      <c r="E52" s="267">
        <f t="shared" si="5"/>
        <v>30000</v>
      </c>
      <c r="F52" s="136">
        <f t="shared" si="1"/>
        <v>2684.8999999999996</v>
      </c>
      <c r="G52" s="136">
        <f t="shared" ca="1" si="2"/>
        <v>2841.1</v>
      </c>
      <c r="H52" s="136">
        <f t="shared" ca="1" si="6"/>
        <v>156.20000000000027</v>
      </c>
      <c r="I52" s="499">
        <f t="shared" ca="1" si="7"/>
        <v>5.8177213304033781</v>
      </c>
      <c r="J52" s="136">
        <f t="shared" ca="1" si="3"/>
        <v>2841.1</v>
      </c>
      <c r="K52" s="136">
        <f t="shared" ca="1" si="4"/>
        <v>2942.1000000000004</v>
      </c>
      <c r="L52" s="136">
        <f t="shared" ca="1" si="8"/>
        <v>101.00000000000045</v>
      </c>
      <c r="M52" s="499">
        <f t="shared" ca="1" si="9"/>
        <v>3.5549611066136513</v>
      </c>
      <c r="N52" s="387" t="s">
        <v>534</v>
      </c>
      <c r="O52" s="256" t="s">
        <v>29</v>
      </c>
      <c r="P52" s="139" t="s">
        <v>195</v>
      </c>
      <c r="Q52" s="212" t="s">
        <v>195</v>
      </c>
      <c r="R52" s="212" t="s">
        <v>194</v>
      </c>
      <c r="S52" s="212">
        <f t="shared" ref="S52:S59" ca="1" si="10">(T52*(U52-V52)+V52*100)/100</f>
        <v>262750.16303876659</v>
      </c>
      <c r="T52" s="505">
        <v>10</v>
      </c>
      <c r="U52" s="135">
        <f ca="1">S48*(1-SUM(U55:U59)/SUM(S48:S51))</f>
        <v>389625.72003232688</v>
      </c>
      <c r="V52" s="135">
        <f ca="1">SUMIFS(S$33:S$42,R$33:R$42,R52)/SUM(S$33:S$42)*(SUM(S$48:S$51)-SUM(V$55:V$59))</f>
        <v>248652.87892837104</v>
      </c>
      <c r="W52" s="135"/>
      <c r="X52" s="135"/>
      <c r="Y52" s="135"/>
      <c r="Z52" s="135"/>
    </row>
    <row r="53" spans="1:27">
      <c r="A53" s="220" t="s">
        <v>200</v>
      </c>
      <c r="B53" s="220" t="s">
        <v>203</v>
      </c>
      <c r="C53" s="384">
        <v>20</v>
      </c>
      <c r="D53" s="220">
        <v>1000</v>
      </c>
      <c r="E53" s="267">
        <f t="shared" si="5"/>
        <v>20000</v>
      </c>
      <c r="F53" s="136">
        <f t="shared" si="1"/>
        <v>2211</v>
      </c>
      <c r="G53" s="136">
        <f t="shared" ca="1" si="2"/>
        <v>2401.3999999999996</v>
      </c>
      <c r="H53" s="136">
        <f t="shared" ca="1" si="6"/>
        <v>190.39999999999964</v>
      </c>
      <c r="I53" s="499">
        <f t="shared" ca="1" si="7"/>
        <v>8.611488014473073</v>
      </c>
      <c r="J53" s="136">
        <f t="shared" ca="1" si="3"/>
        <v>2401.3999999999996</v>
      </c>
      <c r="K53" s="136">
        <f t="shared" ca="1" si="4"/>
        <v>2538.6000000000004</v>
      </c>
      <c r="L53" s="136">
        <f t="shared" ca="1" si="8"/>
        <v>137.20000000000073</v>
      </c>
      <c r="M53" s="499">
        <f t="shared" ca="1" si="9"/>
        <v>5.7133338885650353</v>
      </c>
      <c r="N53" s="386" t="s">
        <v>534</v>
      </c>
      <c r="O53" s="85" t="s">
        <v>29</v>
      </c>
      <c r="P53" s="95" t="s">
        <v>195</v>
      </c>
      <c r="Q53" s="208" t="s">
        <v>195</v>
      </c>
      <c r="R53" s="208" t="s">
        <v>281</v>
      </c>
      <c r="S53" s="208">
        <f t="shared" ca="1" si="10"/>
        <v>3960919.3488291432</v>
      </c>
      <c r="T53" s="229">
        <f>$T$52</f>
        <v>10</v>
      </c>
      <c r="U53" s="135">
        <f ca="1">(S49+S50)*(1-SUM(U55:U59)/SUM(S48:S51))</f>
        <v>8999377.8865396753</v>
      </c>
      <c r="V53" s="135">
        <f ca="1">SUM(SUMIFS(S$33:S$42,R$33:R$42,R53),S33,S35)/SUM(S$33:S$42)*(SUM(S$48:S$51)-SUM(V$55:V$59))</f>
        <v>3401090.6224168618</v>
      </c>
      <c r="W53" s="135"/>
      <c r="X53" s="135"/>
      <c r="Y53" s="135"/>
      <c r="Z53" s="135"/>
    </row>
    <row r="54" spans="1:27">
      <c r="A54" s="220" t="s">
        <v>200</v>
      </c>
      <c r="B54" s="220" t="s">
        <v>203</v>
      </c>
      <c r="C54" s="384">
        <v>20</v>
      </c>
      <c r="D54" s="220">
        <v>2000</v>
      </c>
      <c r="E54" s="267">
        <f t="shared" si="5"/>
        <v>40000</v>
      </c>
      <c r="F54" s="136">
        <f t="shared" si="1"/>
        <v>3790.3999999999996</v>
      </c>
      <c r="G54" s="136">
        <f t="shared" ca="1" si="2"/>
        <v>4041.7999999999997</v>
      </c>
      <c r="H54" s="136">
        <f t="shared" ca="1" si="6"/>
        <v>251.40000000000009</v>
      </c>
      <c r="I54" s="499">
        <f t="shared" ca="1" si="7"/>
        <v>6.632545377796542</v>
      </c>
      <c r="J54" s="136">
        <f t="shared" ca="1" si="3"/>
        <v>4041.7999999999997</v>
      </c>
      <c r="K54" s="136">
        <f t="shared" ca="1" si="4"/>
        <v>4211.4000000000005</v>
      </c>
      <c r="L54" s="136">
        <f t="shared" ca="1" si="8"/>
        <v>169.60000000000082</v>
      </c>
      <c r="M54" s="499">
        <f t="shared" ca="1" si="9"/>
        <v>4.1961502300955225</v>
      </c>
      <c r="N54" s="386" t="s">
        <v>534</v>
      </c>
      <c r="O54" s="85" t="s">
        <v>29</v>
      </c>
      <c r="P54" s="95" t="s">
        <v>195</v>
      </c>
      <c r="Q54" s="208" t="s">
        <v>195</v>
      </c>
      <c r="R54" s="208" t="s">
        <v>6</v>
      </c>
      <c r="S54" s="208">
        <f t="shared" ca="1" si="10"/>
        <v>13884464.034429722</v>
      </c>
      <c r="T54" s="229">
        <f t="shared" ref="T54:T59" si="11">$T$52</f>
        <v>10</v>
      </c>
      <c r="U54" s="138">
        <f ca="1">S51*(1-SUM(U55:U59)/SUM(S48:S51))</f>
        <v>8719129.9397256318</v>
      </c>
      <c r="V54" s="138">
        <f ca="1">SUMIFS(S$33:S$42,R$33:R$42,R54)/SUM(S$33:S$42)*(SUM(S$48:S$51)-SUM(V$55:V$59))</f>
        <v>14458390.0449524</v>
      </c>
      <c r="W54" s="138"/>
      <c r="X54" s="138"/>
      <c r="Y54" s="138"/>
      <c r="Z54" s="138"/>
    </row>
    <row r="55" spans="1:27">
      <c r="A55" s="220" t="s">
        <v>200</v>
      </c>
      <c r="B55" s="220" t="s">
        <v>203</v>
      </c>
      <c r="C55" s="384">
        <v>20</v>
      </c>
      <c r="D55" s="220">
        <v>3000</v>
      </c>
      <c r="E55" s="267">
        <f t="shared" si="5"/>
        <v>60000</v>
      </c>
      <c r="F55" s="136">
        <f t="shared" si="1"/>
        <v>5369.7999999999993</v>
      </c>
      <c r="G55" s="136">
        <f t="shared" ca="1" si="2"/>
        <v>5682.2</v>
      </c>
      <c r="H55" s="136">
        <f t="shared" ca="1" si="6"/>
        <v>312.40000000000055</v>
      </c>
      <c r="I55" s="499">
        <f t="shared" ca="1" si="7"/>
        <v>5.8177213304033781</v>
      </c>
      <c r="J55" s="136">
        <f t="shared" ca="1" si="3"/>
        <v>5682.2</v>
      </c>
      <c r="K55" s="136">
        <f t="shared" ca="1" si="4"/>
        <v>5884.2000000000007</v>
      </c>
      <c r="L55" s="136">
        <f t="shared" ca="1" si="8"/>
        <v>202.00000000000091</v>
      </c>
      <c r="M55" s="499">
        <f t="shared" ca="1" si="9"/>
        <v>3.5549611066136513</v>
      </c>
      <c r="N55" s="386" t="s">
        <v>534</v>
      </c>
      <c r="O55" s="85" t="s">
        <v>29</v>
      </c>
      <c r="P55" s="95" t="s">
        <v>195</v>
      </c>
      <c r="Q55" s="208" t="s">
        <v>195</v>
      </c>
      <c r="R55" s="143" t="s">
        <v>201</v>
      </c>
      <c r="S55" s="208">
        <f t="shared" si="10"/>
        <v>40953.17</v>
      </c>
      <c r="T55" s="229">
        <f t="shared" si="11"/>
        <v>10</v>
      </c>
      <c r="U55" s="138">
        <f>S43</f>
        <v>40953.17</v>
      </c>
      <c r="V55" s="2">
        <f>S43</f>
        <v>40953.17</v>
      </c>
      <c r="W55" s="138"/>
      <c r="X55" s="138"/>
      <c r="Y55" s="138"/>
      <c r="Z55" s="138"/>
    </row>
    <row r="56" spans="1:27">
      <c r="A56" s="220" t="s">
        <v>200</v>
      </c>
      <c r="B56" s="220" t="s">
        <v>284</v>
      </c>
      <c r="C56" s="384">
        <v>100</v>
      </c>
      <c r="D56" s="220">
        <v>1000</v>
      </c>
      <c r="E56" s="267">
        <f t="shared" si="5"/>
        <v>100000</v>
      </c>
      <c r="F56" s="136">
        <f t="shared" si="1"/>
        <v>10543</v>
      </c>
      <c r="G56" s="136">
        <f t="shared" ca="1" si="2"/>
        <v>11714.17</v>
      </c>
      <c r="H56" s="136">
        <f t="shared" ca="1" si="6"/>
        <v>1171.17</v>
      </c>
      <c r="I56" s="499">
        <f t="shared" ca="1" si="7"/>
        <v>11.108508014796548</v>
      </c>
      <c r="J56" s="136">
        <f t="shared" ca="1" si="3"/>
        <v>11714.17</v>
      </c>
      <c r="K56" s="136">
        <f t="shared" ca="1" si="4"/>
        <v>12799.75</v>
      </c>
      <c r="L56" s="136">
        <f t="shared" ca="1" si="8"/>
        <v>1085.58</v>
      </c>
      <c r="M56" s="499">
        <f t="shared" ca="1" si="9"/>
        <v>9.2672378836912905</v>
      </c>
      <c r="N56" s="386" t="s">
        <v>534</v>
      </c>
      <c r="O56" s="85" t="s">
        <v>29</v>
      </c>
      <c r="P56" s="95" t="s">
        <v>195</v>
      </c>
      <c r="Q56" s="208" t="s">
        <v>195</v>
      </c>
      <c r="R56" s="166" t="s">
        <v>367</v>
      </c>
      <c r="S56" s="208">
        <f t="shared" si="10"/>
        <v>-228.4</v>
      </c>
      <c r="T56" s="229">
        <f t="shared" si="11"/>
        <v>10</v>
      </c>
      <c r="U56" s="138">
        <f>S44</f>
        <v>-228.4</v>
      </c>
      <c r="V56" s="2">
        <f>S44</f>
        <v>-228.4</v>
      </c>
      <c r="W56" s="138"/>
      <c r="X56" s="138"/>
      <c r="Y56" s="138"/>
      <c r="Z56" s="138"/>
    </row>
    <row r="57" spans="1:27">
      <c r="A57" s="220" t="s">
        <v>200</v>
      </c>
      <c r="B57" s="220" t="s">
        <v>284</v>
      </c>
      <c r="C57" s="384">
        <v>100</v>
      </c>
      <c r="D57" s="220">
        <v>2000</v>
      </c>
      <c r="E57" s="267">
        <f t="shared" si="5"/>
        <v>200000</v>
      </c>
      <c r="F57" s="136">
        <f t="shared" si="1"/>
        <v>18440</v>
      </c>
      <c r="G57" s="136">
        <f t="shared" ca="1" si="2"/>
        <v>19916.169999999998</v>
      </c>
      <c r="H57" s="136">
        <f t="shared" ca="1" si="6"/>
        <v>1476.1699999999983</v>
      </c>
      <c r="I57" s="499">
        <f t="shared" ca="1" si="7"/>
        <v>8.005260303687626</v>
      </c>
      <c r="J57" s="136">
        <f t="shared" ca="1" si="3"/>
        <v>19916.169999999998</v>
      </c>
      <c r="K57" s="136">
        <f t="shared" ca="1" si="4"/>
        <v>21163.75</v>
      </c>
      <c r="L57" s="136">
        <f t="shared" ca="1" si="8"/>
        <v>1247.5800000000017</v>
      </c>
      <c r="M57" s="499">
        <f t="shared" ca="1" si="9"/>
        <v>6.2641562107573989</v>
      </c>
      <c r="N57" s="386" t="s">
        <v>534</v>
      </c>
      <c r="O57" s="85" t="s">
        <v>29</v>
      </c>
      <c r="P57" s="95" t="s">
        <v>195</v>
      </c>
      <c r="Q57" s="208" t="s">
        <v>195</v>
      </c>
      <c r="R57" s="166" t="s">
        <v>358</v>
      </c>
      <c r="S57" s="208">
        <f t="shared" si="10"/>
        <v>-256.12</v>
      </c>
      <c r="T57" s="229">
        <f t="shared" si="11"/>
        <v>10</v>
      </c>
      <c r="U57" s="138">
        <f>S45</f>
        <v>-256.12</v>
      </c>
      <c r="V57" s="2">
        <f>S45</f>
        <v>-256.12</v>
      </c>
      <c r="W57" s="138"/>
      <c r="X57" s="138"/>
      <c r="Y57" s="138"/>
      <c r="Z57" s="138"/>
    </row>
    <row r="58" spans="1:27">
      <c r="A58" s="220" t="s">
        <v>200</v>
      </c>
      <c r="B58" s="220" t="s">
        <v>284</v>
      </c>
      <c r="C58" s="384">
        <v>100</v>
      </c>
      <c r="D58" s="220">
        <v>3000</v>
      </c>
      <c r="E58" s="267">
        <f t="shared" si="5"/>
        <v>300000</v>
      </c>
      <c r="F58" s="136">
        <f t="shared" si="1"/>
        <v>26337</v>
      </c>
      <c r="G58" s="136">
        <f t="shared" ca="1" si="2"/>
        <v>28118.17</v>
      </c>
      <c r="H58" s="136">
        <f t="shared" ca="1" si="6"/>
        <v>1781.1699999999983</v>
      </c>
      <c r="I58" s="499">
        <f t="shared" ca="1" si="7"/>
        <v>6.7629950260090306</v>
      </c>
      <c r="J58" s="136">
        <f t="shared" ca="1" si="3"/>
        <v>28118.17</v>
      </c>
      <c r="K58" s="136">
        <f t="shared" ca="1" si="4"/>
        <v>29527.75</v>
      </c>
      <c r="L58" s="136">
        <f t="shared" ca="1" si="8"/>
        <v>1409.5800000000017</v>
      </c>
      <c r="M58" s="499">
        <f t="shared" ca="1" si="9"/>
        <v>5.0130573931376112</v>
      </c>
      <c r="N58" s="386" t="s">
        <v>534</v>
      </c>
      <c r="O58" s="85" t="s">
        <v>29</v>
      </c>
      <c r="P58" s="95" t="s">
        <v>195</v>
      </c>
      <c r="Q58" s="208" t="s">
        <v>195</v>
      </c>
      <c r="R58" s="166" t="s">
        <v>368</v>
      </c>
      <c r="S58" s="208">
        <f t="shared" si="10"/>
        <v>730.00000000000011</v>
      </c>
      <c r="T58" s="229">
        <f t="shared" si="11"/>
        <v>10</v>
      </c>
      <c r="U58" s="138">
        <f>S46</f>
        <v>730.00000000000011</v>
      </c>
      <c r="V58" s="2">
        <f>S46</f>
        <v>730.00000000000011</v>
      </c>
      <c r="W58" s="138"/>
      <c r="X58" s="138"/>
      <c r="Y58" s="138"/>
      <c r="Z58" s="138"/>
    </row>
    <row r="59" spans="1:27">
      <c r="A59" s="220" t="s">
        <v>200</v>
      </c>
      <c r="B59" s="220" t="s">
        <v>284</v>
      </c>
      <c r="C59" s="384">
        <v>250</v>
      </c>
      <c r="D59" s="220">
        <v>1000</v>
      </c>
      <c r="E59" s="267">
        <f t="shared" si="5"/>
        <v>250000</v>
      </c>
      <c r="F59" s="136">
        <f t="shared" si="1"/>
        <v>25684</v>
      </c>
      <c r="G59" s="136">
        <f t="shared" ca="1" si="2"/>
        <v>28515.67</v>
      </c>
      <c r="H59" s="136">
        <f t="shared" ca="1" si="6"/>
        <v>2831.6699999999983</v>
      </c>
      <c r="I59" s="499">
        <f t="shared" ca="1" si="7"/>
        <v>11.025035041270824</v>
      </c>
      <c r="J59" s="136">
        <f t="shared" ca="1" si="3"/>
        <v>28515.67</v>
      </c>
      <c r="K59" s="136">
        <f t="shared" ca="1" si="4"/>
        <v>31144.75</v>
      </c>
      <c r="L59" s="136">
        <f t="shared" ca="1" si="8"/>
        <v>2629.0800000000017</v>
      </c>
      <c r="M59" s="499">
        <f t="shared" ca="1" si="9"/>
        <v>9.2197728477009377</v>
      </c>
      <c r="N59" s="388" t="s">
        <v>534</v>
      </c>
      <c r="O59" s="257" t="s">
        <v>29</v>
      </c>
      <c r="P59" s="147" t="s">
        <v>195</v>
      </c>
      <c r="Q59" s="209" t="s">
        <v>195</v>
      </c>
      <c r="R59" s="209" t="s">
        <v>168</v>
      </c>
      <c r="S59" s="209">
        <f t="shared" si="10"/>
        <v>-1729000</v>
      </c>
      <c r="T59" s="229">
        <f t="shared" si="11"/>
        <v>10</v>
      </c>
      <c r="U59" s="138">
        <f>S47</f>
        <v>-1729000</v>
      </c>
      <c r="V59" s="2">
        <f>S47</f>
        <v>-1729000</v>
      </c>
      <c r="W59" s="138"/>
      <c r="X59" s="138"/>
      <c r="Y59" s="138"/>
      <c r="Z59" s="138"/>
    </row>
    <row r="60" spans="1:27">
      <c r="A60" s="220" t="s">
        <v>200</v>
      </c>
      <c r="B60" s="220" t="s">
        <v>284</v>
      </c>
      <c r="C60" s="384">
        <v>250</v>
      </c>
      <c r="D60" s="220">
        <v>2000</v>
      </c>
      <c r="E60" s="267">
        <f t="shared" si="5"/>
        <v>500000</v>
      </c>
      <c r="F60" s="136">
        <f t="shared" si="1"/>
        <v>45426.5</v>
      </c>
      <c r="G60" s="136">
        <f t="shared" ca="1" si="2"/>
        <v>49020.67</v>
      </c>
      <c r="H60" s="136">
        <f t="shared" ca="1" si="6"/>
        <v>3594.1699999999983</v>
      </c>
      <c r="I60" s="499">
        <f t="shared" ca="1" si="7"/>
        <v>7.912055738390583</v>
      </c>
      <c r="J60" s="136">
        <f t="shared" ca="1" si="3"/>
        <v>49020.67</v>
      </c>
      <c r="K60" s="136">
        <f t="shared" ca="1" si="4"/>
        <v>52054.75</v>
      </c>
      <c r="L60" s="136">
        <f t="shared" ca="1" si="8"/>
        <v>3034.0800000000017</v>
      </c>
      <c r="M60" s="499">
        <f t="shared" ca="1" si="9"/>
        <v>6.1893890883172382</v>
      </c>
      <c r="N60" s="212" t="s">
        <v>505</v>
      </c>
      <c r="O60" s="140" t="s">
        <v>403</v>
      </c>
      <c r="P60" s="139" t="s">
        <v>199</v>
      </c>
      <c r="Q60" s="139" t="s">
        <v>195</v>
      </c>
      <c r="R60" s="139" t="s">
        <v>285</v>
      </c>
      <c r="S60" s="315">
        <f ca="1">ROUND(T60/100*W60*X60/Y60/Z60,U60)*AA60</f>
        <v>114.14999999999999</v>
      </c>
      <c r="T60" s="259">
        <f>100+Summary!$Q$13</f>
        <v>96.54</v>
      </c>
      <c r="U60" s="138">
        <v>2</v>
      </c>
      <c r="V60" s="270">
        <f ca="1">W60*X60/Y60/Z60*AA60</f>
        <v>118.23015408513569</v>
      </c>
      <c r="W60" s="138">
        <f ca="1">SUMIFS(S$52:S$59,R$52:R$59,R68)</f>
        <v>3960919.3488291432</v>
      </c>
      <c r="X60" s="138">
        <f>SUMIFS(S$33:S$47,P$33:P$47,P68,Q$33:Q$47,Q68,R$33:R$47,R68)</f>
        <v>1762366.8614344695</v>
      </c>
      <c r="Y60" s="138">
        <f>SUMIFS(S$33:S$47,R$33:R$47,R68)</f>
        <v>2801199.2203635806</v>
      </c>
      <c r="Z60" s="138">
        <f>S$5*AA60+S$7*AA62+S$13*AA68</f>
        <v>63232.640813036785</v>
      </c>
      <c r="AA60" s="138">
        <v>3</v>
      </c>
    </row>
    <row r="61" spans="1:27">
      <c r="A61" s="220" t="s">
        <v>200</v>
      </c>
      <c r="B61" s="220" t="s">
        <v>284</v>
      </c>
      <c r="C61" s="384">
        <v>250</v>
      </c>
      <c r="D61" s="220">
        <v>3000</v>
      </c>
      <c r="E61" s="267">
        <f t="shared" si="5"/>
        <v>750000</v>
      </c>
      <c r="F61" s="136">
        <f t="shared" si="1"/>
        <v>65169</v>
      </c>
      <c r="G61" s="136">
        <f t="shared" ca="1" si="2"/>
        <v>69525.67</v>
      </c>
      <c r="H61" s="136">
        <f t="shared" ca="1" si="6"/>
        <v>4356.6699999999983</v>
      </c>
      <c r="I61" s="499">
        <f t="shared" ca="1" si="7"/>
        <v>6.6851877426383686</v>
      </c>
      <c r="J61" s="136">
        <f t="shared" ca="1" si="3"/>
        <v>69525.67</v>
      </c>
      <c r="K61" s="136">
        <f t="shared" ca="1" si="4"/>
        <v>72964.75</v>
      </c>
      <c r="L61" s="136">
        <f t="shared" ca="1" si="8"/>
        <v>3439.0800000000017</v>
      </c>
      <c r="M61" s="499">
        <f t="shared" ca="1" si="9"/>
        <v>4.9464895483927043</v>
      </c>
      <c r="N61" s="208" t="s">
        <v>505</v>
      </c>
      <c r="O61" s="97" t="s">
        <v>403</v>
      </c>
      <c r="P61" s="95" t="s">
        <v>199</v>
      </c>
      <c r="Q61" s="95" t="s">
        <v>195</v>
      </c>
      <c r="R61" s="95" t="s">
        <v>194</v>
      </c>
      <c r="S61" s="316">
        <f t="shared" ref="S61:S73" ca="1" si="12">ROUND(T61/100*W61*X61/Y61/Z61,U61)*AA61</f>
        <v>0</v>
      </c>
      <c r="T61" s="259">
        <f>100+Summary!$Q$13</f>
        <v>96.54</v>
      </c>
      <c r="U61" s="138">
        <v>2</v>
      </c>
      <c r="V61" s="270">
        <f t="shared" ref="V61:V73" ca="1" si="13">W61*X61/Y61/Z61*AA61</f>
        <v>0</v>
      </c>
      <c r="W61" s="138">
        <f ca="1">SUMIFS(S$52:S$59,R$52:R$59,R61)</f>
        <v>262750.16303876659</v>
      </c>
      <c r="X61" s="138">
        <f>SUMIFS(S$33:S$47,P$33:P$47,P61,Q$33:Q$47,Q61,R$33:R$47,R61)</f>
        <v>0</v>
      </c>
      <c r="Y61" s="138">
        <f>SUMIFS(S$33:S$47,R$33:R$47,R61)</f>
        <v>221940.66301369847</v>
      </c>
      <c r="Z61" s="138">
        <f>SUMIFS(S$5:S$18,P$5:P$18,P61,Q$5:Q$18,Q61,R$5:R$18,R61)</f>
        <v>495.84657534246583</v>
      </c>
      <c r="AA61" s="138">
        <v>1</v>
      </c>
    </row>
    <row r="62" spans="1:27">
      <c r="A62" s="220" t="s">
        <v>200</v>
      </c>
      <c r="B62" s="220" t="s">
        <v>204</v>
      </c>
      <c r="C62" s="384">
        <v>400</v>
      </c>
      <c r="D62" s="220">
        <v>1000</v>
      </c>
      <c r="E62" s="267">
        <f t="shared" si="5"/>
        <v>400000</v>
      </c>
      <c r="F62" s="136">
        <f t="shared" si="1"/>
        <v>40285</v>
      </c>
      <c r="G62" s="136">
        <f t="shared" ca="1" si="2"/>
        <v>44273.82</v>
      </c>
      <c r="H62" s="136">
        <f t="shared" ca="1" si="6"/>
        <v>3988.8199999999997</v>
      </c>
      <c r="I62" s="499">
        <f t="shared" ca="1" si="7"/>
        <v>9.9015017996772983</v>
      </c>
      <c r="J62" s="136">
        <f t="shared" ca="1" si="3"/>
        <v>44273.82</v>
      </c>
      <c r="K62" s="136">
        <f t="shared" ca="1" si="4"/>
        <v>47863.79</v>
      </c>
      <c r="L62" s="136">
        <f t="shared" ca="1" si="8"/>
        <v>3589.9700000000012</v>
      </c>
      <c r="M62" s="499">
        <f t="shared" ca="1" si="9"/>
        <v>8.1085616736933961</v>
      </c>
      <c r="N62" s="208" t="s">
        <v>505</v>
      </c>
      <c r="O62" s="97" t="s">
        <v>403</v>
      </c>
      <c r="P62" s="95" t="s">
        <v>200</v>
      </c>
      <c r="Q62" s="95" t="s">
        <v>203</v>
      </c>
      <c r="R62" s="95" t="s">
        <v>285</v>
      </c>
      <c r="S62" s="316">
        <f t="shared" ca="1" si="12"/>
        <v>228.29999999999998</v>
      </c>
      <c r="T62" s="259">
        <f>100+Summary!$Q$13</f>
        <v>96.54</v>
      </c>
      <c r="U62" s="138">
        <v>2</v>
      </c>
      <c r="V62" s="270">
        <f t="shared" ca="1" si="13"/>
        <v>236.46030817027139</v>
      </c>
      <c r="W62" s="138">
        <f ca="1">SUMIFS(S$52:S$59,R$52:R$59,R68)</f>
        <v>3960919.3488291432</v>
      </c>
      <c r="X62" s="138">
        <f>SUMIFS(S$33:S$47,P$33:P$47,P68,Q$33:Q$47,Q68,R$33:R$47,R68)</f>
        <v>1762366.8614344695</v>
      </c>
      <c r="Y62" s="138">
        <f>SUMIFS(S$33:S$47,R$33:R$47,R68)</f>
        <v>2801199.2203635806</v>
      </c>
      <c r="Z62" s="138">
        <f>S$5*AA60+S$7*AA62+S$13*AA68</f>
        <v>63232.640813036785</v>
      </c>
      <c r="AA62" s="138">
        <v>6</v>
      </c>
    </row>
    <row r="63" spans="1:27">
      <c r="A63" s="220" t="s">
        <v>200</v>
      </c>
      <c r="B63" s="220" t="s">
        <v>204</v>
      </c>
      <c r="C63" s="384">
        <v>400</v>
      </c>
      <c r="D63" s="220">
        <v>2000</v>
      </c>
      <c r="E63" s="267">
        <f t="shared" si="5"/>
        <v>800000</v>
      </c>
      <c r="F63" s="136">
        <f t="shared" si="1"/>
        <v>71873</v>
      </c>
      <c r="G63" s="136">
        <f t="shared" ca="1" si="2"/>
        <v>77081.820000000007</v>
      </c>
      <c r="H63" s="136">
        <f t="shared" ca="1" si="6"/>
        <v>5208.820000000007</v>
      </c>
      <c r="I63" s="499">
        <f t="shared" ca="1" si="7"/>
        <v>7.247255575807336</v>
      </c>
      <c r="J63" s="136">
        <f t="shared" ca="1" si="3"/>
        <v>77081.820000000007</v>
      </c>
      <c r="K63" s="136">
        <f t="shared" ca="1" si="4"/>
        <v>81319.790000000008</v>
      </c>
      <c r="L63" s="136">
        <f t="shared" ca="1" si="8"/>
        <v>4237.9700000000012</v>
      </c>
      <c r="M63" s="499">
        <f t="shared" ca="1" si="9"/>
        <v>5.4980149664343694</v>
      </c>
      <c r="N63" s="208" t="s">
        <v>505</v>
      </c>
      <c r="O63" s="97" t="s">
        <v>403</v>
      </c>
      <c r="P63" s="95" t="s">
        <v>200</v>
      </c>
      <c r="Q63" s="95" t="s">
        <v>203</v>
      </c>
      <c r="R63" s="95" t="s">
        <v>194</v>
      </c>
      <c r="S63" s="316">
        <f t="shared" ca="1" si="12"/>
        <v>0</v>
      </c>
      <c r="T63" s="259">
        <f>100+Summary!$Q$13</f>
        <v>96.54</v>
      </c>
      <c r="U63" s="138">
        <v>2</v>
      </c>
      <c r="V63" s="270">
        <f t="shared" ca="1" si="13"/>
        <v>0</v>
      </c>
      <c r="W63" s="138">
        <f t="shared" ref="W63:W73" ca="1" si="14">SUMIFS(S$52:S$59,R$52:R$59,R63)</f>
        <v>262750.16303876659</v>
      </c>
      <c r="X63" s="138">
        <f t="shared" ref="X63:X68" si="15">SUMIFS(S$33:S$47,P$33:P$47,P63,Q$33:Q$47,Q63,R$33:R$47,R63)</f>
        <v>0</v>
      </c>
      <c r="Y63" s="138">
        <f t="shared" ref="Y63:Y68" si="16">SUMIFS(S$33:S$47,R$33:R$47,R63)</f>
        <v>221940.66301369847</v>
      </c>
      <c r="Z63" s="138">
        <f>SUMIFS(S$5:S$18,P$5:P$18,P63,Q$5:Q$18,Q63,R$5:R$18,R63)</f>
        <v>2698.3863013698633</v>
      </c>
      <c r="AA63" s="138">
        <v>1</v>
      </c>
    </row>
    <row r="64" spans="1:27">
      <c r="A64" s="220" t="s">
        <v>200</v>
      </c>
      <c r="B64" s="220" t="s">
        <v>204</v>
      </c>
      <c r="C64" s="384">
        <v>400</v>
      </c>
      <c r="D64" s="220">
        <v>3000</v>
      </c>
      <c r="E64" s="267">
        <f t="shared" si="5"/>
        <v>1200000</v>
      </c>
      <c r="F64" s="136">
        <f t="shared" si="1"/>
        <v>103461</v>
      </c>
      <c r="G64" s="136">
        <f t="shared" ca="1" si="2"/>
        <v>109889.82</v>
      </c>
      <c r="H64" s="136">
        <f t="shared" ca="1" si="6"/>
        <v>6428.820000000007</v>
      </c>
      <c r="I64" s="499">
        <f t="shared" ca="1" si="7"/>
        <v>6.2137617073100078</v>
      </c>
      <c r="J64" s="136">
        <f t="shared" ca="1" si="3"/>
        <v>109889.82</v>
      </c>
      <c r="K64" s="136">
        <f t="shared" ca="1" si="4"/>
        <v>114775.79000000001</v>
      </c>
      <c r="L64" s="136">
        <f t="shared" ca="1" si="8"/>
        <v>4885.9700000000012</v>
      </c>
      <c r="M64" s="499">
        <f t="shared" ca="1" si="9"/>
        <v>4.4462444291928049</v>
      </c>
      <c r="N64" s="208" t="s">
        <v>505</v>
      </c>
      <c r="O64" s="97" t="s">
        <v>403</v>
      </c>
      <c r="P64" s="95" t="s">
        <v>200</v>
      </c>
      <c r="Q64" s="95" t="s">
        <v>284</v>
      </c>
      <c r="R64" s="95" t="s">
        <v>194</v>
      </c>
      <c r="S64" s="316">
        <f t="shared" ca="1" si="12"/>
        <v>513.16999999999996</v>
      </c>
      <c r="T64" s="259">
        <f>100+Summary!$Q$13</f>
        <v>96.54</v>
      </c>
      <c r="U64" s="138">
        <v>2</v>
      </c>
      <c r="V64" s="270">
        <f t="shared" ca="1" si="13"/>
        <v>531.56019993111693</v>
      </c>
      <c r="W64" s="138">
        <f t="shared" ca="1" si="14"/>
        <v>262750.16303876659</v>
      </c>
      <c r="X64" s="138">
        <f t="shared" si="15"/>
        <v>198215.66301369847</v>
      </c>
      <c r="Y64" s="138">
        <f t="shared" si="16"/>
        <v>221940.66301369847</v>
      </c>
      <c r="Z64" s="138">
        <f>SUMIFS(S$5:S$18,P$5:P$18,P64,Q$5:Q$18,Q64,R$5:R$18,R64)</f>
        <v>441.46027397260241</v>
      </c>
      <c r="AA64" s="138">
        <v>1</v>
      </c>
    </row>
    <row r="65" spans="1:27">
      <c r="A65" s="220" t="s">
        <v>200</v>
      </c>
      <c r="B65" s="220" t="s">
        <v>204</v>
      </c>
      <c r="C65" s="384">
        <v>600</v>
      </c>
      <c r="D65" s="220">
        <v>1000</v>
      </c>
      <c r="E65" s="267">
        <f t="shared" si="5"/>
        <v>600000</v>
      </c>
      <c r="F65" s="136">
        <f t="shared" si="1"/>
        <v>59515</v>
      </c>
      <c r="G65" s="136">
        <f t="shared" ca="1" si="2"/>
        <v>65367.82</v>
      </c>
      <c r="H65" s="136">
        <f t="shared" ca="1" si="6"/>
        <v>5852.82</v>
      </c>
      <c r="I65" s="499">
        <f t="shared" ca="1" si="7"/>
        <v>9.8341930605729644</v>
      </c>
      <c r="J65" s="136">
        <f t="shared" ca="1" si="3"/>
        <v>65367.82</v>
      </c>
      <c r="K65" s="136">
        <f t="shared" ca="1" si="4"/>
        <v>70637.790000000008</v>
      </c>
      <c r="L65" s="136">
        <f t="shared" ca="1" si="8"/>
        <v>5269.9700000000084</v>
      </c>
      <c r="M65" s="499">
        <f t="shared" ca="1" si="9"/>
        <v>8.0620250147549797</v>
      </c>
      <c r="N65" s="208" t="s">
        <v>505</v>
      </c>
      <c r="O65" s="97" t="s">
        <v>403</v>
      </c>
      <c r="P65" s="95" t="s">
        <v>200</v>
      </c>
      <c r="Q65" s="95" t="s">
        <v>204</v>
      </c>
      <c r="R65" s="95" t="s">
        <v>194</v>
      </c>
      <c r="S65" s="316">
        <f t="shared" ca="1" si="12"/>
        <v>2085.8200000000002</v>
      </c>
      <c r="T65" s="259">
        <f>100+Summary!$Q$13</f>
        <v>96.54</v>
      </c>
      <c r="U65" s="138">
        <v>2</v>
      </c>
      <c r="V65" s="270">
        <f t="shared" ca="1" si="13"/>
        <v>2160.5731957111097</v>
      </c>
      <c r="W65" s="138">
        <f t="shared" ca="1" si="14"/>
        <v>262750.16303876659</v>
      </c>
      <c r="X65" s="138">
        <f t="shared" si="15"/>
        <v>23724.999999999993</v>
      </c>
      <c r="Y65" s="138">
        <f t="shared" si="16"/>
        <v>221940.66301369847</v>
      </c>
      <c r="Z65" s="138">
        <f>SUMIFS(S$5:S$18,P$5:P$18,P65,Q$5:Q$18,Q65,R$5:R$18,R65)</f>
        <v>12.999999999999996</v>
      </c>
      <c r="AA65" s="138">
        <v>1</v>
      </c>
    </row>
    <row r="66" spans="1:27">
      <c r="A66" s="220" t="s">
        <v>200</v>
      </c>
      <c r="B66" s="220" t="s">
        <v>204</v>
      </c>
      <c r="C66" s="384">
        <v>600</v>
      </c>
      <c r="D66" s="220">
        <v>2000</v>
      </c>
      <c r="E66" s="267">
        <f t="shared" si="5"/>
        <v>1200000</v>
      </c>
      <c r="F66" s="136">
        <f t="shared" si="1"/>
        <v>106897</v>
      </c>
      <c r="G66" s="136">
        <f t="shared" ca="1" si="2"/>
        <v>114579.82</v>
      </c>
      <c r="H66" s="136">
        <f t="shared" ca="1" si="6"/>
        <v>7682.820000000007</v>
      </c>
      <c r="I66" s="499">
        <f t="shared" ca="1" si="7"/>
        <v>7.1871240539959098</v>
      </c>
      <c r="J66" s="136">
        <f t="shared" ca="1" si="3"/>
        <v>114579.82</v>
      </c>
      <c r="K66" s="136">
        <f t="shared" ca="1" si="4"/>
        <v>120821.79000000001</v>
      </c>
      <c r="L66" s="136">
        <f t="shared" ca="1" si="8"/>
        <v>6241.9700000000012</v>
      </c>
      <c r="M66" s="499">
        <f t="shared" ca="1" si="9"/>
        <v>5.447704491070068</v>
      </c>
      <c r="N66" s="208" t="s">
        <v>505</v>
      </c>
      <c r="O66" s="97" t="s">
        <v>403</v>
      </c>
      <c r="P66" s="95" t="s">
        <v>200</v>
      </c>
      <c r="Q66" s="95" t="s">
        <v>284</v>
      </c>
      <c r="R66" s="95" t="s">
        <v>281</v>
      </c>
      <c r="S66" s="316">
        <f t="shared" ca="1" si="12"/>
        <v>29.99</v>
      </c>
      <c r="T66" s="259">
        <f>100+Summary!$Q$13</f>
        <v>96.54</v>
      </c>
      <c r="U66" s="138">
        <v>2</v>
      </c>
      <c r="V66" s="270">
        <f t="shared" ca="1" si="13"/>
        <v>31.065765498278754</v>
      </c>
      <c r="W66" s="138">
        <f t="shared" ca="1" si="14"/>
        <v>3960919.3488291432</v>
      </c>
      <c r="X66" s="138">
        <f t="shared" si="15"/>
        <v>940459.66862658795</v>
      </c>
      <c r="Y66" s="138">
        <f t="shared" si="16"/>
        <v>2801199.2203635806</v>
      </c>
      <c r="Z66" s="138">
        <f>SUMIFS(S$5:S$18,P$5:P$18,P66,Q$5:Q$18,Q66,R$5:R$18,R66)</f>
        <v>42806.539309357671</v>
      </c>
      <c r="AA66" s="138">
        <v>1</v>
      </c>
    </row>
    <row r="67" spans="1:27">
      <c r="A67" s="329" t="s">
        <v>200</v>
      </c>
      <c r="B67" s="329" t="s">
        <v>204</v>
      </c>
      <c r="C67" s="385">
        <v>600</v>
      </c>
      <c r="D67" s="329">
        <v>3000</v>
      </c>
      <c r="E67" s="313">
        <f t="shared" si="5"/>
        <v>1800000</v>
      </c>
      <c r="F67" s="137">
        <f t="shared" si="1"/>
        <v>154279</v>
      </c>
      <c r="G67" s="137">
        <f t="shared" ca="1" si="2"/>
        <v>163791.82</v>
      </c>
      <c r="H67" s="137">
        <f t="shared" ca="1" si="6"/>
        <v>9512.820000000007</v>
      </c>
      <c r="I67" s="500">
        <f t="shared" ca="1" si="7"/>
        <v>6.1659850011991306</v>
      </c>
      <c r="J67" s="137">
        <f t="shared" ca="1" si="3"/>
        <v>163791.82</v>
      </c>
      <c r="K67" s="137">
        <f t="shared" ca="1" si="4"/>
        <v>171005.79</v>
      </c>
      <c r="L67" s="137">
        <f t="shared" ca="1" si="8"/>
        <v>7213.9700000000012</v>
      </c>
      <c r="M67" s="500">
        <f t="shared" ca="1" si="9"/>
        <v>4.4043530378989626</v>
      </c>
      <c r="N67" s="208" t="s">
        <v>505</v>
      </c>
      <c r="O67" s="97" t="s">
        <v>403</v>
      </c>
      <c r="P67" s="95" t="s">
        <v>200</v>
      </c>
      <c r="Q67" s="95" t="s">
        <v>204</v>
      </c>
      <c r="R67" s="95" t="s">
        <v>281</v>
      </c>
      <c r="S67" s="316">
        <f t="shared" ca="1" si="12"/>
        <v>23.45</v>
      </c>
      <c r="T67" s="259">
        <f>100+Summary!$Q$13</f>
        <v>96.54</v>
      </c>
      <c r="U67" s="138">
        <v>2</v>
      </c>
      <c r="V67" s="270">
        <f t="shared" ca="1" si="13"/>
        <v>24.292665055094634</v>
      </c>
      <c r="W67" s="138">
        <f t="shared" ca="1" si="14"/>
        <v>3960919.3488291432</v>
      </c>
      <c r="X67" s="138">
        <f t="shared" si="15"/>
        <v>98372.690302523217</v>
      </c>
      <c r="Y67" s="138">
        <f t="shared" si="16"/>
        <v>2801199.2203635806</v>
      </c>
      <c r="Z67" s="138">
        <f>SUMIFS(S$5:S$18,P$5:P$18,P67,Q$5:Q$18,Q67,R$5:R$18,R67)</f>
        <v>5726.0005996812115</v>
      </c>
      <c r="AA67" s="138">
        <v>1</v>
      </c>
    </row>
    <row r="68" spans="1:27">
      <c r="A68" s="421" t="s">
        <v>510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4"/>
      <c r="N68" s="208" t="s">
        <v>505</v>
      </c>
      <c r="O68" s="97" t="s">
        <v>403</v>
      </c>
      <c r="P68" s="95" t="s">
        <v>195</v>
      </c>
      <c r="Q68" s="95" t="s">
        <v>203</v>
      </c>
      <c r="R68" s="95" t="s">
        <v>281</v>
      </c>
      <c r="S68" s="316">
        <f t="shared" ca="1" si="12"/>
        <v>38.049999999999997</v>
      </c>
      <c r="T68" s="259">
        <f>100+Summary!$Q$13</f>
        <v>96.54</v>
      </c>
      <c r="U68" s="138">
        <v>2</v>
      </c>
      <c r="V68" s="270">
        <f ca="1">W68*X68/Y68/Z68*AA68</f>
        <v>39.410051361711901</v>
      </c>
      <c r="W68" s="138">
        <f t="shared" ca="1" si="14"/>
        <v>3960919.3488291432</v>
      </c>
      <c r="X68" s="138">
        <f t="shared" si="15"/>
        <v>1762366.8614344695</v>
      </c>
      <c r="Y68" s="138">
        <f t="shared" si="16"/>
        <v>2801199.2203635806</v>
      </c>
      <c r="Z68" s="138">
        <f>S$5*AA60+S$7*AA62+S$13*AA68</f>
        <v>63232.640813036785</v>
      </c>
      <c r="AA68" s="138">
        <v>1</v>
      </c>
    </row>
    <row r="69" spans="1:27">
      <c r="N69" s="208" t="s">
        <v>505</v>
      </c>
      <c r="O69" s="97" t="s">
        <v>403</v>
      </c>
      <c r="P69" s="95" t="s">
        <v>195</v>
      </c>
      <c r="Q69" s="95" t="s">
        <v>195</v>
      </c>
      <c r="R69" s="95" t="s">
        <v>6</v>
      </c>
      <c r="S69" s="316">
        <f t="shared" ca="1" si="12"/>
        <v>8.2019999999999996E-2</v>
      </c>
      <c r="T69" s="259">
        <f>100+Summary!$Q$13</f>
        <v>96.54</v>
      </c>
      <c r="U69" s="138">
        <v>5</v>
      </c>
      <c r="V69" s="270">
        <f t="shared" ca="1" si="13"/>
        <v>8.496262739446464E-2</v>
      </c>
      <c r="W69" s="138">
        <f t="shared" ca="1" si="14"/>
        <v>13884464.034429722</v>
      </c>
      <c r="X69" s="138">
        <v>1</v>
      </c>
      <c r="Y69" s="138">
        <v>1</v>
      </c>
      <c r="Z69" s="138">
        <f>SUMIFS(S$5:S$18,P$5:P$18,P69,Q$5:Q$18,Q69,R$5:R$18,R69)</f>
        <v>163418487.16573825</v>
      </c>
      <c r="AA69" s="138">
        <v>1</v>
      </c>
    </row>
    <row r="70" spans="1:27">
      <c r="N70" s="208" t="s">
        <v>505</v>
      </c>
      <c r="O70" s="97" t="s">
        <v>403</v>
      </c>
      <c r="P70" s="95" t="s">
        <v>195</v>
      </c>
      <c r="Q70" s="95" t="s">
        <v>195</v>
      </c>
      <c r="R70" s="95" t="s">
        <v>201</v>
      </c>
      <c r="S70" s="316">
        <f t="shared" si="12"/>
        <v>0.56000000000000005</v>
      </c>
      <c r="T70" s="259">
        <f>100+Summary!$Q$13</f>
        <v>96.54</v>
      </c>
      <c r="U70" s="138">
        <v>2</v>
      </c>
      <c r="V70" s="270">
        <f t="shared" si="13"/>
        <v>0.57999999999999996</v>
      </c>
      <c r="W70" s="138">
        <f t="shared" si="14"/>
        <v>40953.17</v>
      </c>
      <c r="X70" s="138">
        <v>1</v>
      </c>
      <c r="Y70" s="138">
        <v>1</v>
      </c>
      <c r="Z70" s="138">
        <f>SUMIFS(S$5:S$18,P$5:P$18,P70,Q$5:Q$18,Q70,R$5:R$18,R70)</f>
        <v>70608.913793103449</v>
      </c>
      <c r="AA70" s="138">
        <v>1</v>
      </c>
    </row>
    <row r="71" spans="1:27">
      <c r="N71" s="208" t="s">
        <v>505</v>
      </c>
      <c r="O71" s="97" t="s">
        <v>403</v>
      </c>
      <c r="P71" s="95" t="s">
        <v>195</v>
      </c>
      <c r="Q71" s="95" t="s">
        <v>195</v>
      </c>
      <c r="R71" s="166" t="s">
        <v>367</v>
      </c>
      <c r="S71" s="316">
        <f t="shared" si="12"/>
        <v>-0.01</v>
      </c>
      <c r="T71" s="580">
        <v>100</v>
      </c>
      <c r="U71" s="138">
        <v>2</v>
      </c>
      <c r="V71" s="270">
        <f t="shared" si="13"/>
        <v>-0.01</v>
      </c>
      <c r="W71" s="138">
        <f t="shared" si="14"/>
        <v>-228.4</v>
      </c>
      <c r="X71" s="138">
        <v>1</v>
      </c>
      <c r="Y71" s="138">
        <v>1</v>
      </c>
      <c r="Z71" s="138">
        <f>SUMIFS(S$5:S$18,P$5:P$18,P71,Q$5:Q$18,Q71,R$5:R$18,R71)</f>
        <v>22840</v>
      </c>
      <c r="AA71" s="138">
        <v>1</v>
      </c>
    </row>
    <row r="72" spans="1:27">
      <c r="N72" s="208" t="s">
        <v>505</v>
      </c>
      <c r="O72" s="97" t="s">
        <v>403</v>
      </c>
      <c r="P72" s="95" t="s">
        <v>195</v>
      </c>
      <c r="Q72" s="95" t="s">
        <v>195</v>
      </c>
      <c r="R72" s="166" t="s">
        <v>358</v>
      </c>
      <c r="S72" s="316">
        <f t="shared" si="12"/>
        <v>-0.3</v>
      </c>
      <c r="T72" s="580">
        <v>100</v>
      </c>
      <c r="U72" s="138">
        <v>2</v>
      </c>
      <c r="V72" s="270">
        <f t="shared" si="13"/>
        <v>-0.3</v>
      </c>
      <c r="W72" s="138">
        <f t="shared" si="14"/>
        <v>-256.12</v>
      </c>
      <c r="X72" s="138">
        <v>1</v>
      </c>
      <c r="Y72" s="138">
        <v>1</v>
      </c>
      <c r="Z72" s="138">
        <f>SUMIFS(S$5:S$18,P$5:P$18,P72,Q$5:Q$18,Q72,R$5:R$18,R72)</f>
        <v>853.73333333333335</v>
      </c>
      <c r="AA72" s="138">
        <v>1</v>
      </c>
    </row>
    <row r="73" spans="1:27">
      <c r="N73" s="209" t="s">
        <v>505</v>
      </c>
      <c r="O73" s="145" t="s">
        <v>403</v>
      </c>
      <c r="P73" s="147" t="s">
        <v>195</v>
      </c>
      <c r="Q73" s="147" t="s">
        <v>195</v>
      </c>
      <c r="R73" s="258" t="s">
        <v>368</v>
      </c>
      <c r="S73" s="317">
        <f t="shared" si="12"/>
        <v>60</v>
      </c>
      <c r="T73" s="580">
        <v>100</v>
      </c>
      <c r="U73" s="138">
        <v>2</v>
      </c>
      <c r="V73" s="270">
        <f t="shared" si="13"/>
        <v>60</v>
      </c>
      <c r="W73" s="138">
        <f t="shared" si="14"/>
        <v>730.00000000000011</v>
      </c>
      <c r="X73" s="138">
        <v>1</v>
      </c>
      <c r="Y73" s="138">
        <v>1</v>
      </c>
      <c r="Z73" s="138">
        <f>SUMIFS(S$5:S$18,P$5:P$18,P73,Q$5:Q$18,Q73,R$5:R$18,R73)</f>
        <v>12.166666666666668</v>
      </c>
      <c r="AA73" s="138">
        <v>1</v>
      </c>
    </row>
    <row r="74" spans="1:27">
      <c r="N74" s="212" t="s">
        <v>505</v>
      </c>
      <c r="O74" s="140" t="s">
        <v>29</v>
      </c>
      <c r="P74" s="141" t="s">
        <v>199</v>
      </c>
      <c r="Q74" s="141" t="s">
        <v>195</v>
      </c>
      <c r="R74" s="141" t="s">
        <v>285</v>
      </c>
      <c r="S74" s="213">
        <f t="shared" ref="S74:S88" ca="1" si="17">IF(R74="Unbilled",SUMIFS(S$33:S$47,R$33:R$47,R74),SUMIFS(S$60:S$73,P$60:P$73,P74,Q$60:Q$73,Q74,R$60:R$73,R74)*U74)</f>
        <v>58094.92501527947</v>
      </c>
      <c r="T74" s="138">
        <f t="shared" ref="T74:T88" ca="1" si="18">IF(R74="Unbilled",SUMIFS(S$33:S$47,R$33:R$47,R74),SUMIFS(V$60:V$73,P$60:P$73,P74,Q$60:Q$73,Q74,R$60:R$73,R74)*U74)</f>
        <v>60171.458047489235</v>
      </c>
      <c r="U74" s="138">
        <f t="shared" ref="U74:U88" si="19">SUMIFS(S$5:S$18,P$5:P$18,P74,Q$5:Q$18,Q74,R$5:R$18,R74)</f>
        <v>508.93495414173873</v>
      </c>
      <c r="X74" s="138"/>
      <c r="Y74" s="138"/>
      <c r="Z74" s="138"/>
      <c r="AA74" s="138"/>
    </row>
    <row r="75" spans="1:27">
      <c r="N75" s="208" t="s">
        <v>505</v>
      </c>
      <c r="O75" s="97" t="s">
        <v>29</v>
      </c>
      <c r="P75" s="143" t="s">
        <v>199</v>
      </c>
      <c r="Q75" s="143" t="s">
        <v>195</v>
      </c>
      <c r="R75" s="143" t="s">
        <v>194</v>
      </c>
      <c r="S75" s="210">
        <f t="shared" ca="1" si="17"/>
        <v>0</v>
      </c>
      <c r="T75" s="138">
        <f t="shared" ca="1" si="18"/>
        <v>0</v>
      </c>
      <c r="U75" s="138">
        <f t="shared" si="19"/>
        <v>495.84657534246583</v>
      </c>
      <c r="V75" s="304"/>
      <c r="X75" s="138"/>
      <c r="Y75" s="138"/>
      <c r="Z75" s="138"/>
      <c r="AA75" s="138"/>
    </row>
    <row r="76" spans="1:27">
      <c r="N76" s="208" t="s">
        <v>505</v>
      </c>
      <c r="O76" s="97" t="s">
        <v>29</v>
      </c>
      <c r="P76" s="143" t="s">
        <v>200</v>
      </c>
      <c r="Q76" s="143" t="s">
        <v>203</v>
      </c>
      <c r="R76" s="143" t="s">
        <v>285</v>
      </c>
      <c r="S76" s="210">
        <f t="shared" ca="1" si="17"/>
        <v>224472.63494478655</v>
      </c>
      <c r="T76" s="138">
        <f t="shared" ca="1" si="18"/>
        <v>232496.13856696044</v>
      </c>
      <c r="U76" s="138">
        <f t="shared" si="19"/>
        <v>983.23536988517992</v>
      </c>
      <c r="X76" s="138"/>
      <c r="Y76" s="138"/>
      <c r="Z76" s="138"/>
    </row>
    <row r="77" spans="1:27">
      <c r="N77" s="208" t="s">
        <v>505</v>
      </c>
      <c r="O77" s="97" t="s">
        <v>29</v>
      </c>
      <c r="P77" s="143" t="s">
        <v>200</v>
      </c>
      <c r="Q77" s="143" t="s">
        <v>203</v>
      </c>
      <c r="R77" s="143" t="s">
        <v>194</v>
      </c>
      <c r="S77" s="210">
        <f t="shared" ca="1" si="17"/>
        <v>0</v>
      </c>
      <c r="T77" s="138">
        <f t="shared" ca="1" si="18"/>
        <v>0</v>
      </c>
      <c r="U77" s="138">
        <f t="shared" si="19"/>
        <v>2698.3863013698633</v>
      </c>
      <c r="X77" s="138"/>
      <c r="Y77" s="138"/>
      <c r="Z77" s="138"/>
    </row>
    <row r="78" spans="1:27">
      <c r="N78" s="208" t="s">
        <v>505</v>
      </c>
      <c r="O78" s="97" t="s">
        <v>29</v>
      </c>
      <c r="P78" s="143" t="s">
        <v>200</v>
      </c>
      <c r="Q78" s="143" t="s">
        <v>284</v>
      </c>
      <c r="R78" s="143" t="s">
        <v>194</v>
      </c>
      <c r="S78" s="210">
        <f t="shared" ca="1" si="17"/>
        <v>226544.16879452037</v>
      </c>
      <c r="T78" s="138">
        <f t="shared" ca="1" si="18"/>
        <v>234662.7114945222</v>
      </c>
      <c r="U78" s="138">
        <f t="shared" si="19"/>
        <v>441.46027397260241</v>
      </c>
      <c r="W78" s="314"/>
      <c r="X78" s="138"/>
      <c r="Y78" s="138"/>
      <c r="Z78" s="138"/>
    </row>
    <row r="79" spans="1:27">
      <c r="N79" s="208" t="s">
        <v>505</v>
      </c>
      <c r="O79" s="97" t="s">
        <v>29</v>
      </c>
      <c r="P79" s="143" t="s">
        <v>200</v>
      </c>
      <c r="Q79" s="143" t="s">
        <v>204</v>
      </c>
      <c r="R79" s="143" t="s">
        <v>194</v>
      </c>
      <c r="S79" s="210">
        <f t="shared" ca="1" si="17"/>
        <v>27115.659999999996</v>
      </c>
      <c r="T79" s="138">
        <f t="shared" ca="1" si="18"/>
        <v>28087.451544244421</v>
      </c>
      <c r="U79" s="138">
        <f t="shared" si="19"/>
        <v>12.999999999999996</v>
      </c>
    </row>
    <row r="80" spans="1:27">
      <c r="N80" s="208" t="s">
        <v>505</v>
      </c>
      <c r="O80" s="97" t="s">
        <v>29</v>
      </c>
      <c r="P80" s="143" t="s">
        <v>200</v>
      </c>
      <c r="Q80" s="143" t="s">
        <v>284</v>
      </c>
      <c r="R80" s="143" t="s">
        <v>281</v>
      </c>
      <c r="S80" s="210">
        <f t="shared" ca="1" si="17"/>
        <v>1283768.1138876365</v>
      </c>
      <c r="T80" s="138">
        <f t="shared" ca="1" si="18"/>
        <v>1329817.9119773568</v>
      </c>
      <c r="U80" s="138">
        <f t="shared" si="19"/>
        <v>42806.539309357671</v>
      </c>
    </row>
    <row r="81" spans="14:22">
      <c r="N81" s="208" t="s">
        <v>505</v>
      </c>
      <c r="O81" s="97" t="s">
        <v>29</v>
      </c>
      <c r="P81" s="143" t="s">
        <v>200</v>
      </c>
      <c r="Q81" s="143" t="s">
        <v>204</v>
      </c>
      <c r="R81" s="143" t="s">
        <v>281</v>
      </c>
      <c r="S81" s="210">
        <f t="shared" ca="1" si="17"/>
        <v>134274.71406252441</v>
      </c>
      <c r="T81" s="138">
        <f t="shared" ca="1" si="18"/>
        <v>139099.81467332668</v>
      </c>
      <c r="U81" s="138">
        <f t="shared" si="19"/>
        <v>5726.0005996812115</v>
      </c>
    </row>
    <row r="82" spans="14:22">
      <c r="N82" s="208" t="s">
        <v>505</v>
      </c>
      <c r="O82" s="97" t="s">
        <v>29</v>
      </c>
      <c r="P82" s="143" t="s">
        <v>195</v>
      </c>
      <c r="Q82" s="143" t="s">
        <v>203</v>
      </c>
      <c r="R82" s="143" t="s">
        <v>281</v>
      </c>
      <c r="S82" s="210">
        <f t="shared" ca="1" si="17"/>
        <v>2123434.4229759835</v>
      </c>
      <c r="T82" s="138">
        <f t="shared" ca="1" si="18"/>
        <v>2199334.0255640103</v>
      </c>
      <c r="U82" s="138">
        <f t="shared" si="19"/>
        <v>55806.423731300492</v>
      </c>
    </row>
    <row r="83" spans="14:22">
      <c r="N83" s="208" t="s">
        <v>505</v>
      </c>
      <c r="O83" s="97" t="s">
        <v>29</v>
      </c>
      <c r="P83" s="143" t="s">
        <v>195</v>
      </c>
      <c r="Q83" s="143" t="s">
        <v>195</v>
      </c>
      <c r="R83" s="143" t="s">
        <v>6</v>
      </c>
      <c r="S83" s="210">
        <f t="shared" ca="1" si="17"/>
        <v>13403584.317333851</v>
      </c>
      <c r="T83" s="138">
        <f t="shared" ca="1" si="18"/>
        <v>13884464.034429722</v>
      </c>
      <c r="U83" s="138">
        <f t="shared" si="19"/>
        <v>163418487.16573825</v>
      </c>
    </row>
    <row r="84" spans="14:22">
      <c r="N84" s="208" t="s">
        <v>505</v>
      </c>
      <c r="O84" s="97" t="s">
        <v>29</v>
      </c>
      <c r="P84" s="143" t="s">
        <v>195</v>
      </c>
      <c r="Q84" s="143" t="s">
        <v>195</v>
      </c>
      <c r="R84" s="143" t="s">
        <v>201</v>
      </c>
      <c r="S84" s="210">
        <f t="shared" si="17"/>
        <v>39540.991724137937</v>
      </c>
      <c r="T84" s="138">
        <f t="shared" si="18"/>
        <v>40953.17</v>
      </c>
      <c r="U84" s="138">
        <f t="shared" si="19"/>
        <v>70608.913793103449</v>
      </c>
    </row>
    <row r="85" spans="14:22">
      <c r="N85" s="208" t="s">
        <v>505</v>
      </c>
      <c r="O85" s="97" t="s">
        <v>29</v>
      </c>
      <c r="P85" s="143" t="s">
        <v>195</v>
      </c>
      <c r="Q85" s="143" t="s">
        <v>195</v>
      </c>
      <c r="R85" s="166" t="s">
        <v>367</v>
      </c>
      <c r="S85" s="210">
        <f t="shared" si="17"/>
        <v>-228.4</v>
      </c>
      <c r="T85" s="138">
        <f t="shared" si="18"/>
        <v>-228.4</v>
      </c>
      <c r="U85" s="138">
        <f t="shared" si="19"/>
        <v>22840</v>
      </c>
    </row>
    <row r="86" spans="14:22">
      <c r="N86" s="208" t="s">
        <v>505</v>
      </c>
      <c r="O86" s="97" t="s">
        <v>29</v>
      </c>
      <c r="P86" s="143" t="s">
        <v>195</v>
      </c>
      <c r="Q86" s="143" t="s">
        <v>195</v>
      </c>
      <c r="R86" s="166" t="s">
        <v>358</v>
      </c>
      <c r="S86" s="210">
        <f t="shared" si="17"/>
        <v>-256.12</v>
      </c>
      <c r="T86" s="138">
        <f t="shared" si="18"/>
        <v>-256.12</v>
      </c>
      <c r="U86" s="138">
        <f t="shared" si="19"/>
        <v>853.73333333333335</v>
      </c>
    </row>
    <row r="87" spans="14:22">
      <c r="N87" s="208" t="s">
        <v>505</v>
      </c>
      <c r="O87" s="97" t="s">
        <v>29</v>
      </c>
      <c r="P87" s="143" t="s">
        <v>195</v>
      </c>
      <c r="Q87" s="143" t="s">
        <v>195</v>
      </c>
      <c r="R87" s="166" t="s">
        <v>368</v>
      </c>
      <c r="S87" s="210">
        <f t="shared" si="17"/>
        <v>730.00000000000011</v>
      </c>
      <c r="T87" s="138">
        <f t="shared" si="18"/>
        <v>730.00000000000011</v>
      </c>
      <c r="U87" s="138">
        <f t="shared" si="19"/>
        <v>12.166666666666668</v>
      </c>
    </row>
    <row r="88" spans="14:22">
      <c r="N88" s="209" t="s">
        <v>505</v>
      </c>
      <c r="O88" s="145" t="s">
        <v>29</v>
      </c>
      <c r="P88" s="147" t="s">
        <v>195</v>
      </c>
      <c r="Q88" s="147" t="s">
        <v>195</v>
      </c>
      <c r="R88" s="257" t="s">
        <v>168</v>
      </c>
      <c r="S88" s="211">
        <f t="shared" si="17"/>
        <v>-1729000</v>
      </c>
      <c r="T88" s="138">
        <f t="shared" si="18"/>
        <v>-1729000</v>
      </c>
      <c r="U88" s="138">
        <f t="shared" si="19"/>
        <v>0</v>
      </c>
    </row>
    <row r="89" spans="14:22">
      <c r="N89" s="301" t="s">
        <v>540</v>
      </c>
      <c r="O89" s="256" t="s">
        <v>29</v>
      </c>
      <c r="P89" s="139" t="s">
        <v>195</v>
      </c>
      <c r="Q89" s="212" t="s">
        <v>195</v>
      </c>
      <c r="R89" s="212" t="s">
        <v>195</v>
      </c>
      <c r="S89" s="212">
        <f ca="1">'Cost of Service and Proposed $'!Z123</f>
        <v>376195.86785133946</v>
      </c>
    </row>
    <row r="90" spans="14:22">
      <c r="N90" s="319" t="s">
        <v>541</v>
      </c>
      <c r="O90" s="85" t="s">
        <v>29</v>
      </c>
      <c r="P90" s="95" t="s">
        <v>195</v>
      </c>
      <c r="Q90" s="208" t="s">
        <v>195</v>
      </c>
      <c r="R90" s="208" t="s">
        <v>195</v>
      </c>
      <c r="S90" s="208">
        <f ca="1">'Cost of Service and Proposed $'!Z124</f>
        <v>6856773.6671696687</v>
      </c>
    </row>
    <row r="91" spans="14:22">
      <c r="N91" s="319" t="s">
        <v>542</v>
      </c>
      <c r="O91" s="85" t="s">
        <v>29</v>
      </c>
      <c r="P91" s="95" t="s">
        <v>195</v>
      </c>
      <c r="Q91" s="208" t="s">
        <v>195</v>
      </c>
      <c r="R91" s="208" t="s">
        <v>195</v>
      </c>
      <c r="S91" s="208">
        <f ca="1">'Cost of Service and Proposed $'!Z125</f>
        <v>1831998.9595941918</v>
      </c>
    </row>
    <row r="92" spans="14:22">
      <c r="N92" s="302" t="s">
        <v>543</v>
      </c>
      <c r="O92" s="257" t="s">
        <v>29</v>
      </c>
      <c r="P92" s="147" t="s">
        <v>195</v>
      </c>
      <c r="Q92" s="209" t="s">
        <v>195</v>
      </c>
      <c r="R92" s="209" t="s">
        <v>195</v>
      </c>
      <c r="S92" s="209">
        <f ca="1">'Cost of Service and Proposed $'!Z126</f>
        <v>8418012.7102753893</v>
      </c>
    </row>
    <row r="93" spans="14:22">
      <c r="N93" s="387" t="s">
        <v>535</v>
      </c>
      <c r="O93" s="256" t="s">
        <v>29</v>
      </c>
      <c r="P93" s="139" t="s">
        <v>195</v>
      </c>
      <c r="Q93" s="212" t="s">
        <v>195</v>
      </c>
      <c r="R93" s="212" t="s">
        <v>194</v>
      </c>
      <c r="S93" s="212">
        <f ca="1">(T93*(U93-V93)+V93*100)/100</f>
        <v>291630.34337709221</v>
      </c>
      <c r="T93" s="229">
        <f>$T$52</f>
        <v>10</v>
      </c>
      <c r="U93" s="138">
        <f ca="1">S89*(1-SUM(U96:U100)/SUM(S89:S92))</f>
        <v>412544.08225531061</v>
      </c>
      <c r="V93" s="138">
        <f ca="1">SUMIFS(S$74:S$83,R$74:R$83,R93)/SUM(S$74:S$83)*(SUM(S$89:S$92)-SUM(V$96:V$100))</f>
        <v>278195.48350173462</v>
      </c>
    </row>
    <row r="94" spans="14:22">
      <c r="N94" s="386" t="s">
        <v>535</v>
      </c>
      <c r="O94" s="85" t="s">
        <v>29</v>
      </c>
      <c r="P94" s="95" t="s">
        <v>195</v>
      </c>
      <c r="Q94" s="208" t="s">
        <v>195</v>
      </c>
      <c r="R94" s="208" t="s">
        <v>281</v>
      </c>
      <c r="S94" s="208">
        <f t="shared" ref="S94:S100" ca="1" si="20">(T94*(U94-V94)+V94*100)/100</f>
        <v>4727367.0988864386</v>
      </c>
      <c r="T94" s="229">
        <f t="shared" ref="T94:T100" si="21">$T$52</f>
        <v>10</v>
      </c>
      <c r="U94" s="138">
        <f ca="1">(S90+S91)*(1-SUM(U96:U100)/SUM(S89:S92))</f>
        <v>9528285.7563173473</v>
      </c>
      <c r="V94" s="138">
        <f ca="1">SUM(SUMIFS(S$74:S$83,R$74:R$83,R94),S74,S76)/SUM(S$74:S$83)*(SUM(S$89:S$92)-SUM(V$96:V$100))</f>
        <v>4193931.6925052265</v>
      </c>
    </row>
    <row r="95" spans="14:22">
      <c r="N95" s="386" t="s">
        <v>535</v>
      </c>
      <c r="O95" s="85" t="s">
        <v>29</v>
      </c>
      <c r="P95" s="95" t="s">
        <v>195</v>
      </c>
      <c r="Q95" s="208" t="s">
        <v>195</v>
      </c>
      <c r="R95" s="208" t="s">
        <v>6</v>
      </c>
      <c r="S95" s="208">
        <f t="shared" ca="1" si="20"/>
        <v>14153197.290902918</v>
      </c>
      <c r="T95" s="229">
        <f t="shared" si="21"/>
        <v>10</v>
      </c>
      <c r="U95" s="138">
        <f ca="1">S92*(1-SUM(U96:U100)/SUM(S89:S92))</f>
        <v>9231364.894593792</v>
      </c>
      <c r="V95" s="138">
        <f ca="1">SUMIFS(S$74:S$83,R$74:R$83,R95)/SUM(S$74:S$83)*(SUM(S$89:S$92)-SUM(V$96:V$100))</f>
        <v>14700067.557159485</v>
      </c>
    </row>
    <row r="96" spans="14:22">
      <c r="N96" s="386" t="s">
        <v>535</v>
      </c>
      <c r="O96" s="85" t="s">
        <v>29</v>
      </c>
      <c r="P96" s="95" t="s">
        <v>195</v>
      </c>
      <c r="Q96" s="208" t="s">
        <v>195</v>
      </c>
      <c r="R96" s="143" t="s">
        <v>201</v>
      </c>
      <c r="S96" s="208">
        <f t="shared" si="20"/>
        <v>39540.991724137937</v>
      </c>
      <c r="T96" s="229">
        <f t="shared" si="21"/>
        <v>10</v>
      </c>
      <c r="U96" s="138">
        <f>S84</f>
        <v>39540.991724137937</v>
      </c>
      <c r="V96" s="2">
        <f>S84</f>
        <v>39540.991724137937</v>
      </c>
    </row>
    <row r="97" spans="14:27">
      <c r="N97" s="386" t="s">
        <v>535</v>
      </c>
      <c r="O97" s="85" t="s">
        <v>29</v>
      </c>
      <c r="P97" s="95" t="s">
        <v>195</v>
      </c>
      <c r="Q97" s="208" t="s">
        <v>195</v>
      </c>
      <c r="R97" s="166" t="s">
        <v>367</v>
      </c>
      <c r="S97" s="208">
        <f t="shared" si="20"/>
        <v>-228.4</v>
      </c>
      <c r="T97" s="229">
        <f t="shared" si="21"/>
        <v>10</v>
      </c>
      <c r="U97" s="138">
        <f>S85</f>
        <v>-228.4</v>
      </c>
      <c r="V97" s="2">
        <f>S85</f>
        <v>-228.4</v>
      </c>
    </row>
    <row r="98" spans="14:27">
      <c r="N98" s="386" t="s">
        <v>535</v>
      </c>
      <c r="O98" s="85" t="s">
        <v>29</v>
      </c>
      <c r="P98" s="95" t="s">
        <v>195</v>
      </c>
      <c r="Q98" s="208" t="s">
        <v>195</v>
      </c>
      <c r="R98" s="166" t="s">
        <v>358</v>
      </c>
      <c r="S98" s="208">
        <f t="shared" si="20"/>
        <v>-256.12</v>
      </c>
      <c r="T98" s="229">
        <f t="shared" si="21"/>
        <v>10</v>
      </c>
      <c r="U98" s="138">
        <f>S86</f>
        <v>-256.12</v>
      </c>
      <c r="V98" s="2">
        <f>S86</f>
        <v>-256.12</v>
      </c>
      <c r="W98" s="138"/>
      <c r="X98" s="138"/>
    </row>
    <row r="99" spans="14:27">
      <c r="N99" s="386" t="s">
        <v>535</v>
      </c>
      <c r="O99" s="85" t="s">
        <v>29</v>
      </c>
      <c r="P99" s="95" t="s">
        <v>195</v>
      </c>
      <c r="Q99" s="208" t="s">
        <v>195</v>
      </c>
      <c r="R99" s="166" t="s">
        <v>368</v>
      </c>
      <c r="S99" s="208">
        <f t="shared" si="20"/>
        <v>730.00000000000011</v>
      </c>
      <c r="T99" s="229">
        <f t="shared" si="21"/>
        <v>10</v>
      </c>
      <c r="U99" s="138">
        <f>S87</f>
        <v>730.00000000000011</v>
      </c>
      <c r="V99" s="2">
        <f>S87</f>
        <v>730.00000000000011</v>
      </c>
      <c r="W99" s="138"/>
      <c r="X99" s="138"/>
    </row>
    <row r="100" spans="14:27">
      <c r="N100" s="388" t="s">
        <v>535</v>
      </c>
      <c r="O100" s="257" t="s">
        <v>29</v>
      </c>
      <c r="P100" s="147" t="s">
        <v>195</v>
      </c>
      <c r="Q100" s="209" t="s">
        <v>195</v>
      </c>
      <c r="R100" s="209" t="s">
        <v>168</v>
      </c>
      <c r="S100" s="209">
        <f t="shared" si="20"/>
        <v>-1729000</v>
      </c>
      <c r="T100" s="229">
        <f t="shared" si="21"/>
        <v>10</v>
      </c>
      <c r="U100" s="138">
        <f>S88</f>
        <v>-1729000</v>
      </c>
      <c r="V100" s="2">
        <f>S88</f>
        <v>-1729000</v>
      </c>
      <c r="W100" s="138"/>
      <c r="X100" s="138"/>
    </row>
    <row r="101" spans="14:27">
      <c r="N101" s="212" t="s">
        <v>506</v>
      </c>
      <c r="O101" s="140" t="s">
        <v>403</v>
      </c>
      <c r="P101" s="139" t="s">
        <v>199</v>
      </c>
      <c r="Q101" s="139" t="s">
        <v>195</v>
      </c>
      <c r="R101" s="139" t="s">
        <v>285</v>
      </c>
      <c r="S101" s="315">
        <f ca="1">ROUND(T101/100*W101*X101/Y101/Z101,U101)*AA101</f>
        <v>129.87</v>
      </c>
      <c r="T101" s="259">
        <f>100+Summary!$R$13</f>
        <v>96.57</v>
      </c>
      <c r="U101" s="138">
        <v>2</v>
      </c>
      <c r="V101" s="270">
        <f ca="1">W101*X101/Y101/Z101*AA101</f>
        <v>134.47874894765664</v>
      </c>
      <c r="W101" s="138">
        <f ca="1">SUMIFS(S$93:S$100,R$93:R$100,R109)</f>
        <v>4727367.0988864386</v>
      </c>
      <c r="X101" s="138">
        <f ca="1">SUMIFS(S$74:S$88,P$74:P$88,P109,Q$74:Q$88,Q109,R$74:R$88,R109)</f>
        <v>2123434.4229759835</v>
      </c>
      <c r="Y101" s="138">
        <f ca="1">SUMIFS(S$74:S$88,R$74:R$88,R109)</f>
        <v>3541477.2509261444</v>
      </c>
      <c r="Z101" s="138">
        <f>S$5*AA101+S$7*AA103+S$13*AA109</f>
        <v>63232.640813036785</v>
      </c>
      <c r="AA101" s="138">
        <v>3</v>
      </c>
    </row>
    <row r="102" spans="14:27">
      <c r="N102" s="208" t="s">
        <v>506</v>
      </c>
      <c r="O102" s="97" t="s">
        <v>403</v>
      </c>
      <c r="P102" s="95" t="s">
        <v>199</v>
      </c>
      <c r="Q102" s="95" t="s">
        <v>195</v>
      </c>
      <c r="R102" s="95" t="s">
        <v>194</v>
      </c>
      <c r="S102" s="316">
        <f t="shared" ref="S102:S114" ca="1" si="22">ROUND(T102/100*W102*X102/Y102/Z102,U102)*AA102</f>
        <v>0</v>
      </c>
      <c r="T102" s="259">
        <f>100+Summary!$R$13</f>
        <v>96.57</v>
      </c>
      <c r="U102" s="138">
        <v>2</v>
      </c>
      <c r="V102" s="270">
        <f t="shared" ref="V102:V114" ca="1" si="23">W102*X102/Y102/Z102*AA102</f>
        <v>0</v>
      </c>
      <c r="W102" s="138">
        <f ca="1">SUMIFS(S$93:S$100,R$93:R$100,R102)</f>
        <v>291630.34337709221</v>
      </c>
      <c r="X102" s="138">
        <f ca="1">SUMIFS(S$74:S$88,P$74:P$88,P102,Q$74:Q$88,Q102,R$74:R$88,R102)</f>
        <v>0</v>
      </c>
      <c r="Y102" s="138">
        <f ca="1">SUMIFS(S$74:S$88,R$74:R$88,R102)</f>
        <v>253659.82879452038</v>
      </c>
      <c r="Z102" s="138">
        <f>SUMIFS(S$5:S$18,P$5:P$18,P102,Q$5:Q$18,Q102,R$5:R$18,R102)</f>
        <v>495.84657534246583</v>
      </c>
      <c r="AA102" s="138">
        <v>1</v>
      </c>
    </row>
    <row r="103" spans="14:27">
      <c r="N103" s="208" t="s">
        <v>506</v>
      </c>
      <c r="O103" s="97" t="s">
        <v>403</v>
      </c>
      <c r="P103" s="95" t="s">
        <v>200</v>
      </c>
      <c r="Q103" s="95" t="s">
        <v>203</v>
      </c>
      <c r="R103" s="95" t="s">
        <v>285</v>
      </c>
      <c r="S103" s="316">
        <f t="shared" ca="1" si="22"/>
        <v>259.74</v>
      </c>
      <c r="T103" s="259">
        <f>100+Summary!$R$13</f>
        <v>96.57</v>
      </c>
      <c r="U103" s="138">
        <v>2</v>
      </c>
      <c r="V103" s="270">
        <f t="shared" ca="1" si="23"/>
        <v>268.95749789531328</v>
      </c>
      <c r="W103" s="138">
        <f ca="1">SUMIFS(S$93:S$100,R$93:R$100,R109)</f>
        <v>4727367.0988864386</v>
      </c>
      <c r="X103" s="138">
        <f ca="1">SUMIFS(S$74:S$88,P$74:P$88,P109,Q$74:Q$88,Q109,R$74:R$88,R109)</f>
        <v>2123434.4229759835</v>
      </c>
      <c r="Y103" s="138">
        <f ca="1">SUMIFS(S$74:S$88,R$74:R$88,R109)</f>
        <v>3541477.2509261444</v>
      </c>
      <c r="Z103" s="138">
        <f>S$5*AA101+S$7*AA103+S$13*AA109</f>
        <v>63232.640813036785</v>
      </c>
      <c r="AA103" s="138">
        <v>6</v>
      </c>
    </row>
    <row r="104" spans="14:27">
      <c r="N104" s="208" t="s">
        <v>506</v>
      </c>
      <c r="O104" s="97" t="s">
        <v>403</v>
      </c>
      <c r="P104" s="95" t="s">
        <v>200</v>
      </c>
      <c r="Q104" s="95" t="s">
        <v>203</v>
      </c>
      <c r="R104" s="95" t="s">
        <v>194</v>
      </c>
      <c r="S104" s="316">
        <f t="shared" ca="1" si="22"/>
        <v>0</v>
      </c>
      <c r="T104" s="259">
        <f>100+Summary!$R$13</f>
        <v>96.57</v>
      </c>
      <c r="U104" s="138">
        <v>2</v>
      </c>
      <c r="V104" s="270">
        <f t="shared" ca="1" si="23"/>
        <v>0</v>
      </c>
      <c r="W104" s="138">
        <f t="shared" ref="W104:W114" ca="1" si="24">SUMIFS(S$93:S$100,R$93:R$100,R104)</f>
        <v>291630.34337709221</v>
      </c>
      <c r="X104" s="138">
        <f t="shared" ref="X104:X109" ca="1" si="25">SUMIFS(S$74:S$88,P$74:P$88,P104,Q$74:Q$88,Q104,R$74:R$88,R104)</f>
        <v>0</v>
      </c>
      <c r="Y104" s="138">
        <f t="shared" ref="Y104:Y109" ca="1" si="26">SUMIFS(S$74:S$88,R$74:R$88,R104)</f>
        <v>253659.82879452038</v>
      </c>
      <c r="Z104" s="138">
        <f>SUMIFS(S$5:S$18,P$5:P$18,P104,Q$5:Q$18,Q104,R$5:R$18,R104)</f>
        <v>2698.3863013698633</v>
      </c>
      <c r="AA104" s="138">
        <v>1</v>
      </c>
    </row>
    <row r="105" spans="14:27">
      <c r="N105" s="208" t="s">
        <v>506</v>
      </c>
      <c r="O105" s="97" t="s">
        <v>403</v>
      </c>
      <c r="P105" s="95" t="s">
        <v>200</v>
      </c>
      <c r="Q105" s="95" t="s">
        <v>284</v>
      </c>
      <c r="R105" s="95" t="s">
        <v>194</v>
      </c>
      <c r="S105" s="316">
        <f t="shared" ca="1" si="22"/>
        <v>569.75</v>
      </c>
      <c r="T105" s="259">
        <f>100+Summary!$R$13</f>
        <v>96.57</v>
      </c>
      <c r="U105" s="138">
        <v>2</v>
      </c>
      <c r="V105" s="270">
        <f t="shared" ca="1" si="23"/>
        <v>589.98677095241862</v>
      </c>
      <c r="W105" s="138">
        <f t="shared" ca="1" si="24"/>
        <v>291630.34337709221</v>
      </c>
      <c r="X105" s="138">
        <f t="shared" ca="1" si="25"/>
        <v>226544.16879452037</v>
      </c>
      <c r="Y105" s="138">
        <f t="shared" ca="1" si="26"/>
        <v>253659.82879452038</v>
      </c>
      <c r="Z105" s="138">
        <f>SUMIFS(S$5:S$18,P$5:P$18,P105,Q$5:Q$18,Q105,R$5:R$18,R105)</f>
        <v>441.46027397260241</v>
      </c>
      <c r="AA105" s="138">
        <v>1</v>
      </c>
    </row>
    <row r="106" spans="14:27">
      <c r="N106" s="208" t="s">
        <v>506</v>
      </c>
      <c r="O106" s="97" t="s">
        <v>403</v>
      </c>
      <c r="P106" s="95" t="s">
        <v>200</v>
      </c>
      <c r="Q106" s="95" t="s">
        <v>204</v>
      </c>
      <c r="R106" s="95" t="s">
        <v>194</v>
      </c>
      <c r="S106" s="316">
        <f t="shared" ca="1" si="22"/>
        <v>2315.79</v>
      </c>
      <c r="T106" s="259">
        <f>100+Summary!$R$13</f>
        <v>96.57</v>
      </c>
      <c r="U106" s="138">
        <v>2</v>
      </c>
      <c r="V106" s="270">
        <f t="shared" ca="1" si="23"/>
        <v>2398.0478332481903</v>
      </c>
      <c r="W106" s="138">
        <f t="shared" ca="1" si="24"/>
        <v>291630.34337709221</v>
      </c>
      <c r="X106" s="138">
        <f t="shared" ca="1" si="25"/>
        <v>27115.659999999996</v>
      </c>
      <c r="Y106" s="138">
        <f t="shared" ca="1" si="26"/>
        <v>253659.82879452038</v>
      </c>
      <c r="Z106" s="138">
        <f>SUMIFS(S$5:S$18,P$5:P$18,P106,Q$5:Q$18,Q106,R$5:R$18,R106)</f>
        <v>12.999999999999996</v>
      </c>
      <c r="AA106" s="138">
        <v>1</v>
      </c>
    </row>
    <row r="107" spans="14:27">
      <c r="N107" s="208" t="s">
        <v>506</v>
      </c>
      <c r="O107" s="97" t="s">
        <v>403</v>
      </c>
      <c r="P107" s="95" t="s">
        <v>200</v>
      </c>
      <c r="Q107" s="95" t="s">
        <v>284</v>
      </c>
      <c r="R107" s="95" t="s">
        <v>281</v>
      </c>
      <c r="S107" s="316">
        <f t="shared" ca="1" si="22"/>
        <v>38.659999999999997</v>
      </c>
      <c r="T107" s="259">
        <f>100+Summary!$R$13</f>
        <v>96.57</v>
      </c>
      <c r="U107" s="138">
        <v>2</v>
      </c>
      <c r="V107" s="270">
        <f t="shared" ca="1" si="23"/>
        <v>40.032373286748779</v>
      </c>
      <c r="W107" s="138">
        <f t="shared" ca="1" si="24"/>
        <v>4727367.0988864386</v>
      </c>
      <c r="X107" s="138">
        <f t="shared" ca="1" si="25"/>
        <v>1283768.1138876365</v>
      </c>
      <c r="Y107" s="138">
        <f t="shared" ca="1" si="26"/>
        <v>3541477.2509261444</v>
      </c>
      <c r="Z107" s="138">
        <f>SUMIFS(S$5:S$18,P$5:P$18,P107,Q$5:Q$18,Q107,R$5:R$18,R107)</f>
        <v>42806.539309357671</v>
      </c>
      <c r="AA107" s="138">
        <v>1</v>
      </c>
    </row>
    <row r="108" spans="14:27">
      <c r="N108" s="208" t="s">
        <v>506</v>
      </c>
      <c r="O108" s="97" t="s">
        <v>403</v>
      </c>
      <c r="P108" s="95" t="s">
        <v>200</v>
      </c>
      <c r="Q108" s="95" t="s">
        <v>204</v>
      </c>
      <c r="R108" s="95" t="s">
        <v>281</v>
      </c>
      <c r="S108" s="316">
        <f t="shared" ca="1" si="22"/>
        <v>30.23</v>
      </c>
      <c r="T108" s="259">
        <f>100+Summary!$R$13</f>
        <v>96.57</v>
      </c>
      <c r="U108" s="138">
        <v>2</v>
      </c>
      <c r="V108" s="270">
        <f t="shared" ca="1" si="23"/>
        <v>31.302405921115671</v>
      </c>
      <c r="W108" s="138">
        <f t="shared" ca="1" si="24"/>
        <v>4727367.0988864386</v>
      </c>
      <c r="X108" s="138">
        <f t="shared" ca="1" si="25"/>
        <v>134274.71406252441</v>
      </c>
      <c r="Y108" s="138">
        <f t="shared" ca="1" si="26"/>
        <v>3541477.2509261444</v>
      </c>
      <c r="Z108" s="138">
        <f>SUMIFS(S$5:S$18,P$5:P$18,P108,Q$5:Q$18,Q108,R$5:R$18,R108)</f>
        <v>5726.0005996812115</v>
      </c>
      <c r="AA108" s="138">
        <v>1</v>
      </c>
    </row>
    <row r="109" spans="14:27">
      <c r="N109" s="208" t="s">
        <v>506</v>
      </c>
      <c r="O109" s="97" t="s">
        <v>403</v>
      </c>
      <c r="P109" s="95" t="s">
        <v>195</v>
      </c>
      <c r="Q109" s="95" t="s">
        <v>203</v>
      </c>
      <c r="R109" s="95" t="s">
        <v>281</v>
      </c>
      <c r="S109" s="316">
        <f t="shared" ca="1" si="22"/>
        <v>43.29</v>
      </c>
      <c r="T109" s="259">
        <f>100+Summary!$R$13</f>
        <v>96.57</v>
      </c>
      <c r="U109" s="138">
        <v>2</v>
      </c>
      <c r="V109" s="270">
        <f t="shared" ca="1" si="23"/>
        <v>44.82624964921888</v>
      </c>
      <c r="W109" s="138">
        <f t="shared" ca="1" si="24"/>
        <v>4727367.0988864386</v>
      </c>
      <c r="X109" s="138">
        <f t="shared" ca="1" si="25"/>
        <v>2123434.4229759835</v>
      </c>
      <c r="Y109" s="138">
        <f t="shared" ca="1" si="26"/>
        <v>3541477.2509261444</v>
      </c>
      <c r="Z109" s="138">
        <f>S$5*AA101+S$7*AA103+S$13*AA109</f>
        <v>63232.640813036785</v>
      </c>
      <c r="AA109" s="138">
        <v>1</v>
      </c>
    </row>
    <row r="110" spans="14:27">
      <c r="N110" s="208" t="s">
        <v>506</v>
      </c>
      <c r="O110" s="97" t="s">
        <v>403</v>
      </c>
      <c r="P110" s="95" t="s">
        <v>195</v>
      </c>
      <c r="Q110" s="95" t="s">
        <v>195</v>
      </c>
      <c r="R110" s="95" t="s">
        <v>6</v>
      </c>
      <c r="S110" s="316">
        <f t="shared" ca="1" si="22"/>
        <v>8.3640000000000006E-2</v>
      </c>
      <c r="T110" s="259">
        <f>100+Summary!$R$13</f>
        <v>96.57</v>
      </c>
      <c r="U110" s="138">
        <v>5</v>
      </c>
      <c r="V110" s="270">
        <f t="shared" ca="1" si="23"/>
        <v>8.6607075713219725E-2</v>
      </c>
      <c r="W110" s="138">
        <f t="shared" ca="1" si="24"/>
        <v>14153197.290902918</v>
      </c>
      <c r="X110" s="138">
        <v>1</v>
      </c>
      <c r="Y110" s="138">
        <v>1</v>
      </c>
      <c r="Z110" s="138">
        <f>SUMIFS(S$5:S$18,P$5:P$18,P110,Q$5:Q$18,Q110,R$5:R$18,R110)</f>
        <v>163418487.16573825</v>
      </c>
      <c r="AA110" s="138">
        <v>1</v>
      </c>
    </row>
    <row r="111" spans="14:27">
      <c r="N111" s="208" t="s">
        <v>506</v>
      </c>
      <c r="O111" s="97" t="s">
        <v>403</v>
      </c>
      <c r="P111" s="95" t="s">
        <v>195</v>
      </c>
      <c r="Q111" s="95" t="s">
        <v>195</v>
      </c>
      <c r="R111" s="95" t="s">
        <v>201</v>
      </c>
      <c r="S111" s="316">
        <f t="shared" si="22"/>
        <v>0.54</v>
      </c>
      <c r="T111" s="259">
        <f>100+Summary!$R$13</f>
        <v>96.57</v>
      </c>
      <c r="U111" s="138">
        <v>2</v>
      </c>
      <c r="V111" s="270">
        <f t="shared" si="23"/>
        <v>0.56000000000000005</v>
      </c>
      <c r="W111" s="138">
        <f t="shared" si="24"/>
        <v>39540.991724137937</v>
      </c>
      <c r="X111" s="138">
        <v>1</v>
      </c>
      <c r="Y111" s="138">
        <v>1</v>
      </c>
      <c r="Z111" s="138">
        <f>SUMIFS(S$5:S$18,P$5:P$18,P111,Q$5:Q$18,Q111,R$5:R$18,R111)</f>
        <v>70608.913793103449</v>
      </c>
      <c r="AA111" s="138">
        <v>1</v>
      </c>
    </row>
    <row r="112" spans="14:27">
      <c r="N112" s="208" t="s">
        <v>506</v>
      </c>
      <c r="O112" s="97" t="s">
        <v>403</v>
      </c>
      <c r="P112" s="95" t="s">
        <v>195</v>
      </c>
      <c r="Q112" s="95" t="s">
        <v>195</v>
      </c>
      <c r="R112" s="166" t="s">
        <v>367</v>
      </c>
      <c r="S112" s="316">
        <f t="shared" si="22"/>
        <v>-0.01</v>
      </c>
      <c r="T112" s="580">
        <v>100</v>
      </c>
      <c r="U112" s="138">
        <v>2</v>
      </c>
      <c r="V112" s="270">
        <f t="shared" si="23"/>
        <v>-0.01</v>
      </c>
      <c r="W112" s="138">
        <f t="shared" si="24"/>
        <v>-228.4</v>
      </c>
      <c r="X112" s="138">
        <v>1</v>
      </c>
      <c r="Y112" s="138">
        <v>1</v>
      </c>
      <c r="Z112" s="138">
        <f>SUMIFS(S$5:S$18,P$5:P$18,P112,Q$5:Q$18,Q112,R$5:R$18,R112)</f>
        <v>22840</v>
      </c>
      <c r="AA112" s="138">
        <v>1</v>
      </c>
    </row>
    <row r="113" spans="14:27">
      <c r="N113" s="208" t="s">
        <v>506</v>
      </c>
      <c r="O113" s="97" t="s">
        <v>403</v>
      </c>
      <c r="P113" s="95" t="s">
        <v>195</v>
      </c>
      <c r="Q113" s="95" t="s">
        <v>195</v>
      </c>
      <c r="R113" s="166" t="s">
        <v>358</v>
      </c>
      <c r="S113" s="316">
        <f t="shared" si="22"/>
        <v>-0.3</v>
      </c>
      <c r="T113" s="580">
        <v>100</v>
      </c>
      <c r="U113" s="138">
        <v>2</v>
      </c>
      <c r="V113" s="270">
        <f t="shared" si="23"/>
        <v>-0.3</v>
      </c>
      <c r="W113" s="138">
        <f t="shared" si="24"/>
        <v>-256.12</v>
      </c>
      <c r="X113" s="138">
        <v>1</v>
      </c>
      <c r="Y113" s="138">
        <v>1</v>
      </c>
      <c r="Z113" s="138">
        <f>SUMIFS(S$5:S$18,P$5:P$18,P113,Q$5:Q$18,Q113,R$5:R$18,R113)</f>
        <v>853.73333333333335</v>
      </c>
      <c r="AA113" s="138">
        <v>1</v>
      </c>
    </row>
    <row r="114" spans="14:27">
      <c r="N114" s="209" t="s">
        <v>506</v>
      </c>
      <c r="O114" s="145" t="s">
        <v>403</v>
      </c>
      <c r="P114" s="147" t="s">
        <v>195</v>
      </c>
      <c r="Q114" s="147" t="s">
        <v>195</v>
      </c>
      <c r="R114" s="258" t="s">
        <v>368</v>
      </c>
      <c r="S114" s="317">
        <f t="shared" si="22"/>
        <v>60</v>
      </c>
      <c r="T114" s="580">
        <v>100</v>
      </c>
      <c r="U114" s="138">
        <v>2</v>
      </c>
      <c r="V114" s="270">
        <f t="shared" si="23"/>
        <v>60</v>
      </c>
      <c r="W114" s="138">
        <f t="shared" si="24"/>
        <v>730.00000000000011</v>
      </c>
      <c r="X114" s="138">
        <v>1</v>
      </c>
      <c r="Y114" s="138">
        <v>1</v>
      </c>
      <c r="Z114" s="138">
        <f>SUMIFS(S$5:S$18,P$5:P$18,P114,Q$5:Q$18,Q114,R$5:R$18,R114)</f>
        <v>12.166666666666668</v>
      </c>
      <c r="AA114" s="138">
        <v>1</v>
      </c>
    </row>
    <row r="115" spans="14:27">
      <c r="N115" s="212" t="s">
        <v>506</v>
      </c>
      <c r="O115" s="140" t="s">
        <v>29</v>
      </c>
      <c r="P115" s="141" t="s">
        <v>199</v>
      </c>
      <c r="Q115" s="141" t="s">
        <v>195</v>
      </c>
      <c r="R115" s="141" t="s">
        <v>285</v>
      </c>
      <c r="S115" s="213">
        <f t="shared" ref="S115:S129" ca="1" si="27">IF(R115="Unbilled",SUMIFS(S$74:S$88,R$74:R$88,R115),SUMIFS(S$101:S$114,P$101:P$114,P115,Q$101:Q$114,Q115,R$101:R$114,R115)*U115)</f>
        <v>66095.38249438761</v>
      </c>
      <c r="T115" s="138">
        <f t="shared" ref="T115:T129" ca="1" si="28">IF(R115="Unbilled",SUMIFS(S$74:S$88,R$74:R$88,R115),SUMIFS(V$101:V$114,P$101:P$114,P115,Q$101:Q$114,Q115,R$101:R$114,R115)*U115)</f>
        <v>68440.935928714025</v>
      </c>
      <c r="U115" s="138">
        <f t="shared" ref="U115:U129" si="29">SUMIFS(S$5:S$18,P$5:P$18,P115,Q$5:Q$18,Q115,R$5:R$18,R115)</f>
        <v>508.93495414173873</v>
      </c>
      <c r="X115" s="138"/>
      <c r="Y115" s="138"/>
      <c r="Z115" s="138"/>
    </row>
    <row r="116" spans="14:27">
      <c r="N116" s="208" t="s">
        <v>506</v>
      </c>
      <c r="O116" s="97" t="s">
        <v>29</v>
      </c>
      <c r="P116" s="143" t="s">
        <v>199</v>
      </c>
      <c r="Q116" s="143" t="s">
        <v>195</v>
      </c>
      <c r="R116" s="143" t="s">
        <v>194</v>
      </c>
      <c r="S116" s="210">
        <f t="shared" ca="1" si="27"/>
        <v>0</v>
      </c>
      <c r="T116" s="138">
        <f t="shared" ca="1" si="28"/>
        <v>0</v>
      </c>
      <c r="U116" s="138">
        <f t="shared" si="29"/>
        <v>495.84657534246583</v>
      </c>
      <c r="X116" s="138"/>
      <c r="Y116" s="138"/>
      <c r="Z116" s="138"/>
    </row>
    <row r="117" spans="14:27">
      <c r="N117" s="208" t="s">
        <v>506</v>
      </c>
      <c r="O117" s="97" t="s">
        <v>29</v>
      </c>
      <c r="P117" s="143" t="s">
        <v>200</v>
      </c>
      <c r="Q117" s="143" t="s">
        <v>203</v>
      </c>
      <c r="R117" s="143" t="s">
        <v>285</v>
      </c>
      <c r="S117" s="210">
        <f t="shared" ca="1" si="27"/>
        <v>255385.55497397663</v>
      </c>
      <c r="T117" s="138">
        <f t="shared" ca="1" si="28"/>
        <v>264448.52492649085</v>
      </c>
      <c r="U117" s="138">
        <f t="shared" si="29"/>
        <v>983.23536988517992</v>
      </c>
      <c r="X117" s="138"/>
      <c r="Y117" s="138"/>
      <c r="Z117" s="138"/>
    </row>
    <row r="118" spans="14:27">
      <c r="N118" s="208" t="s">
        <v>506</v>
      </c>
      <c r="O118" s="97" t="s">
        <v>29</v>
      </c>
      <c r="P118" s="143" t="s">
        <v>200</v>
      </c>
      <c r="Q118" s="143" t="s">
        <v>203</v>
      </c>
      <c r="R118" s="143" t="s">
        <v>194</v>
      </c>
      <c r="S118" s="210">
        <f t="shared" ca="1" si="27"/>
        <v>0</v>
      </c>
      <c r="T118" s="138">
        <f t="shared" ca="1" si="28"/>
        <v>0</v>
      </c>
      <c r="U118" s="138">
        <f t="shared" si="29"/>
        <v>2698.3863013698633</v>
      </c>
      <c r="W118" s="445"/>
      <c r="X118" s="138"/>
      <c r="Y118" s="138"/>
      <c r="Z118" s="138"/>
    </row>
    <row r="119" spans="14:27">
      <c r="N119" s="208" t="s">
        <v>506</v>
      </c>
      <c r="O119" s="97" t="s">
        <v>29</v>
      </c>
      <c r="P119" s="143" t="s">
        <v>200</v>
      </c>
      <c r="Q119" s="143" t="s">
        <v>284</v>
      </c>
      <c r="R119" s="143" t="s">
        <v>194</v>
      </c>
      <c r="S119" s="210">
        <f t="shared" ca="1" si="27"/>
        <v>251521.99109589023</v>
      </c>
      <c r="T119" s="138">
        <f t="shared" ca="1" si="28"/>
        <v>260455.72154486575</v>
      </c>
      <c r="U119" s="138">
        <f t="shared" si="29"/>
        <v>441.46027397260241</v>
      </c>
      <c r="W119" s="445"/>
      <c r="X119" s="138"/>
      <c r="Y119" s="138"/>
      <c r="Z119" s="138"/>
    </row>
    <row r="120" spans="14:27">
      <c r="N120" s="208" t="s">
        <v>506</v>
      </c>
      <c r="O120" s="97" t="s">
        <v>29</v>
      </c>
      <c r="P120" s="143" t="s">
        <v>200</v>
      </c>
      <c r="Q120" s="143" t="s">
        <v>204</v>
      </c>
      <c r="R120" s="143" t="s">
        <v>194</v>
      </c>
      <c r="S120" s="210">
        <f t="shared" ca="1" si="27"/>
        <v>30105.26999999999</v>
      </c>
      <c r="T120" s="138">
        <f t="shared" ca="1" si="28"/>
        <v>31174.621832226465</v>
      </c>
      <c r="U120" s="138">
        <f t="shared" si="29"/>
        <v>12.999999999999996</v>
      </c>
      <c r="W120" s="445"/>
    </row>
    <row r="121" spans="14:27">
      <c r="N121" s="208" t="s">
        <v>506</v>
      </c>
      <c r="O121" s="97" t="s">
        <v>29</v>
      </c>
      <c r="P121" s="143" t="s">
        <v>200</v>
      </c>
      <c r="Q121" s="143" t="s">
        <v>284</v>
      </c>
      <c r="R121" s="143" t="s">
        <v>281</v>
      </c>
      <c r="S121" s="210">
        <f t="shared" ca="1" si="27"/>
        <v>1654900.8096997675</v>
      </c>
      <c r="T121" s="138">
        <f t="shared" ca="1" si="28"/>
        <v>1713647.3607460915</v>
      </c>
      <c r="U121" s="138">
        <f t="shared" si="29"/>
        <v>42806.539309357671</v>
      </c>
      <c r="W121" s="445"/>
    </row>
    <row r="122" spans="14:27">
      <c r="N122" s="208" t="s">
        <v>506</v>
      </c>
      <c r="O122" s="97" t="s">
        <v>29</v>
      </c>
      <c r="P122" s="143" t="s">
        <v>200</v>
      </c>
      <c r="Q122" s="143" t="s">
        <v>204</v>
      </c>
      <c r="R122" s="143" t="s">
        <v>281</v>
      </c>
      <c r="S122" s="210">
        <f t="shared" ca="1" si="27"/>
        <v>173096.99812836302</v>
      </c>
      <c r="T122" s="138">
        <f t="shared" ca="1" si="28"/>
        <v>179237.59507577305</v>
      </c>
      <c r="U122" s="138">
        <f t="shared" si="29"/>
        <v>5726.0005996812115</v>
      </c>
    </row>
    <row r="123" spans="14:27">
      <c r="N123" s="208" t="s">
        <v>506</v>
      </c>
      <c r="O123" s="97" t="s">
        <v>29</v>
      </c>
      <c r="P123" s="143" t="s">
        <v>195</v>
      </c>
      <c r="Q123" s="143" t="s">
        <v>203</v>
      </c>
      <c r="R123" s="143" t="s">
        <v>281</v>
      </c>
      <c r="S123" s="210">
        <f t="shared" ca="1" si="27"/>
        <v>2415860.0833279984</v>
      </c>
      <c r="T123" s="138">
        <f t="shared" ca="1" si="28"/>
        <v>2501592.6822093688</v>
      </c>
      <c r="U123" s="138">
        <f t="shared" si="29"/>
        <v>55806.423731300492</v>
      </c>
    </row>
    <row r="124" spans="14:27">
      <c r="N124" s="208" t="s">
        <v>506</v>
      </c>
      <c r="O124" s="97" t="s">
        <v>29</v>
      </c>
      <c r="P124" s="143" t="s">
        <v>195</v>
      </c>
      <c r="Q124" s="143" t="s">
        <v>195</v>
      </c>
      <c r="R124" s="143" t="s">
        <v>6</v>
      </c>
      <c r="S124" s="210">
        <f t="shared" ca="1" si="27"/>
        <v>13668322.266542349</v>
      </c>
      <c r="T124" s="138">
        <f t="shared" ca="1" si="28"/>
        <v>14153197.290902918</v>
      </c>
      <c r="U124" s="138">
        <f t="shared" si="29"/>
        <v>163418487.16573825</v>
      </c>
    </row>
    <row r="125" spans="14:27">
      <c r="N125" s="208" t="s">
        <v>506</v>
      </c>
      <c r="O125" s="97" t="s">
        <v>29</v>
      </c>
      <c r="P125" s="143" t="s">
        <v>195</v>
      </c>
      <c r="Q125" s="143" t="s">
        <v>195</v>
      </c>
      <c r="R125" s="143" t="s">
        <v>201</v>
      </c>
      <c r="S125" s="210">
        <f t="shared" si="27"/>
        <v>38128.813448275869</v>
      </c>
      <c r="T125" s="138">
        <f t="shared" si="28"/>
        <v>39540.991724137937</v>
      </c>
      <c r="U125" s="138">
        <f t="shared" si="29"/>
        <v>70608.913793103449</v>
      </c>
    </row>
    <row r="126" spans="14:27">
      <c r="N126" s="208" t="s">
        <v>506</v>
      </c>
      <c r="O126" s="97" t="s">
        <v>29</v>
      </c>
      <c r="P126" s="143" t="s">
        <v>195</v>
      </c>
      <c r="Q126" s="143" t="s">
        <v>195</v>
      </c>
      <c r="R126" s="166" t="s">
        <v>367</v>
      </c>
      <c r="S126" s="210">
        <f t="shared" si="27"/>
        <v>-228.4</v>
      </c>
      <c r="T126" s="138">
        <f t="shared" si="28"/>
        <v>-228.4</v>
      </c>
      <c r="U126" s="138">
        <f t="shared" si="29"/>
        <v>22840</v>
      </c>
    </row>
    <row r="127" spans="14:27">
      <c r="N127" s="208" t="s">
        <v>506</v>
      </c>
      <c r="O127" s="97" t="s">
        <v>29</v>
      </c>
      <c r="P127" s="143" t="s">
        <v>195</v>
      </c>
      <c r="Q127" s="143" t="s">
        <v>195</v>
      </c>
      <c r="R127" s="166" t="s">
        <v>358</v>
      </c>
      <c r="S127" s="210">
        <f t="shared" si="27"/>
        <v>-256.12</v>
      </c>
      <c r="T127" s="138">
        <f t="shared" si="28"/>
        <v>-256.12</v>
      </c>
      <c r="U127" s="138">
        <f t="shared" si="29"/>
        <v>853.73333333333335</v>
      </c>
    </row>
    <row r="128" spans="14:27">
      <c r="N128" s="208" t="s">
        <v>506</v>
      </c>
      <c r="O128" s="97" t="s">
        <v>29</v>
      </c>
      <c r="P128" s="143" t="s">
        <v>195</v>
      </c>
      <c r="Q128" s="143" t="s">
        <v>195</v>
      </c>
      <c r="R128" s="166" t="s">
        <v>368</v>
      </c>
      <c r="S128" s="210">
        <f t="shared" si="27"/>
        <v>730.00000000000011</v>
      </c>
      <c r="T128" s="138">
        <f t="shared" si="28"/>
        <v>730.00000000000011</v>
      </c>
      <c r="U128" s="138">
        <f t="shared" si="29"/>
        <v>12.166666666666668</v>
      </c>
    </row>
    <row r="129" spans="14:21">
      <c r="N129" s="209" t="s">
        <v>506</v>
      </c>
      <c r="O129" s="145" t="s">
        <v>29</v>
      </c>
      <c r="P129" s="147" t="s">
        <v>195</v>
      </c>
      <c r="Q129" s="147" t="s">
        <v>195</v>
      </c>
      <c r="R129" s="257" t="s">
        <v>168</v>
      </c>
      <c r="S129" s="211">
        <f t="shared" si="27"/>
        <v>-1729000</v>
      </c>
      <c r="T129" s="138">
        <f t="shared" si="28"/>
        <v>-1729000</v>
      </c>
      <c r="U129" s="138">
        <f t="shared" si="29"/>
        <v>0</v>
      </c>
    </row>
    <row r="131" spans="14:21">
      <c r="S131" s="547" t="s">
        <v>215</v>
      </c>
      <c r="T131" s="201"/>
    </row>
    <row r="132" spans="14:21">
      <c r="S132" s="548" t="s">
        <v>501</v>
      </c>
      <c r="T132" s="546">
        <f ca="1">SUM(T74:T88)-SUM(S48:S51)</f>
        <v>0</v>
      </c>
    </row>
    <row r="133" spans="14:21">
      <c r="S133" s="549" t="s">
        <v>503</v>
      </c>
      <c r="T133" s="534">
        <f ca="1">SUM(T115:T129)-SUM(S89:S92)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showGridLines="0"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ColWidth="8.83203125" defaultRowHeight="15.35"/>
  <cols>
    <col min="1" max="1" width="21.33203125" style="152" bestFit="1" customWidth="1"/>
    <col min="2" max="2" width="7.1640625" style="152" bestFit="1" customWidth="1"/>
    <col min="3" max="3" width="12.1640625" style="152" bestFit="1" customWidth="1"/>
    <col min="4" max="4" width="12.6640625" style="152" bestFit="1" customWidth="1"/>
    <col min="5" max="5" width="7.6640625" style="152" bestFit="1" customWidth="1"/>
    <col min="6" max="6" width="41.5" style="152" bestFit="1" customWidth="1"/>
    <col min="7" max="7" width="11.1640625" style="153" bestFit="1" customWidth="1"/>
    <col min="8" max="12" width="12.6640625" customWidth="1"/>
  </cols>
  <sheetData>
    <row r="1" spans="1:7">
      <c r="A1" s="264" t="s">
        <v>416</v>
      </c>
      <c r="B1" s="244"/>
      <c r="C1" s="244"/>
      <c r="D1" s="244"/>
      <c r="E1" s="244"/>
      <c r="F1" s="244"/>
      <c r="G1" s="246"/>
    </row>
    <row r="2" spans="1:7">
      <c r="A2" s="265" t="s">
        <v>417</v>
      </c>
      <c r="B2" s="247"/>
      <c r="C2" s="247"/>
      <c r="D2" s="247"/>
      <c r="E2" s="247"/>
      <c r="F2" s="247"/>
      <c r="G2" s="263"/>
    </row>
    <row r="3" spans="1:7">
      <c r="A3" s="265" t="s">
        <v>557</v>
      </c>
      <c r="B3" s="247"/>
      <c r="C3" s="247"/>
      <c r="D3" s="247"/>
      <c r="E3" s="247"/>
      <c r="F3" s="247"/>
      <c r="G3" s="263"/>
    </row>
    <row r="4" spans="1:7">
      <c r="A4" s="602" t="s">
        <v>562</v>
      </c>
      <c r="B4" s="247"/>
      <c r="C4" s="247"/>
      <c r="D4" s="247"/>
      <c r="E4" s="247"/>
      <c r="F4" s="247"/>
      <c r="G4" s="263"/>
    </row>
    <row r="5" spans="1:7">
      <c r="A5" s="248" t="s">
        <v>407</v>
      </c>
      <c r="B5" s="249"/>
      <c r="C5" s="249"/>
      <c r="D5" s="250"/>
      <c r="E5" s="250"/>
      <c r="F5" s="251"/>
      <c r="G5" s="252"/>
    </row>
    <row r="6" spans="1:7">
      <c r="A6" s="226"/>
      <c r="B6" s="226"/>
      <c r="C6" s="226" t="s">
        <v>418</v>
      </c>
      <c r="D6" s="226" t="s">
        <v>153</v>
      </c>
      <c r="E6" s="226" t="s">
        <v>193</v>
      </c>
      <c r="F6" s="227" t="s">
        <v>401</v>
      </c>
      <c r="G6" s="228" t="s">
        <v>206</v>
      </c>
    </row>
    <row r="7" spans="1:7">
      <c r="A7" s="254" t="s">
        <v>217</v>
      </c>
      <c r="B7" s="140" t="s">
        <v>402</v>
      </c>
      <c r="C7" s="140" t="s">
        <v>169</v>
      </c>
      <c r="D7" s="139" t="s">
        <v>4</v>
      </c>
      <c r="E7" s="140" t="s">
        <v>195</v>
      </c>
      <c r="F7" s="139" t="s">
        <v>337</v>
      </c>
      <c r="G7" s="139">
        <f>SUMIFS('Normalized Units'!I:I,'Normalized Units'!B:B,"Normalized Billing Units",'Normalized Units'!C:C,C7,'Normalized Units'!D:D,D7,'Normalized Units'!F:F,E7,'Normalized Units'!H:H,F7)</f>
        <v>11358.954476087458</v>
      </c>
    </row>
    <row r="8" spans="1:7">
      <c r="A8" s="230" t="s">
        <v>217</v>
      </c>
      <c r="B8" s="97" t="s">
        <v>402</v>
      </c>
      <c r="C8" s="97" t="s">
        <v>169</v>
      </c>
      <c r="D8" s="95" t="s">
        <v>4</v>
      </c>
      <c r="E8" s="97" t="s">
        <v>195</v>
      </c>
      <c r="F8" s="95" t="s">
        <v>338</v>
      </c>
      <c r="G8" s="95">
        <f>SUMIFS('Normalized Units'!I:I,'Normalized Units'!B:B,"Normalized Billing Units",'Normalized Units'!C:C,C8,'Normalized Units'!D:D,D8,'Normalized Units'!F:F,E8,'Normalized Units'!H:H,F8)</f>
        <v>526.33326791014065</v>
      </c>
    </row>
    <row r="9" spans="1:7">
      <c r="A9" s="230" t="s">
        <v>217</v>
      </c>
      <c r="B9" s="97" t="s">
        <v>402</v>
      </c>
      <c r="C9" s="97" t="s">
        <v>169</v>
      </c>
      <c r="D9" s="95" t="s">
        <v>4</v>
      </c>
      <c r="E9" s="97" t="s">
        <v>195</v>
      </c>
      <c r="F9" s="95" t="s">
        <v>339</v>
      </c>
      <c r="G9" s="95">
        <f>SUMIFS('Normalized Units'!I:I,'Normalized Units'!B:B,"Normalized Billing Units",'Normalized Units'!C:C,C9,'Normalized Units'!D:D,D9,'Normalized Units'!F:F,E9,'Normalized Units'!H:H,F9)</f>
        <v>24.000151301886131</v>
      </c>
    </row>
    <row r="10" spans="1:7">
      <c r="A10" s="230" t="s">
        <v>217</v>
      </c>
      <c r="B10" s="97" t="s">
        <v>402</v>
      </c>
      <c r="C10" s="97" t="s">
        <v>169</v>
      </c>
      <c r="D10" s="95" t="s">
        <v>5</v>
      </c>
      <c r="E10" s="97" t="s">
        <v>195</v>
      </c>
      <c r="F10" s="95" t="s">
        <v>337</v>
      </c>
      <c r="G10" s="95">
        <f>SUMIFS('Normalized Units'!I:I,'Normalized Units'!B:B,"Normalized Billing Units",'Normalized Units'!C:C,C10,'Normalized Units'!D:D,D10,'Normalized Units'!F:F,E10,'Normalized Units'!H:H,F10)</f>
        <v>13292.36576712665</v>
      </c>
    </row>
    <row r="11" spans="1:7">
      <c r="A11" s="230" t="s">
        <v>217</v>
      </c>
      <c r="B11" s="97" t="s">
        <v>402</v>
      </c>
      <c r="C11" s="97" t="s">
        <v>169</v>
      </c>
      <c r="D11" s="95" t="s">
        <v>5</v>
      </c>
      <c r="E11" s="97" t="s">
        <v>195</v>
      </c>
      <c r="F11" s="95" t="s">
        <v>338</v>
      </c>
      <c r="G11" s="95">
        <f>SUMIFS('Normalized Units'!I:I,'Normalized Units'!B:B,"Normalized Billing Units",'Normalized Units'!C:C,C11,'Normalized Units'!D:D,D11,'Normalized Units'!F:F,E11,'Normalized Units'!H:H,F11)</f>
        <v>4567.0003983882498</v>
      </c>
    </row>
    <row r="12" spans="1:7">
      <c r="A12" s="230" t="s">
        <v>217</v>
      </c>
      <c r="B12" s="97" t="s">
        <v>402</v>
      </c>
      <c r="C12" s="97" t="s">
        <v>169</v>
      </c>
      <c r="D12" s="95" t="s">
        <v>5</v>
      </c>
      <c r="E12" s="97" t="s">
        <v>195</v>
      </c>
      <c r="F12" s="95" t="s">
        <v>339</v>
      </c>
      <c r="G12" s="95">
        <f>SUMIFS('Normalized Units'!I:I,'Normalized Units'!B:B,"Normalized Billing Units",'Normalized Units'!C:C,C12,'Normalized Units'!D:D,D12,'Normalized Units'!F:F,E12,'Normalized Units'!H:H,F12)</f>
        <v>953.11491762270532</v>
      </c>
    </row>
    <row r="13" spans="1:7">
      <c r="A13" s="230" t="s">
        <v>217</v>
      </c>
      <c r="B13" s="97" t="s">
        <v>402</v>
      </c>
      <c r="C13" s="97" t="s">
        <v>169</v>
      </c>
      <c r="D13" s="95" t="s">
        <v>7</v>
      </c>
      <c r="E13" s="97" t="s">
        <v>195</v>
      </c>
      <c r="F13" s="95" t="s">
        <v>337</v>
      </c>
      <c r="G13" s="95">
        <f>SUMIFS('Normalized Units'!I:I,'Normalized Units'!B:B,"Normalized Billing Units",'Normalized Units'!C:C,C13,'Normalized Units'!D:D,D13,'Normalized Units'!F:F,E13,'Normalized Units'!H:H,F13)</f>
        <v>553.77376815090633</v>
      </c>
    </row>
    <row r="14" spans="1:7">
      <c r="A14" s="230" t="s">
        <v>217</v>
      </c>
      <c r="B14" s="97" t="s">
        <v>402</v>
      </c>
      <c r="C14" s="97" t="s">
        <v>169</v>
      </c>
      <c r="D14" s="95" t="s">
        <v>7</v>
      </c>
      <c r="E14" s="97" t="s">
        <v>195</v>
      </c>
      <c r="F14" s="95" t="s">
        <v>338</v>
      </c>
      <c r="G14" s="95">
        <f>SUMIFS('Normalized Units'!I:I,'Normalized Units'!B:B,"Normalized Billing Units",'Normalized Units'!C:C,C14,'Normalized Units'!D:D,D14,'Normalized Units'!F:F,E14,'Normalized Units'!H:H,F14)</f>
        <v>432.00177682459218</v>
      </c>
    </row>
    <row r="15" spans="1:7">
      <c r="A15" s="230" t="s">
        <v>217</v>
      </c>
      <c r="B15" s="97" t="s">
        <v>402</v>
      </c>
      <c r="C15" s="97" t="s">
        <v>169</v>
      </c>
      <c r="D15" s="95" t="s">
        <v>7</v>
      </c>
      <c r="E15" s="97" t="s">
        <v>195</v>
      </c>
      <c r="F15" s="95" t="s">
        <v>339</v>
      </c>
      <c r="G15" s="95">
        <f>SUMIFS('Normalized Units'!I:I,'Normalized Units'!B:B,"Normalized Billing Units",'Normalized Units'!C:C,C15,'Normalized Units'!D:D,D15,'Normalized Units'!F:F,E15,'Normalized Units'!H:H,F15)</f>
        <v>36.000950710147876</v>
      </c>
    </row>
    <row r="16" spans="1:7">
      <c r="A16" s="230" t="s">
        <v>217</v>
      </c>
      <c r="B16" s="97" t="s">
        <v>402</v>
      </c>
      <c r="C16" s="97" t="s">
        <v>170</v>
      </c>
      <c r="D16" s="97" t="s">
        <v>167</v>
      </c>
      <c r="E16" s="97" t="s">
        <v>195</v>
      </c>
      <c r="F16" s="95" t="s">
        <v>337</v>
      </c>
      <c r="G16" s="95">
        <f>SUMIFS('Normalized Units'!I:I,'Normalized Units'!B:B,"Normalized Billing Units",'Normalized Units'!C:C,C16,'Normalized Units'!D:D,D16,'Normalized Units'!F:F,E16,'Normalized Units'!H:H,F16)</f>
        <v>382.93389518695301</v>
      </c>
    </row>
    <row r="17" spans="1:7">
      <c r="A17" s="230" t="s">
        <v>217</v>
      </c>
      <c r="B17" s="97" t="s">
        <v>402</v>
      </c>
      <c r="C17" s="97" t="s">
        <v>170</v>
      </c>
      <c r="D17" s="97" t="s">
        <v>167</v>
      </c>
      <c r="E17" s="97" t="s">
        <v>195</v>
      </c>
      <c r="F17" s="95" t="s">
        <v>338</v>
      </c>
      <c r="G17" s="95">
        <f>SUMIFS('Normalized Units'!I:I,'Normalized Units'!B:B,"Normalized Billing Units",'Normalized Units'!C:C,C17,'Normalized Units'!D:D,D17,'Normalized Units'!F:F,E17,'Normalized Units'!H:H,F17)</f>
        <v>3558.2369917005844</v>
      </c>
    </row>
    <row r="18" spans="1:7">
      <c r="A18" s="230" t="s">
        <v>217</v>
      </c>
      <c r="B18" s="97" t="s">
        <v>402</v>
      </c>
      <c r="C18" s="97" t="s">
        <v>170</v>
      </c>
      <c r="D18" s="97" t="s">
        <v>167</v>
      </c>
      <c r="E18" s="97" t="s">
        <v>195</v>
      </c>
      <c r="F18" s="95" t="s">
        <v>339</v>
      </c>
      <c r="G18" s="95">
        <f>SUMIFS('Normalized Units'!I:I,'Normalized Units'!B:B,"Normalized Billing Units",'Normalized Units'!C:C,C18,'Normalized Units'!D:D,D18,'Normalized Units'!F:F,E18,'Normalized Units'!H:H,F18)</f>
        <v>670.30171191440525</v>
      </c>
    </row>
    <row r="19" spans="1:7">
      <c r="A19" s="230" t="s">
        <v>217</v>
      </c>
      <c r="B19" s="97" t="s">
        <v>402</v>
      </c>
      <c r="C19" s="97" t="s">
        <v>170</v>
      </c>
      <c r="D19" s="97" t="s">
        <v>167</v>
      </c>
      <c r="E19" s="97" t="s">
        <v>195</v>
      </c>
      <c r="F19" s="95" t="s">
        <v>340</v>
      </c>
      <c r="G19" s="95">
        <f>SUMIFS('Normalized Units'!I:I,'Normalized Units'!B:B,"Normalized Billing Units",'Normalized Units'!C:C,C19,'Normalized Units'!D:D,D19,'Normalized Units'!F:F,E19,'Normalized Units'!H:H,F19)</f>
        <v>2337.4062264139297</v>
      </c>
    </row>
    <row r="20" spans="1:7">
      <c r="A20" s="230" t="s">
        <v>217</v>
      </c>
      <c r="B20" s="97" t="s">
        <v>402</v>
      </c>
      <c r="C20" s="97" t="s">
        <v>170</v>
      </c>
      <c r="D20" s="97" t="s">
        <v>167</v>
      </c>
      <c r="E20" s="97" t="s">
        <v>195</v>
      </c>
      <c r="F20" s="95" t="s">
        <v>341</v>
      </c>
      <c r="G20" s="95">
        <f>SUMIFS('Normalized Units'!I:I,'Normalized Units'!B:B,"Normalized Billing Units",'Normalized Units'!C:C,C20,'Normalized Units'!D:D,D20,'Normalized Units'!F:F,E20,'Normalized Units'!H:H,F20)</f>
        <v>2940.6303782198192</v>
      </c>
    </row>
    <row r="21" spans="1:7">
      <c r="A21" s="230" t="s">
        <v>217</v>
      </c>
      <c r="B21" s="97" t="s">
        <v>402</v>
      </c>
      <c r="C21" s="97" t="s">
        <v>170</v>
      </c>
      <c r="D21" s="97" t="s">
        <v>167</v>
      </c>
      <c r="E21" s="97" t="s">
        <v>195</v>
      </c>
      <c r="F21" s="95" t="s">
        <v>342</v>
      </c>
      <c r="G21" s="95">
        <f>SUMIFS('Normalized Units'!I:I,'Normalized Units'!B:B,"Normalized Billing Units",'Normalized Units'!C:C,C21,'Normalized Units'!D:D,D21,'Normalized Units'!F:F,E21,'Normalized Units'!H:H,F21)</f>
        <v>1226.7485812663319</v>
      </c>
    </row>
    <row r="22" spans="1:7">
      <c r="A22" s="230" t="s">
        <v>217</v>
      </c>
      <c r="B22" s="97" t="s">
        <v>402</v>
      </c>
      <c r="C22" s="97" t="s">
        <v>170</v>
      </c>
      <c r="D22" s="97" t="s">
        <v>167</v>
      </c>
      <c r="E22" s="97" t="s">
        <v>195</v>
      </c>
      <c r="F22" s="95" t="s">
        <v>343</v>
      </c>
      <c r="G22" s="95">
        <f>SUMIFS('Normalized Units'!I:I,'Normalized Units'!B:B,"Normalized Billing Units",'Normalized Units'!C:C,C22,'Normalized Units'!D:D,D22,'Normalized Units'!F:F,E22,'Normalized Units'!H:H,F22)</f>
        <v>26579.096109647213</v>
      </c>
    </row>
    <row r="23" spans="1:7">
      <c r="A23" s="230" t="s">
        <v>217</v>
      </c>
      <c r="B23" s="97" t="s">
        <v>402</v>
      </c>
      <c r="C23" s="97" t="s">
        <v>170</v>
      </c>
      <c r="D23" s="97" t="s">
        <v>167</v>
      </c>
      <c r="E23" s="97" t="s">
        <v>195</v>
      </c>
      <c r="F23" s="95" t="s">
        <v>344</v>
      </c>
      <c r="G23" s="95">
        <f>SUMIFS('Normalized Units'!I:I,'Normalized Units'!B:B,"Normalized Billing Units",'Normalized Units'!C:C,C23,'Normalized Units'!D:D,D23,'Normalized Units'!F:F,E23,'Normalized Units'!H:H,F23)</f>
        <v>20543.462638465189</v>
      </c>
    </row>
    <row r="24" spans="1:7">
      <c r="A24" s="230" t="s">
        <v>217</v>
      </c>
      <c r="B24" s="97" t="s">
        <v>402</v>
      </c>
      <c r="C24" s="97" t="s">
        <v>170</v>
      </c>
      <c r="D24" s="97" t="s">
        <v>167</v>
      </c>
      <c r="E24" s="97" t="s">
        <v>195</v>
      </c>
      <c r="F24" s="95" t="s">
        <v>345</v>
      </c>
      <c r="G24" s="95">
        <f>SUMIFS('Normalized Units'!I:I,'Normalized Units'!B:B,"Normalized Billing Units",'Normalized Units'!C:C,C24,'Normalized Units'!D:D,D24,'Normalized Units'!F:F,E24,'Normalized Units'!H:H,F24)</f>
        <v>983.99704050185335</v>
      </c>
    </row>
    <row r="25" spans="1:7">
      <c r="A25" s="230" t="s">
        <v>217</v>
      </c>
      <c r="B25" s="97" t="s">
        <v>402</v>
      </c>
      <c r="C25" s="97" t="s">
        <v>170</v>
      </c>
      <c r="D25" s="97" t="s">
        <v>167</v>
      </c>
      <c r="E25" s="97" t="s">
        <v>195</v>
      </c>
      <c r="F25" s="95" t="s">
        <v>346</v>
      </c>
      <c r="G25" s="95">
        <f>SUMIFS('Normalized Units'!I:I,'Normalized Units'!B:B,"Normalized Billing Units",'Normalized Units'!C:C,C25,'Normalized Units'!D:D,D25,'Normalized Units'!F:F,E25,'Normalized Units'!H:H,F25)</f>
        <v>18658.617894870746</v>
      </c>
    </row>
    <row r="26" spans="1:7">
      <c r="A26" s="230" t="s">
        <v>217</v>
      </c>
      <c r="B26" s="97" t="s">
        <v>402</v>
      </c>
      <c r="C26" s="97" t="s">
        <v>170</v>
      </c>
      <c r="D26" s="97" t="s">
        <v>167</v>
      </c>
      <c r="E26" s="97" t="s">
        <v>195</v>
      </c>
      <c r="F26" s="95" t="s">
        <v>347</v>
      </c>
      <c r="G26" s="95">
        <f>SUMIFS('Normalized Units'!I:I,'Normalized Units'!B:B,"Normalized Billing Units",'Normalized Units'!C:C,C26,'Normalized Units'!D:D,D26,'Normalized Units'!F:F,E26,'Normalized Units'!H:H,F26)</f>
        <v>2440.0357828284577</v>
      </c>
    </row>
    <row r="27" spans="1:7">
      <c r="A27" s="230" t="s">
        <v>217</v>
      </c>
      <c r="B27" s="97" t="s">
        <v>402</v>
      </c>
      <c r="C27" s="97" t="s">
        <v>170</v>
      </c>
      <c r="D27" s="97" t="s">
        <v>167</v>
      </c>
      <c r="E27" s="97" t="s">
        <v>195</v>
      </c>
      <c r="F27" s="95" t="s">
        <v>348</v>
      </c>
      <c r="G27" s="95">
        <f>SUMIFS('Normalized Units'!I:I,'Normalized Units'!B:B,"Normalized Billing Units",'Normalized Units'!C:C,C27,'Normalized Units'!D:D,D27,'Normalized Units'!F:F,E27,'Normalized Units'!H:H,F27)</f>
        <v>3095.9975745689503</v>
      </c>
    </row>
    <row r="28" spans="1:7">
      <c r="A28" s="230" t="s">
        <v>217</v>
      </c>
      <c r="B28" s="97" t="s">
        <v>402</v>
      </c>
      <c r="C28" s="95" t="s">
        <v>227</v>
      </c>
      <c r="D28" s="97" t="s">
        <v>167</v>
      </c>
      <c r="E28" s="97" t="s">
        <v>195</v>
      </c>
      <c r="F28" s="95" t="s">
        <v>6</v>
      </c>
      <c r="G28" s="95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7">
      <c r="A29" s="230" t="s">
        <v>217</v>
      </c>
      <c r="B29" s="97" t="s">
        <v>402</v>
      </c>
      <c r="C29" s="95" t="s">
        <v>171</v>
      </c>
      <c r="D29" s="97" t="s">
        <v>5</v>
      </c>
      <c r="E29" s="95" t="s">
        <v>199</v>
      </c>
      <c r="F29" s="97" t="s">
        <v>335</v>
      </c>
      <c r="G29" s="95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7">
      <c r="A30" s="230" t="s">
        <v>217</v>
      </c>
      <c r="B30" s="97" t="s">
        <v>402</v>
      </c>
      <c r="C30" s="95" t="s">
        <v>171</v>
      </c>
      <c r="D30" s="97" t="s">
        <v>5</v>
      </c>
      <c r="E30" s="95" t="s">
        <v>200</v>
      </c>
      <c r="F30" s="97" t="s">
        <v>335</v>
      </c>
      <c r="G30" s="95">
        <f>SUMIFS('Normalized Units'!I:I,'Normalized Units'!B:B,"Normalized Billing Units",'Normalized Units'!C:C,C30,'Normalized Units'!D:D,D30,'Normalized Units'!F:F,E30,'Normalized Units'!H:H,F30)</f>
        <v>168</v>
      </c>
    </row>
    <row r="31" spans="1:7">
      <c r="A31" s="255" t="s">
        <v>217</v>
      </c>
      <c r="B31" s="145" t="s">
        <v>402</v>
      </c>
      <c r="C31" s="147" t="s">
        <v>171</v>
      </c>
      <c r="D31" s="145" t="s">
        <v>5</v>
      </c>
      <c r="E31" s="145" t="s">
        <v>195</v>
      </c>
      <c r="F31" s="147" t="s">
        <v>6</v>
      </c>
      <c r="G31" s="147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7" s="138" customFormat="1">
      <c r="A32" s="140" t="s">
        <v>406</v>
      </c>
      <c r="B32" s="140" t="s">
        <v>403</v>
      </c>
      <c r="C32" s="140" t="s">
        <v>169</v>
      </c>
      <c r="D32" s="139" t="s">
        <v>195</v>
      </c>
      <c r="E32" s="140" t="s">
        <v>195</v>
      </c>
      <c r="F32" s="139" t="s">
        <v>337</v>
      </c>
      <c r="G32" s="315">
        <v>8.6999999999999993</v>
      </c>
    </row>
    <row r="33" spans="1:7" s="138" customFormat="1">
      <c r="A33" s="97" t="s">
        <v>406</v>
      </c>
      <c r="B33" s="97" t="s">
        <v>403</v>
      </c>
      <c r="C33" s="97" t="s">
        <v>169</v>
      </c>
      <c r="D33" s="95" t="s">
        <v>195</v>
      </c>
      <c r="E33" s="97" t="s">
        <v>195</v>
      </c>
      <c r="F33" s="95" t="s">
        <v>338</v>
      </c>
      <c r="G33" s="316">
        <v>10.31</v>
      </c>
    </row>
    <row r="34" spans="1:7" s="138" customFormat="1">
      <c r="A34" s="97" t="s">
        <v>406</v>
      </c>
      <c r="B34" s="97" t="s">
        <v>403</v>
      </c>
      <c r="C34" s="97" t="s">
        <v>169</v>
      </c>
      <c r="D34" s="95" t="s">
        <v>195</v>
      </c>
      <c r="E34" s="97" t="s">
        <v>195</v>
      </c>
      <c r="F34" s="95" t="s">
        <v>339</v>
      </c>
      <c r="G34" s="316">
        <v>12.82</v>
      </c>
    </row>
    <row r="35" spans="1:7" s="138" customFormat="1">
      <c r="A35" s="97" t="s">
        <v>406</v>
      </c>
      <c r="B35" s="97" t="s">
        <v>403</v>
      </c>
      <c r="C35" s="97" t="s">
        <v>170</v>
      </c>
      <c r="D35" s="95" t="s">
        <v>195</v>
      </c>
      <c r="E35" s="97" t="s">
        <v>195</v>
      </c>
      <c r="F35" s="95" t="s">
        <v>337</v>
      </c>
      <c r="G35" s="316">
        <v>8.6300000000000008</v>
      </c>
    </row>
    <row r="36" spans="1:7" s="138" customFormat="1">
      <c r="A36" s="97" t="s">
        <v>406</v>
      </c>
      <c r="B36" s="97" t="s">
        <v>403</v>
      </c>
      <c r="C36" s="97" t="s">
        <v>170</v>
      </c>
      <c r="D36" s="95" t="s">
        <v>195</v>
      </c>
      <c r="E36" s="97" t="s">
        <v>195</v>
      </c>
      <c r="F36" s="95" t="s">
        <v>338</v>
      </c>
      <c r="G36" s="316">
        <v>9.4700000000000006</v>
      </c>
    </row>
    <row r="37" spans="1:7" s="138" customFormat="1">
      <c r="A37" s="97" t="s">
        <v>406</v>
      </c>
      <c r="B37" s="97" t="s">
        <v>403</v>
      </c>
      <c r="C37" s="97" t="s">
        <v>170</v>
      </c>
      <c r="D37" s="95" t="s">
        <v>195</v>
      </c>
      <c r="E37" s="97" t="s">
        <v>195</v>
      </c>
      <c r="F37" s="95" t="s">
        <v>339</v>
      </c>
      <c r="G37" s="316">
        <v>10.050000000000001</v>
      </c>
    </row>
    <row r="38" spans="1:7" s="138" customFormat="1">
      <c r="A38" s="97" t="s">
        <v>406</v>
      </c>
      <c r="B38" s="97" t="s">
        <v>403</v>
      </c>
      <c r="C38" s="97" t="s">
        <v>170</v>
      </c>
      <c r="D38" s="95" t="s">
        <v>195</v>
      </c>
      <c r="E38" s="97" t="s">
        <v>195</v>
      </c>
      <c r="F38" s="95" t="s">
        <v>340</v>
      </c>
      <c r="G38" s="316">
        <v>10.64</v>
      </c>
    </row>
    <row r="39" spans="1:7" s="138" customFormat="1">
      <c r="A39" s="97" t="s">
        <v>406</v>
      </c>
      <c r="B39" s="97" t="s">
        <v>403</v>
      </c>
      <c r="C39" s="97" t="s">
        <v>170</v>
      </c>
      <c r="D39" s="95" t="s">
        <v>195</v>
      </c>
      <c r="E39" s="97" t="s">
        <v>195</v>
      </c>
      <c r="F39" s="95" t="s">
        <v>341</v>
      </c>
      <c r="G39" s="316">
        <v>11.53</v>
      </c>
    </row>
    <row r="40" spans="1:7" s="138" customFormat="1">
      <c r="A40" s="97" t="s">
        <v>406</v>
      </c>
      <c r="B40" s="97" t="s">
        <v>403</v>
      </c>
      <c r="C40" s="97" t="s">
        <v>170</v>
      </c>
      <c r="D40" s="95" t="s">
        <v>195</v>
      </c>
      <c r="E40" s="97" t="s">
        <v>195</v>
      </c>
      <c r="F40" s="95" t="s">
        <v>342</v>
      </c>
      <c r="G40" s="316">
        <v>14.16</v>
      </c>
    </row>
    <row r="41" spans="1:7" s="138" customFormat="1">
      <c r="A41" s="97" t="s">
        <v>406</v>
      </c>
      <c r="B41" s="97" t="s">
        <v>403</v>
      </c>
      <c r="C41" s="97" t="s">
        <v>170</v>
      </c>
      <c r="D41" s="95" t="s">
        <v>195</v>
      </c>
      <c r="E41" s="97" t="s">
        <v>195</v>
      </c>
      <c r="F41" s="95" t="s">
        <v>343</v>
      </c>
      <c r="G41" s="316">
        <v>4.38</v>
      </c>
    </row>
    <row r="42" spans="1:7" s="138" customFormat="1">
      <c r="A42" s="97" t="s">
        <v>406</v>
      </c>
      <c r="B42" s="97" t="s">
        <v>403</v>
      </c>
      <c r="C42" s="97" t="s">
        <v>170</v>
      </c>
      <c r="D42" s="95" t="s">
        <v>195</v>
      </c>
      <c r="E42" s="97" t="s">
        <v>195</v>
      </c>
      <c r="F42" s="95" t="s">
        <v>344</v>
      </c>
      <c r="G42" s="316">
        <v>4.93</v>
      </c>
    </row>
    <row r="43" spans="1:7" s="138" customFormat="1">
      <c r="A43" s="97" t="s">
        <v>406</v>
      </c>
      <c r="B43" s="97" t="s">
        <v>403</v>
      </c>
      <c r="C43" s="97" t="s">
        <v>170</v>
      </c>
      <c r="D43" s="95" t="s">
        <v>195</v>
      </c>
      <c r="E43" s="97" t="s">
        <v>195</v>
      </c>
      <c r="F43" s="95" t="s">
        <v>345</v>
      </c>
      <c r="G43" s="316">
        <v>5.49</v>
      </c>
    </row>
    <row r="44" spans="1:7" s="138" customFormat="1">
      <c r="A44" s="97" t="s">
        <v>406</v>
      </c>
      <c r="B44" s="97" t="s">
        <v>403</v>
      </c>
      <c r="C44" s="97" t="s">
        <v>170</v>
      </c>
      <c r="D44" s="95" t="s">
        <v>195</v>
      </c>
      <c r="E44" s="97" t="s">
        <v>195</v>
      </c>
      <c r="F44" s="95" t="s">
        <v>346</v>
      </c>
      <c r="G44" s="316">
        <v>6.04</v>
      </c>
    </row>
    <row r="45" spans="1:7" s="138" customFormat="1">
      <c r="A45" s="97" t="s">
        <v>406</v>
      </c>
      <c r="B45" s="97" t="s">
        <v>403</v>
      </c>
      <c r="C45" s="97" t="s">
        <v>170</v>
      </c>
      <c r="D45" s="95" t="s">
        <v>195</v>
      </c>
      <c r="E45" s="97" t="s">
        <v>195</v>
      </c>
      <c r="F45" s="95" t="s">
        <v>347</v>
      </c>
      <c r="G45" s="316">
        <v>6.68</v>
      </c>
    </row>
    <row r="46" spans="1:7" s="138" customFormat="1">
      <c r="A46" s="97" t="s">
        <v>406</v>
      </c>
      <c r="B46" s="97" t="s">
        <v>403</v>
      </c>
      <c r="C46" s="97" t="s">
        <v>170</v>
      </c>
      <c r="D46" s="95" t="s">
        <v>195</v>
      </c>
      <c r="E46" s="97" t="s">
        <v>195</v>
      </c>
      <c r="F46" s="95" t="s">
        <v>348</v>
      </c>
      <c r="G46" s="316">
        <v>8.26</v>
      </c>
    </row>
    <row r="47" spans="1:7" s="138" customFormat="1">
      <c r="A47" s="97" t="s">
        <v>406</v>
      </c>
      <c r="B47" s="97" t="s">
        <v>403</v>
      </c>
      <c r="C47" s="95" t="s">
        <v>227</v>
      </c>
      <c r="D47" s="95" t="s">
        <v>195</v>
      </c>
      <c r="E47" s="95" t="s">
        <v>195</v>
      </c>
      <c r="F47" s="95" t="s">
        <v>6</v>
      </c>
      <c r="G47" s="316">
        <v>5.4640000000000001E-2</v>
      </c>
    </row>
    <row r="48" spans="1:7" s="138" customFormat="1">
      <c r="A48" s="97" t="s">
        <v>406</v>
      </c>
      <c r="B48" s="97" t="s">
        <v>403</v>
      </c>
      <c r="C48" s="95" t="s">
        <v>171</v>
      </c>
      <c r="D48" s="95" t="s">
        <v>195</v>
      </c>
      <c r="E48" s="95" t="s">
        <v>199</v>
      </c>
      <c r="F48" s="97" t="s">
        <v>335</v>
      </c>
      <c r="G48" s="316">
        <v>7.03</v>
      </c>
    </row>
    <row r="49" spans="1:12" s="138" customFormat="1">
      <c r="A49" s="97" t="s">
        <v>406</v>
      </c>
      <c r="B49" s="97" t="s">
        <v>403</v>
      </c>
      <c r="C49" s="95" t="s">
        <v>171</v>
      </c>
      <c r="D49" s="95" t="s">
        <v>195</v>
      </c>
      <c r="E49" s="95" t="s">
        <v>200</v>
      </c>
      <c r="F49" s="97" t="s">
        <v>335</v>
      </c>
      <c r="G49" s="316">
        <v>12.65</v>
      </c>
    </row>
    <row r="50" spans="1:12" s="138" customFormat="1">
      <c r="A50" s="145" t="s">
        <v>406</v>
      </c>
      <c r="B50" s="145" t="s">
        <v>403</v>
      </c>
      <c r="C50" s="147" t="s">
        <v>171</v>
      </c>
      <c r="D50" s="147" t="s">
        <v>195</v>
      </c>
      <c r="E50" s="147" t="s">
        <v>195</v>
      </c>
      <c r="F50" s="147" t="s">
        <v>6</v>
      </c>
      <c r="G50" s="317">
        <v>5.7200000000000001E-2</v>
      </c>
    </row>
    <row r="51" spans="1:12" s="138" customFormat="1">
      <c r="A51" s="140" t="s">
        <v>406</v>
      </c>
      <c r="B51" s="140" t="s">
        <v>29</v>
      </c>
      <c r="C51" s="140" t="s">
        <v>169</v>
      </c>
      <c r="D51" s="141" t="s">
        <v>4</v>
      </c>
      <c r="E51" s="70" t="s">
        <v>195</v>
      </c>
      <c r="F51" s="141" t="s">
        <v>337</v>
      </c>
      <c r="G51" s="260">
        <f>SUMIFS(G$32:G$50,C$32:C$50,C51,E$32:E$50,E51,F$32:F$50,F51)*H51</f>
        <v>98822.903941960874</v>
      </c>
      <c r="H51" s="138">
        <f t="shared" ref="H51:H81" si="0">SUMIFS(G$7:G$31,C$7:C$31,C51,D$7:D$31,D51,E$7:E$31,E51,F$7:F$31,F51)</f>
        <v>11358.954476087458</v>
      </c>
    </row>
    <row r="52" spans="1:12" s="135" customFormat="1">
      <c r="A52" s="97" t="s">
        <v>406</v>
      </c>
      <c r="B52" s="97" t="s">
        <v>29</v>
      </c>
      <c r="C52" s="97" t="s">
        <v>169</v>
      </c>
      <c r="D52" s="143" t="s">
        <v>4</v>
      </c>
      <c r="E52" s="59" t="s">
        <v>195</v>
      </c>
      <c r="F52" s="143" t="s">
        <v>338</v>
      </c>
      <c r="G52" s="136">
        <f>SUMIFS(G$32:G$50,C$32:C$50,C52,E$32:E$50,E52,F$32:F$50,F52)*H52</f>
        <v>5426.4959921535501</v>
      </c>
      <c r="H52" s="138">
        <f t="shared" si="0"/>
        <v>526.33326791014065</v>
      </c>
    </row>
    <row r="53" spans="1:12" s="135" customFormat="1">
      <c r="A53" s="97" t="s">
        <v>406</v>
      </c>
      <c r="B53" s="97" t="s">
        <v>29</v>
      </c>
      <c r="C53" s="97" t="s">
        <v>169</v>
      </c>
      <c r="D53" s="143" t="s">
        <v>4</v>
      </c>
      <c r="E53" s="59" t="s">
        <v>195</v>
      </c>
      <c r="F53" s="143" t="s">
        <v>339</v>
      </c>
      <c r="G53" s="136">
        <f>SUMIFS(G$32:G$50,C$32:C$50,C53,E$32:E$50,E53,F$32:F$50,F53)*H53</f>
        <v>307.68193969018023</v>
      </c>
      <c r="H53" s="138">
        <f t="shared" si="0"/>
        <v>24.000151301886131</v>
      </c>
    </row>
    <row r="54" spans="1:12" s="135" customFormat="1">
      <c r="A54" s="97" t="s">
        <v>406</v>
      </c>
      <c r="B54" s="97" t="s">
        <v>29</v>
      </c>
      <c r="C54" s="97" t="s">
        <v>169</v>
      </c>
      <c r="D54" s="143" t="s">
        <v>4</v>
      </c>
      <c r="E54" s="59" t="s">
        <v>195</v>
      </c>
      <c r="F54" s="85" t="s">
        <v>168</v>
      </c>
      <c r="G54" s="136">
        <f>Unbilled!E16</f>
        <v>3473.3244412401559</v>
      </c>
      <c r="H54" s="138">
        <f t="shared" si="0"/>
        <v>0</v>
      </c>
    </row>
    <row r="55" spans="1:12" s="135" customFormat="1">
      <c r="A55" s="97" t="s">
        <v>406</v>
      </c>
      <c r="B55" s="97" t="s">
        <v>29</v>
      </c>
      <c r="C55" s="97" t="s">
        <v>169</v>
      </c>
      <c r="D55" s="143" t="s">
        <v>5</v>
      </c>
      <c r="E55" s="59" t="s">
        <v>195</v>
      </c>
      <c r="F55" s="143" t="s">
        <v>337</v>
      </c>
      <c r="G55" s="136">
        <f>SUMIFS(G$32:G$50,C$32:C$50,C55,E$32:E$50,E55,F$32:F$50,F55)*H55</f>
        <v>115643.58217400184</v>
      </c>
      <c r="H55" s="138">
        <f t="shared" si="0"/>
        <v>13292.36576712665</v>
      </c>
    </row>
    <row r="56" spans="1:12" s="135" customFormat="1">
      <c r="A56" s="97" t="s">
        <v>406</v>
      </c>
      <c r="B56" s="97" t="s">
        <v>29</v>
      </c>
      <c r="C56" s="97" t="s">
        <v>169</v>
      </c>
      <c r="D56" s="143" t="s">
        <v>5</v>
      </c>
      <c r="E56" s="59" t="s">
        <v>195</v>
      </c>
      <c r="F56" s="143" t="s">
        <v>338</v>
      </c>
      <c r="G56" s="136">
        <f>SUMIFS(G$32:G$50,C$32:C$50,C56,E$32:E$50,E56,F$32:F$50,F56)*H56</f>
        <v>47085.774107382858</v>
      </c>
      <c r="H56" s="138">
        <f t="shared" si="0"/>
        <v>4567.0003983882498</v>
      </c>
    </row>
    <row r="57" spans="1:12" s="135" customFormat="1">
      <c r="A57" s="97" t="s">
        <v>406</v>
      </c>
      <c r="B57" s="97" t="s">
        <v>29</v>
      </c>
      <c r="C57" s="97" t="s">
        <v>169</v>
      </c>
      <c r="D57" s="143" t="s">
        <v>5</v>
      </c>
      <c r="E57" s="59" t="s">
        <v>195</v>
      </c>
      <c r="F57" s="143" t="s">
        <v>339</v>
      </c>
      <c r="G57" s="136">
        <f>SUMIFS(G$32:G$50,C$32:C$50,C57,E$32:E$50,E57,F$32:F$50,F57)*H57</f>
        <v>12218.933243923082</v>
      </c>
      <c r="H57" s="138">
        <f t="shared" si="0"/>
        <v>953.11491762270532</v>
      </c>
    </row>
    <row r="58" spans="1:12" s="135" customFormat="1">
      <c r="A58" s="97" t="s">
        <v>406</v>
      </c>
      <c r="B58" s="97" t="s">
        <v>29</v>
      </c>
      <c r="C58" s="97" t="s">
        <v>169</v>
      </c>
      <c r="D58" s="143" t="s">
        <v>5</v>
      </c>
      <c r="E58" s="59" t="s">
        <v>195</v>
      </c>
      <c r="F58" s="85" t="s">
        <v>168</v>
      </c>
      <c r="G58" s="136">
        <f>Unbilled!E17</f>
        <v>2499.8824946992781</v>
      </c>
      <c r="H58" s="138">
        <f t="shared" si="0"/>
        <v>0</v>
      </c>
    </row>
    <row r="59" spans="1:12" s="135" customFormat="1">
      <c r="A59" s="97" t="s">
        <v>406</v>
      </c>
      <c r="B59" s="97" t="s">
        <v>29</v>
      </c>
      <c r="C59" s="97" t="s">
        <v>169</v>
      </c>
      <c r="D59" s="143" t="s">
        <v>7</v>
      </c>
      <c r="E59" s="59" t="s">
        <v>195</v>
      </c>
      <c r="F59" s="143" t="s">
        <v>337</v>
      </c>
      <c r="G59" s="136">
        <f>SUMIFS(G$32:G$50,C$32:C$50,C59,E$32:E$50,E59,F$32:F$50,F59)*H59</f>
        <v>4817.8317829128846</v>
      </c>
      <c r="H59" s="138">
        <f t="shared" si="0"/>
        <v>553.77376815090633</v>
      </c>
    </row>
    <row r="60" spans="1:12" s="135" customFormat="1">
      <c r="A60" s="97" t="s">
        <v>406</v>
      </c>
      <c r="B60" s="97" t="s">
        <v>29</v>
      </c>
      <c r="C60" s="97" t="s">
        <v>169</v>
      </c>
      <c r="D60" s="143" t="s">
        <v>7</v>
      </c>
      <c r="E60" s="59" t="s">
        <v>195</v>
      </c>
      <c r="F60" s="143" t="s">
        <v>338</v>
      </c>
      <c r="G60" s="136">
        <f>SUMIFS(G$32:G$50,C$32:C$50,C60,E$32:E$50,E60,F$32:F$50,F60)*H60</f>
        <v>4453.9383190615454</v>
      </c>
      <c r="H60" s="138">
        <f t="shared" si="0"/>
        <v>432.00177682459218</v>
      </c>
    </row>
    <row r="61" spans="1:12" s="135" customFormat="1">
      <c r="A61" s="97" t="s">
        <v>406</v>
      </c>
      <c r="B61" s="97" t="s">
        <v>29</v>
      </c>
      <c r="C61" s="97" t="s">
        <v>169</v>
      </c>
      <c r="D61" s="143" t="s">
        <v>7</v>
      </c>
      <c r="E61" s="59" t="s">
        <v>195</v>
      </c>
      <c r="F61" s="143" t="s">
        <v>339</v>
      </c>
      <c r="G61" s="136">
        <f>SUMIFS(G$32:G$50,C$32:C$50,C61,E$32:E$50,E61,F$32:F$50,F61)*H61</f>
        <v>461.53218810409578</v>
      </c>
      <c r="H61" s="138">
        <f t="shared" si="0"/>
        <v>36.000950710147876</v>
      </c>
    </row>
    <row r="62" spans="1:12" s="135" customFormat="1">
      <c r="A62" s="97" t="s">
        <v>406</v>
      </c>
      <c r="B62" s="97" t="s">
        <v>29</v>
      </c>
      <c r="C62" s="97" t="s">
        <v>169</v>
      </c>
      <c r="D62" s="143" t="s">
        <v>7</v>
      </c>
      <c r="E62" s="59" t="s">
        <v>195</v>
      </c>
      <c r="F62" s="85" t="s">
        <v>168</v>
      </c>
      <c r="G62" s="136">
        <f>Unbilled!E18</f>
        <v>187.52091162770995</v>
      </c>
      <c r="H62" s="138">
        <f t="shared" si="0"/>
        <v>0</v>
      </c>
    </row>
    <row r="63" spans="1:12">
      <c r="A63" s="97" t="s">
        <v>406</v>
      </c>
      <c r="B63" s="97" t="s">
        <v>29</v>
      </c>
      <c r="C63" s="97" t="s">
        <v>170</v>
      </c>
      <c r="D63" s="208" t="s">
        <v>167</v>
      </c>
      <c r="E63" s="59" t="s">
        <v>195</v>
      </c>
      <c r="F63" s="95" t="s">
        <v>337</v>
      </c>
      <c r="G63" s="136">
        <f t="shared" ref="G63:G74" si="1">SUMIFS(G$32:G$50,C$32:C$50,C63,E$32:E$50,E63,F$32:F$50,F63)*H63</f>
        <v>3304.7195154634046</v>
      </c>
      <c r="H63" s="138">
        <f t="shared" si="0"/>
        <v>382.93389518695301</v>
      </c>
      <c r="L63" s="135"/>
    </row>
    <row r="64" spans="1:12">
      <c r="A64" s="97" t="s">
        <v>406</v>
      </c>
      <c r="B64" s="97" t="s">
        <v>29</v>
      </c>
      <c r="C64" s="97" t="s">
        <v>170</v>
      </c>
      <c r="D64" s="208" t="s">
        <v>167</v>
      </c>
      <c r="E64" s="59" t="s">
        <v>195</v>
      </c>
      <c r="F64" s="95" t="s">
        <v>338</v>
      </c>
      <c r="G64" s="136">
        <f t="shared" si="1"/>
        <v>33696.50431140454</v>
      </c>
      <c r="H64" s="138">
        <f t="shared" si="0"/>
        <v>3558.2369917005844</v>
      </c>
      <c r="L64" s="135"/>
    </row>
    <row r="65" spans="1:8">
      <c r="A65" s="97" t="s">
        <v>406</v>
      </c>
      <c r="B65" s="97" t="s">
        <v>29</v>
      </c>
      <c r="C65" s="97" t="s">
        <v>170</v>
      </c>
      <c r="D65" s="208" t="s">
        <v>167</v>
      </c>
      <c r="E65" s="59" t="s">
        <v>195</v>
      </c>
      <c r="F65" s="95" t="s">
        <v>339</v>
      </c>
      <c r="G65" s="136">
        <f t="shared" si="1"/>
        <v>6736.5322047397731</v>
      </c>
      <c r="H65" s="138">
        <f t="shared" si="0"/>
        <v>670.30171191440525</v>
      </c>
    </row>
    <row r="66" spans="1:8">
      <c r="A66" s="97" t="s">
        <v>406</v>
      </c>
      <c r="B66" s="97" t="s">
        <v>29</v>
      </c>
      <c r="C66" s="97" t="s">
        <v>170</v>
      </c>
      <c r="D66" s="208" t="s">
        <v>167</v>
      </c>
      <c r="E66" s="59" t="s">
        <v>195</v>
      </c>
      <c r="F66" s="95" t="s">
        <v>340</v>
      </c>
      <c r="G66" s="136">
        <f t="shared" si="1"/>
        <v>24870.002249044213</v>
      </c>
      <c r="H66" s="138">
        <f t="shared" si="0"/>
        <v>2337.4062264139297</v>
      </c>
    </row>
    <row r="67" spans="1:8">
      <c r="A67" s="97" t="s">
        <v>406</v>
      </c>
      <c r="B67" s="97" t="s">
        <v>29</v>
      </c>
      <c r="C67" s="97" t="s">
        <v>170</v>
      </c>
      <c r="D67" s="208" t="s">
        <v>167</v>
      </c>
      <c r="E67" s="59" t="s">
        <v>195</v>
      </c>
      <c r="F67" s="95" t="s">
        <v>341</v>
      </c>
      <c r="G67" s="136">
        <f t="shared" si="1"/>
        <v>33905.468260874513</v>
      </c>
      <c r="H67" s="138">
        <f t="shared" si="0"/>
        <v>2940.6303782198192</v>
      </c>
    </row>
    <row r="68" spans="1:8">
      <c r="A68" s="97" t="s">
        <v>406</v>
      </c>
      <c r="B68" s="97" t="s">
        <v>29</v>
      </c>
      <c r="C68" s="97" t="s">
        <v>170</v>
      </c>
      <c r="D68" s="208" t="s">
        <v>167</v>
      </c>
      <c r="E68" s="59" t="s">
        <v>195</v>
      </c>
      <c r="F68" s="95" t="s">
        <v>342</v>
      </c>
      <c r="G68" s="136">
        <f t="shared" si="1"/>
        <v>17370.75991073126</v>
      </c>
      <c r="H68" s="138">
        <f t="shared" si="0"/>
        <v>1226.7485812663319</v>
      </c>
    </row>
    <row r="69" spans="1:8">
      <c r="A69" s="97" t="s">
        <v>406</v>
      </c>
      <c r="B69" s="97" t="s">
        <v>29</v>
      </c>
      <c r="C69" s="97" t="s">
        <v>170</v>
      </c>
      <c r="D69" s="208" t="s">
        <v>167</v>
      </c>
      <c r="E69" s="59" t="s">
        <v>195</v>
      </c>
      <c r="F69" s="95" t="s">
        <v>343</v>
      </c>
      <c r="G69" s="136">
        <f t="shared" si="1"/>
        <v>116416.4409602548</v>
      </c>
      <c r="H69" s="138">
        <f t="shared" si="0"/>
        <v>26579.096109647213</v>
      </c>
    </row>
    <row r="70" spans="1:8">
      <c r="A70" s="97" t="s">
        <v>406</v>
      </c>
      <c r="B70" s="97" t="s">
        <v>29</v>
      </c>
      <c r="C70" s="97" t="s">
        <v>170</v>
      </c>
      <c r="D70" s="208" t="s">
        <v>167</v>
      </c>
      <c r="E70" s="59" t="s">
        <v>195</v>
      </c>
      <c r="F70" s="95" t="s">
        <v>344</v>
      </c>
      <c r="G70" s="136">
        <f t="shared" si="1"/>
        <v>101279.27080763338</v>
      </c>
      <c r="H70" s="138">
        <f t="shared" si="0"/>
        <v>20543.462638465189</v>
      </c>
    </row>
    <row r="71" spans="1:8">
      <c r="A71" s="97" t="s">
        <v>406</v>
      </c>
      <c r="B71" s="97" t="s">
        <v>29</v>
      </c>
      <c r="C71" s="97" t="s">
        <v>170</v>
      </c>
      <c r="D71" s="208" t="s">
        <v>167</v>
      </c>
      <c r="E71" s="59" t="s">
        <v>195</v>
      </c>
      <c r="F71" s="95" t="s">
        <v>345</v>
      </c>
      <c r="G71" s="136">
        <f t="shared" si="1"/>
        <v>5402.1437523551749</v>
      </c>
      <c r="H71" s="138">
        <f t="shared" si="0"/>
        <v>983.99704050185335</v>
      </c>
    </row>
    <row r="72" spans="1:8">
      <c r="A72" s="97" t="s">
        <v>406</v>
      </c>
      <c r="B72" s="97" t="s">
        <v>29</v>
      </c>
      <c r="C72" s="97" t="s">
        <v>170</v>
      </c>
      <c r="D72" s="208" t="s">
        <v>167</v>
      </c>
      <c r="E72" s="59" t="s">
        <v>195</v>
      </c>
      <c r="F72" s="95" t="s">
        <v>346</v>
      </c>
      <c r="G72" s="136">
        <f t="shared" si="1"/>
        <v>112698.0520850193</v>
      </c>
      <c r="H72" s="138">
        <f t="shared" si="0"/>
        <v>18658.617894870746</v>
      </c>
    </row>
    <row r="73" spans="1:8">
      <c r="A73" s="97" t="s">
        <v>406</v>
      </c>
      <c r="B73" s="97" t="s">
        <v>29</v>
      </c>
      <c r="C73" s="97" t="s">
        <v>170</v>
      </c>
      <c r="D73" s="208" t="s">
        <v>167</v>
      </c>
      <c r="E73" s="59" t="s">
        <v>195</v>
      </c>
      <c r="F73" s="95" t="s">
        <v>347</v>
      </c>
      <c r="G73" s="136">
        <f t="shared" si="1"/>
        <v>16299.439029294097</v>
      </c>
      <c r="H73" s="138">
        <f t="shared" si="0"/>
        <v>2440.0357828284577</v>
      </c>
    </row>
    <row r="74" spans="1:8">
      <c r="A74" s="97" t="s">
        <v>406</v>
      </c>
      <c r="B74" s="97" t="s">
        <v>29</v>
      </c>
      <c r="C74" s="97" t="s">
        <v>170</v>
      </c>
      <c r="D74" s="208" t="s">
        <v>167</v>
      </c>
      <c r="E74" s="59" t="s">
        <v>195</v>
      </c>
      <c r="F74" s="95" t="s">
        <v>348</v>
      </c>
      <c r="G74" s="136">
        <f t="shared" si="1"/>
        <v>25572.939965939528</v>
      </c>
      <c r="H74" s="138">
        <f t="shared" si="0"/>
        <v>3095.9975745689503</v>
      </c>
    </row>
    <row r="75" spans="1:8">
      <c r="A75" s="97" t="s">
        <v>406</v>
      </c>
      <c r="B75" s="97" t="s">
        <v>29</v>
      </c>
      <c r="C75" s="97" t="s">
        <v>170</v>
      </c>
      <c r="D75" s="208" t="s">
        <v>167</v>
      </c>
      <c r="E75" s="59" t="s">
        <v>195</v>
      </c>
      <c r="F75" s="85" t="s">
        <v>168</v>
      </c>
      <c r="G75" s="136">
        <f>Unbilled!E19</f>
        <v>-33281.311721933365</v>
      </c>
      <c r="H75" s="138">
        <f t="shared" si="0"/>
        <v>0</v>
      </c>
    </row>
    <row r="76" spans="1:8">
      <c r="A76" s="97" t="s">
        <v>406</v>
      </c>
      <c r="B76" s="97" t="s">
        <v>29</v>
      </c>
      <c r="C76" s="95" t="s">
        <v>227</v>
      </c>
      <c r="D76" s="97" t="s">
        <v>167</v>
      </c>
      <c r="E76" s="97" t="s">
        <v>195</v>
      </c>
      <c r="F76" s="95" t="s">
        <v>6</v>
      </c>
      <c r="G76" s="136">
        <f>SUMIFS(G$32:G$50,C$32:C$50,C76,E$32:E$50,E76,F$32:F$50,F76)*H76</f>
        <v>115393.61578728679</v>
      </c>
      <c r="H76" s="138">
        <f t="shared" si="0"/>
        <v>2111889.0151406806</v>
      </c>
    </row>
    <row r="77" spans="1:8">
      <c r="A77" s="97" t="s">
        <v>406</v>
      </c>
      <c r="B77" s="97" t="s">
        <v>29</v>
      </c>
      <c r="C77" s="95" t="s">
        <v>227</v>
      </c>
      <c r="D77" s="97" t="s">
        <v>167</v>
      </c>
      <c r="E77" s="97" t="s">
        <v>195</v>
      </c>
      <c r="F77" s="85" t="s">
        <v>168</v>
      </c>
      <c r="G77" s="136">
        <f>Unbilled!E20</f>
        <v>-7718.6882780666365</v>
      </c>
      <c r="H77" s="138">
        <f t="shared" si="0"/>
        <v>0</v>
      </c>
    </row>
    <row r="78" spans="1:8">
      <c r="A78" s="97" t="s">
        <v>406</v>
      </c>
      <c r="B78" s="97" t="s">
        <v>29</v>
      </c>
      <c r="C78" s="95" t="s">
        <v>171</v>
      </c>
      <c r="D78" s="97" t="s">
        <v>5</v>
      </c>
      <c r="E78" s="95" t="s">
        <v>199</v>
      </c>
      <c r="F78" s="97" t="s">
        <v>335</v>
      </c>
      <c r="G78" s="136">
        <f>SUMIFS(G$32:G$50,C$32:C$50,C78,E$32:E$50,E78,F$32:F$50,F78)*H78</f>
        <v>976.47</v>
      </c>
      <c r="H78" s="138">
        <f t="shared" si="0"/>
        <v>138.90042674253201</v>
      </c>
    </row>
    <row r="79" spans="1:8">
      <c r="A79" s="97" t="s">
        <v>406</v>
      </c>
      <c r="B79" s="97" t="s">
        <v>29</v>
      </c>
      <c r="C79" s="95" t="s">
        <v>171</v>
      </c>
      <c r="D79" s="97" t="s">
        <v>5</v>
      </c>
      <c r="E79" s="95" t="s">
        <v>200</v>
      </c>
      <c r="F79" s="97" t="s">
        <v>335</v>
      </c>
      <c r="G79" s="136">
        <f>SUMIFS(G$32:G$50,C$32:C$50,C79,E$32:E$50,E79,F$32:F$50,F79)*H79</f>
        <v>2125.2000000000003</v>
      </c>
      <c r="H79" s="138">
        <f t="shared" si="0"/>
        <v>168</v>
      </c>
    </row>
    <row r="80" spans="1:8">
      <c r="A80" s="97" t="s">
        <v>406</v>
      </c>
      <c r="B80" s="97" t="s">
        <v>29</v>
      </c>
      <c r="C80" s="95" t="s">
        <v>171</v>
      </c>
      <c r="D80" s="97" t="s">
        <v>5</v>
      </c>
      <c r="E80" s="97" t="s">
        <v>195</v>
      </c>
      <c r="F80" s="95" t="s">
        <v>6</v>
      </c>
      <c r="G80" s="136">
        <f>SUMIFS(G$32:G$50,C$32:C$50,C80,E$32:E$50,E80,F$32:F$50,F80)*H80</f>
        <v>17870.111458159325</v>
      </c>
      <c r="H80" s="138">
        <f t="shared" si="0"/>
        <v>312414.5359818064</v>
      </c>
    </row>
    <row r="81" spans="1:12">
      <c r="A81" s="145" t="s">
        <v>406</v>
      </c>
      <c r="B81" s="145" t="s">
        <v>29</v>
      </c>
      <c r="C81" s="145" t="s">
        <v>171</v>
      </c>
      <c r="D81" s="145" t="s">
        <v>5</v>
      </c>
      <c r="E81" s="145" t="s">
        <v>195</v>
      </c>
      <c r="F81" s="257" t="s">
        <v>168</v>
      </c>
      <c r="G81" s="137">
        <f>Unbilled!E21</f>
        <v>299.67134569970966</v>
      </c>
      <c r="H81" s="138">
        <f t="shared" si="0"/>
        <v>0</v>
      </c>
    </row>
    <row r="82" spans="1:12">
      <c r="A82" s="226" t="s">
        <v>532</v>
      </c>
      <c r="B82" s="223" t="s">
        <v>29</v>
      </c>
      <c r="C82" s="226" t="s">
        <v>195</v>
      </c>
      <c r="D82" s="226" t="s">
        <v>195</v>
      </c>
      <c r="E82" s="226" t="s">
        <v>195</v>
      </c>
      <c r="F82" s="226" t="s">
        <v>195</v>
      </c>
      <c r="G82" s="228">
        <f ca="1">'Cost of Service and Proposed $'!R128</f>
        <v>1004464.787268914</v>
      </c>
    </row>
    <row r="83" spans="1:12">
      <c r="A83" s="212" t="s">
        <v>505</v>
      </c>
      <c r="B83" s="212" t="s">
        <v>403</v>
      </c>
      <c r="C83" s="140" t="s">
        <v>169</v>
      </c>
      <c r="D83" s="70" t="s">
        <v>195</v>
      </c>
      <c r="E83" s="70" t="s">
        <v>195</v>
      </c>
      <c r="F83" s="141" t="s">
        <v>337</v>
      </c>
      <c r="G83" s="315">
        <f ca="1">ROUND(H83/100*K83/L83,I83)</f>
        <v>9.4600000000000009</v>
      </c>
      <c r="H83" s="229">
        <f>100+Summary!$Q$19</f>
        <v>96.65</v>
      </c>
      <c r="I83" s="135">
        <v>2</v>
      </c>
      <c r="J83" s="303">
        <f ca="1">K83/L83</f>
        <v>9.7917738800499396</v>
      </c>
      <c r="K83" s="135">
        <f ca="1">SUMIFS(G$51:G$81,C$51:C$81,C83,E$51:E$81,E83,F$51:F$81,F83)/SUMIFS(G$51:G$81,F$51:F$81,"&lt;&gt;Unbilled")*(G$82-SUMIFS(G$51:G$81,F$51:F$81,"Unbilled"))</f>
        <v>246802.58118468712</v>
      </c>
      <c r="L83" s="138">
        <f t="shared" ref="L83:L101" si="2">SUMIFS(G$7:G$31,C$7:C$31,C83,E$7:E$31,E83,F$7:F$31,F83)</f>
        <v>25205.094011365014</v>
      </c>
    </row>
    <row r="84" spans="1:12">
      <c r="A84" s="208" t="s">
        <v>505</v>
      </c>
      <c r="B84" s="208" t="s">
        <v>403</v>
      </c>
      <c r="C84" s="97" t="s">
        <v>169</v>
      </c>
      <c r="D84" s="59" t="s">
        <v>195</v>
      </c>
      <c r="E84" s="59" t="s">
        <v>195</v>
      </c>
      <c r="F84" s="143" t="s">
        <v>338</v>
      </c>
      <c r="G84" s="316">
        <f t="shared" ref="G84:G101" ca="1" si="3">ROUND(H84/100*K84/L84,I84)</f>
        <v>11.22</v>
      </c>
      <c r="H84" s="229">
        <f>100+Summary!$Q$19</f>
        <v>96.65</v>
      </c>
      <c r="I84" s="135">
        <v>2</v>
      </c>
      <c r="J84" s="303">
        <f t="shared" ref="J84:J101" ca="1" si="4">K84/L84</f>
        <v>11.603814793484469</v>
      </c>
      <c r="K84" s="135">
        <f t="shared" ref="K84:K101" ca="1" si="5">SUMIFS(G$51:G$81,C$51:C$81,C84,E$51:E$81,E84,F$51:F$81,F84)/SUMIFS(G$51:G$81,F$51:F$81,"&lt;&gt;Unbilled")*(G$82-SUMIFS(G$51:G$81,F$51:F$81,"Unbilled"))</f>
        <v>64114.969153874532</v>
      </c>
      <c r="L84" s="138">
        <f t="shared" si="2"/>
        <v>5525.3354431229827</v>
      </c>
    </row>
    <row r="85" spans="1:12">
      <c r="A85" s="208" t="s">
        <v>505</v>
      </c>
      <c r="B85" s="208" t="s">
        <v>403</v>
      </c>
      <c r="C85" s="97" t="s">
        <v>169</v>
      </c>
      <c r="D85" s="59" t="s">
        <v>195</v>
      </c>
      <c r="E85" s="59" t="s">
        <v>195</v>
      </c>
      <c r="F85" s="143" t="s">
        <v>339</v>
      </c>
      <c r="G85" s="316">
        <f t="shared" ca="1" si="3"/>
        <v>13.95</v>
      </c>
      <c r="H85" s="229">
        <f>100+Summary!$Q$19</f>
        <v>96.65</v>
      </c>
      <c r="I85" s="135">
        <v>2</v>
      </c>
      <c r="J85" s="303">
        <f t="shared" ca="1" si="4"/>
        <v>14.428797832441408</v>
      </c>
      <c r="K85" s="135">
        <f t="shared" ca="1" si="5"/>
        <v>14618.046228117393</v>
      </c>
      <c r="L85" s="138">
        <f t="shared" si="2"/>
        <v>1013.1160196347394</v>
      </c>
    </row>
    <row r="86" spans="1:12">
      <c r="A86" s="208" t="s">
        <v>505</v>
      </c>
      <c r="B86" s="208" t="s">
        <v>403</v>
      </c>
      <c r="C86" s="97" t="s">
        <v>170</v>
      </c>
      <c r="D86" s="59" t="s">
        <v>195</v>
      </c>
      <c r="E86" s="59" t="s">
        <v>195</v>
      </c>
      <c r="F86" s="95" t="s">
        <v>337</v>
      </c>
      <c r="G86" s="316">
        <f t="shared" ca="1" si="3"/>
        <v>9.39</v>
      </c>
      <c r="H86" s="229">
        <f>100+Summary!$Q$19</f>
        <v>96.65</v>
      </c>
      <c r="I86" s="135">
        <v>2</v>
      </c>
      <c r="J86" s="303">
        <f t="shared" ca="1" si="4"/>
        <v>9.7129894925093101</v>
      </c>
      <c r="K86" s="135">
        <f t="shared" ca="1" si="5"/>
        <v>3719.4329002765357</v>
      </c>
      <c r="L86" s="138">
        <f t="shared" si="2"/>
        <v>382.93389518695301</v>
      </c>
    </row>
    <row r="87" spans="1:12">
      <c r="A87" s="208" t="s">
        <v>505</v>
      </c>
      <c r="B87" s="208" t="s">
        <v>403</v>
      </c>
      <c r="C87" s="97" t="s">
        <v>170</v>
      </c>
      <c r="D87" s="59" t="s">
        <v>195</v>
      </c>
      <c r="E87" s="59" t="s">
        <v>195</v>
      </c>
      <c r="F87" s="95" t="s">
        <v>338</v>
      </c>
      <c r="G87" s="316">
        <f t="shared" ca="1" si="3"/>
        <v>10.3</v>
      </c>
      <c r="H87" s="229">
        <f>100+Summary!$Q$19</f>
        <v>96.65</v>
      </c>
      <c r="I87" s="135">
        <v>2</v>
      </c>
      <c r="J87" s="303">
        <f t="shared" ca="1" si="4"/>
        <v>10.658402142996891</v>
      </c>
      <c r="K87" s="135">
        <f t="shared" ca="1" si="5"/>
        <v>37925.120777632321</v>
      </c>
      <c r="L87" s="138">
        <f t="shared" si="2"/>
        <v>3558.2369917005844</v>
      </c>
    </row>
    <row r="88" spans="1:12">
      <c r="A88" s="208" t="s">
        <v>505</v>
      </c>
      <c r="B88" s="208" t="s">
        <v>403</v>
      </c>
      <c r="C88" s="97" t="s">
        <v>170</v>
      </c>
      <c r="D88" s="59" t="s">
        <v>195</v>
      </c>
      <c r="E88" s="59" t="s">
        <v>195</v>
      </c>
      <c r="F88" s="95" t="s">
        <v>339</v>
      </c>
      <c r="G88" s="316">
        <f t="shared" ca="1" si="3"/>
        <v>10.93</v>
      </c>
      <c r="H88" s="229">
        <f>100+Summary!$Q$19</f>
        <v>96.65</v>
      </c>
      <c r="I88" s="135">
        <v>2</v>
      </c>
      <c r="J88" s="303">
        <f t="shared" ca="1" si="4"/>
        <v>11.311187068333552</v>
      </c>
      <c r="K88" s="135">
        <f t="shared" ca="1" si="5"/>
        <v>7581.9080556880626</v>
      </c>
      <c r="L88" s="138">
        <f t="shared" si="2"/>
        <v>670.30171191440525</v>
      </c>
    </row>
    <row r="89" spans="1:12">
      <c r="A89" s="208" t="s">
        <v>505</v>
      </c>
      <c r="B89" s="208" t="s">
        <v>403</v>
      </c>
      <c r="C89" s="97" t="s">
        <v>170</v>
      </c>
      <c r="D89" s="59" t="s">
        <v>195</v>
      </c>
      <c r="E89" s="59" t="s">
        <v>195</v>
      </c>
      <c r="F89" s="95" t="s">
        <v>340</v>
      </c>
      <c r="G89" s="316">
        <f t="shared" ca="1" si="3"/>
        <v>11.57</v>
      </c>
      <c r="H89" s="229">
        <f>100+Summary!$Q$19</f>
        <v>96.65</v>
      </c>
      <c r="I89" s="135">
        <v>2</v>
      </c>
      <c r="J89" s="303">
        <f t="shared" ca="1" si="4"/>
        <v>11.975226906176019</v>
      </c>
      <c r="K89" s="135">
        <f t="shared" ca="1" si="5"/>
        <v>27990.969933215449</v>
      </c>
      <c r="L89" s="138">
        <f t="shared" si="2"/>
        <v>2337.4062264139297</v>
      </c>
    </row>
    <row r="90" spans="1:12">
      <c r="A90" s="208" t="s">
        <v>505</v>
      </c>
      <c r="B90" s="208" t="s">
        <v>403</v>
      </c>
      <c r="C90" s="97" t="s">
        <v>170</v>
      </c>
      <c r="D90" s="59" t="s">
        <v>195</v>
      </c>
      <c r="E90" s="59" t="s">
        <v>195</v>
      </c>
      <c r="F90" s="95" t="s">
        <v>341</v>
      </c>
      <c r="G90" s="316">
        <f t="shared" ca="1" si="3"/>
        <v>12.54</v>
      </c>
      <c r="H90" s="229">
        <f>100+Summary!$Q$19</f>
        <v>96.65</v>
      </c>
      <c r="I90" s="135">
        <v>2</v>
      </c>
      <c r="J90" s="303">
        <f t="shared" ca="1" si="4"/>
        <v>12.976914119192619</v>
      </c>
      <c r="K90" s="135">
        <f t="shared" ca="1" si="5"/>
        <v>38160.307874447506</v>
      </c>
      <c r="L90" s="138">
        <f t="shared" si="2"/>
        <v>2940.6303782198192</v>
      </c>
    </row>
    <row r="91" spans="1:12">
      <c r="A91" s="208" t="s">
        <v>505</v>
      </c>
      <c r="B91" s="208" t="s">
        <v>403</v>
      </c>
      <c r="C91" s="97" t="s">
        <v>170</v>
      </c>
      <c r="D91" s="59" t="s">
        <v>195</v>
      </c>
      <c r="E91" s="59" t="s">
        <v>195</v>
      </c>
      <c r="F91" s="95" t="s">
        <v>342</v>
      </c>
      <c r="G91" s="316">
        <f t="shared" ca="1" si="3"/>
        <v>15.4</v>
      </c>
      <c r="H91" s="229">
        <f>100+Summary!$Q$19</f>
        <v>96.65</v>
      </c>
      <c r="I91" s="135">
        <v>2</v>
      </c>
      <c r="J91" s="303">
        <f t="shared" ca="1" si="4"/>
        <v>15.936956108219213</v>
      </c>
      <c r="K91" s="135">
        <f t="shared" ca="1" si="5"/>
        <v>19550.638295461722</v>
      </c>
      <c r="L91" s="138">
        <f t="shared" si="2"/>
        <v>1226.7485812663319</v>
      </c>
    </row>
    <row r="92" spans="1:12">
      <c r="A92" s="208" t="s">
        <v>505</v>
      </c>
      <c r="B92" s="208" t="s">
        <v>403</v>
      </c>
      <c r="C92" s="97" t="s">
        <v>170</v>
      </c>
      <c r="D92" s="59" t="s">
        <v>195</v>
      </c>
      <c r="E92" s="59" t="s">
        <v>195</v>
      </c>
      <c r="F92" s="95" t="s">
        <v>343</v>
      </c>
      <c r="G92" s="316">
        <f t="shared" ca="1" si="3"/>
        <v>4.76</v>
      </c>
      <c r="H92" s="229">
        <f>100+Summary!$Q$19</f>
        <v>96.65</v>
      </c>
      <c r="I92" s="135">
        <v>2</v>
      </c>
      <c r="J92" s="303">
        <f t="shared" ca="1" si="4"/>
        <v>4.9296516775423838</v>
      </c>
      <c r="K92" s="135">
        <f t="shared" ca="1" si="5"/>
        <v>131025.68572448262</v>
      </c>
      <c r="L92" s="138">
        <f t="shared" si="2"/>
        <v>26579.096109647213</v>
      </c>
    </row>
    <row r="93" spans="1:12">
      <c r="A93" s="208" t="s">
        <v>505</v>
      </c>
      <c r="B93" s="208" t="s">
        <v>403</v>
      </c>
      <c r="C93" s="97" t="s">
        <v>170</v>
      </c>
      <c r="D93" s="59" t="s">
        <v>195</v>
      </c>
      <c r="E93" s="59" t="s">
        <v>195</v>
      </c>
      <c r="F93" s="95" t="s">
        <v>344</v>
      </c>
      <c r="G93" s="316">
        <f t="shared" ca="1" si="3"/>
        <v>5.36</v>
      </c>
      <c r="H93" s="229">
        <f>100+Summary!$Q$19</f>
        <v>96.65</v>
      </c>
      <c r="I93" s="135">
        <v>2</v>
      </c>
      <c r="J93" s="303">
        <f t="shared" ca="1" si="4"/>
        <v>5.5486718653616327</v>
      </c>
      <c r="K93" s="135">
        <f t="shared" ca="1" si="5"/>
        <v>113988.93315915966</v>
      </c>
      <c r="L93" s="138">
        <f t="shared" si="2"/>
        <v>20543.462638465189</v>
      </c>
    </row>
    <row r="94" spans="1:12">
      <c r="A94" s="208" t="s">
        <v>505</v>
      </c>
      <c r="B94" s="208" t="s">
        <v>403</v>
      </c>
      <c r="C94" s="97" t="s">
        <v>170</v>
      </c>
      <c r="D94" s="59" t="s">
        <v>195</v>
      </c>
      <c r="E94" s="59" t="s">
        <v>195</v>
      </c>
      <c r="F94" s="95" t="s">
        <v>345</v>
      </c>
      <c r="G94" s="316">
        <f t="shared" ca="1" si="3"/>
        <v>5.97</v>
      </c>
      <c r="H94" s="229">
        <f>100+Summary!$Q$19</f>
        <v>96.65</v>
      </c>
      <c r="I94" s="135">
        <v>2</v>
      </c>
      <c r="J94" s="303">
        <f t="shared" ca="1" si="4"/>
        <v>6.1789469656866869</v>
      </c>
      <c r="K94" s="135">
        <f t="shared" ca="1" si="5"/>
        <v>6080.0655276536063</v>
      </c>
      <c r="L94" s="138">
        <f t="shared" si="2"/>
        <v>983.99704050185335</v>
      </c>
    </row>
    <row r="95" spans="1:12">
      <c r="A95" s="208" t="s">
        <v>505</v>
      </c>
      <c r="B95" s="208" t="s">
        <v>403</v>
      </c>
      <c r="C95" s="97" t="s">
        <v>170</v>
      </c>
      <c r="D95" s="59" t="s">
        <v>195</v>
      </c>
      <c r="E95" s="59" t="s">
        <v>195</v>
      </c>
      <c r="F95" s="95" t="s">
        <v>346</v>
      </c>
      <c r="G95" s="316">
        <f t="shared" ca="1" si="3"/>
        <v>6.57</v>
      </c>
      <c r="H95" s="229">
        <f>100+Summary!$Q$19</f>
        <v>96.65</v>
      </c>
      <c r="I95" s="135">
        <v>2</v>
      </c>
      <c r="J95" s="303">
        <f t="shared" ca="1" si="4"/>
        <v>6.7979671535059358</v>
      </c>
      <c r="K95" s="135">
        <f t="shared" ca="1" si="5"/>
        <v>126840.67157914939</v>
      </c>
      <c r="L95" s="138">
        <f t="shared" si="2"/>
        <v>18658.617894870746</v>
      </c>
    </row>
    <row r="96" spans="1:12">
      <c r="A96" s="208" t="s">
        <v>505</v>
      </c>
      <c r="B96" s="208" t="s">
        <v>403</v>
      </c>
      <c r="C96" s="97" t="s">
        <v>170</v>
      </c>
      <c r="D96" s="59" t="s">
        <v>195</v>
      </c>
      <c r="E96" s="59" t="s">
        <v>195</v>
      </c>
      <c r="F96" s="95" t="s">
        <v>347</v>
      </c>
      <c r="G96" s="316">
        <f t="shared" ca="1" si="3"/>
        <v>7.27</v>
      </c>
      <c r="H96" s="229">
        <f>100+Summary!$Q$19</f>
        <v>96.65</v>
      </c>
      <c r="I96" s="135">
        <v>2</v>
      </c>
      <c r="J96" s="303">
        <f t="shared" ca="1" si="4"/>
        <v>7.5182815538774257</v>
      </c>
      <c r="K96" s="135">
        <f t="shared" ca="1" si="5"/>
        <v>18344.876016840059</v>
      </c>
      <c r="L96" s="138">
        <f t="shared" si="2"/>
        <v>2440.0357828284577</v>
      </c>
    </row>
    <row r="97" spans="1:12">
      <c r="A97" s="208" t="s">
        <v>505</v>
      </c>
      <c r="B97" s="208" t="s">
        <v>403</v>
      </c>
      <c r="C97" s="97" t="s">
        <v>170</v>
      </c>
      <c r="D97" s="59" t="s">
        <v>195</v>
      </c>
      <c r="E97" s="59" t="s">
        <v>195</v>
      </c>
      <c r="F97" s="95" t="s">
        <v>348</v>
      </c>
      <c r="G97" s="316">
        <f t="shared" ca="1" si="3"/>
        <v>8.99</v>
      </c>
      <c r="H97" s="229">
        <f>100+Summary!$Q$19</f>
        <v>96.65</v>
      </c>
      <c r="I97" s="135">
        <v>2</v>
      </c>
      <c r="J97" s="303">
        <f t="shared" ca="1" si="4"/>
        <v>9.2965577297945394</v>
      </c>
      <c r="K97" s="135">
        <f t="shared" ca="1" si="5"/>
        <v>28782.120183284122</v>
      </c>
      <c r="L97" s="138">
        <f t="shared" si="2"/>
        <v>3095.9975745689503</v>
      </c>
    </row>
    <row r="98" spans="1:12">
      <c r="A98" s="208" t="s">
        <v>505</v>
      </c>
      <c r="B98" s="208" t="s">
        <v>403</v>
      </c>
      <c r="C98" s="95" t="s">
        <v>227</v>
      </c>
      <c r="D98" s="97" t="s">
        <v>195</v>
      </c>
      <c r="E98" s="97" t="s">
        <v>195</v>
      </c>
      <c r="F98" s="95" t="s">
        <v>6</v>
      </c>
      <c r="G98" s="316">
        <f t="shared" ca="1" si="3"/>
        <v>5.944E-2</v>
      </c>
      <c r="H98" s="229">
        <f>100+Summary!$Q$19</f>
        <v>96.65</v>
      </c>
      <c r="I98" s="135">
        <v>5</v>
      </c>
      <c r="J98" s="303">
        <f t="shared" ca="1" si="4"/>
        <v>6.1496841931715951E-2</v>
      </c>
      <c r="K98" s="135">
        <f t="shared" ca="1" si="5"/>
        <v>129874.50494143371</v>
      </c>
      <c r="L98" s="138">
        <f t="shared" si="2"/>
        <v>2111889.0151406806</v>
      </c>
    </row>
    <row r="99" spans="1:12">
      <c r="A99" s="208" t="s">
        <v>505</v>
      </c>
      <c r="B99" s="208" t="s">
        <v>403</v>
      </c>
      <c r="C99" s="95" t="s">
        <v>171</v>
      </c>
      <c r="D99" s="97" t="s">
        <v>195</v>
      </c>
      <c r="E99" s="95" t="s">
        <v>199</v>
      </c>
      <c r="F99" s="97" t="s">
        <v>335</v>
      </c>
      <c r="G99" s="316">
        <f t="shared" ca="1" si="3"/>
        <v>7.65</v>
      </c>
      <c r="H99" s="229">
        <f>100+Summary!$Q$19</f>
        <v>96.65</v>
      </c>
      <c r="I99" s="135">
        <v>2</v>
      </c>
      <c r="J99" s="303">
        <f t="shared" ca="1" si="4"/>
        <v>7.9122034915805841</v>
      </c>
      <c r="K99" s="135">
        <f t="shared" ca="1" si="5"/>
        <v>1099.0084414542948</v>
      </c>
      <c r="L99" s="138">
        <f t="shared" si="2"/>
        <v>138.90042674253201</v>
      </c>
    </row>
    <row r="100" spans="1:12">
      <c r="A100" s="208" t="s">
        <v>505</v>
      </c>
      <c r="B100" s="208" t="s">
        <v>403</v>
      </c>
      <c r="C100" s="95" t="s">
        <v>171</v>
      </c>
      <c r="D100" s="97" t="s">
        <v>195</v>
      </c>
      <c r="E100" s="95" t="s">
        <v>200</v>
      </c>
      <c r="F100" s="97" t="s">
        <v>335</v>
      </c>
      <c r="G100" s="316">
        <f t="shared" ca="1" si="3"/>
        <v>13.76</v>
      </c>
      <c r="H100" s="229">
        <f>100+Summary!$Q$19</f>
        <v>96.65</v>
      </c>
      <c r="I100" s="135">
        <v>2</v>
      </c>
      <c r="J100" s="303">
        <f t="shared" ca="1" si="4"/>
        <v>14.237464319842733</v>
      </c>
      <c r="K100" s="135">
        <f t="shared" ca="1" si="5"/>
        <v>2391.894005733579</v>
      </c>
      <c r="L100" s="138">
        <f t="shared" si="2"/>
        <v>168</v>
      </c>
    </row>
    <row r="101" spans="1:12">
      <c r="A101" s="209" t="s">
        <v>505</v>
      </c>
      <c r="B101" s="209" t="s">
        <v>403</v>
      </c>
      <c r="C101" s="147" t="s">
        <v>171</v>
      </c>
      <c r="D101" s="145" t="s">
        <v>195</v>
      </c>
      <c r="E101" s="145" t="s">
        <v>195</v>
      </c>
      <c r="F101" s="147" t="s">
        <v>6</v>
      </c>
      <c r="G101" s="317">
        <f t="shared" ca="1" si="3"/>
        <v>6.2219999999999998E-2</v>
      </c>
      <c r="H101" s="229">
        <f>100+Summary!$Q$19</f>
        <v>96.65</v>
      </c>
      <c r="I101" s="135">
        <v>5</v>
      </c>
      <c r="J101" s="303">
        <f t="shared" ca="1" si="4"/>
        <v>6.4378099533201893E-2</v>
      </c>
      <c r="K101" s="135">
        <f t="shared" ca="1" si="5"/>
        <v>20112.654093055819</v>
      </c>
      <c r="L101" s="138">
        <f t="shared" si="2"/>
        <v>312414.5359818064</v>
      </c>
    </row>
    <row r="102" spans="1:12">
      <c r="A102" s="212" t="s">
        <v>505</v>
      </c>
      <c r="B102" s="212" t="s">
        <v>29</v>
      </c>
      <c r="C102" s="140" t="s">
        <v>169</v>
      </c>
      <c r="D102" s="141" t="s">
        <v>4</v>
      </c>
      <c r="E102" s="70" t="s">
        <v>195</v>
      </c>
      <c r="F102" s="141" t="s">
        <v>337</v>
      </c>
      <c r="G102" s="213">
        <f t="shared" ref="G102:G132" ca="1" si="6">IF(F102="Unbilled",SUMIFS(G$51:G$81,C$51:C$81,C102,D$51:D$81,D102,F$51:F$81,F102),SUMIFS(G$83:G$101,C$83:C$101,C102,E$83:E$101,E102,F$83:F$101,F102)*I102)</f>
        <v>107455.70934378736</v>
      </c>
      <c r="H102" s="135">
        <f t="shared" ref="H102:H132" ca="1" si="7">IF(F102="Unbilled",SUMIFS(G$51:G$81,C$51:C$81,C102,D$51:D$81,D102,F$51:F$81,F102),SUMIFS(J$83:J$101,C$83:C$101,C102,E$83:E$101,E102,F$83:F$101,F102)*I102)</f>
        <v>111224.31374362952</v>
      </c>
      <c r="I102" s="135">
        <f t="shared" ref="I102:I132" si="8">SUMIFS(G$7:G$31,C$7:C$31,C102,D$7:D$31,D102,E$7:E$31,E102,F$7:F$31,F102)</f>
        <v>11358.954476087458</v>
      </c>
    </row>
    <row r="103" spans="1:12">
      <c r="A103" s="208" t="s">
        <v>505</v>
      </c>
      <c r="B103" s="208" t="s">
        <v>29</v>
      </c>
      <c r="C103" s="97" t="s">
        <v>169</v>
      </c>
      <c r="D103" s="143" t="s">
        <v>4</v>
      </c>
      <c r="E103" s="59" t="s">
        <v>195</v>
      </c>
      <c r="F103" s="143" t="s">
        <v>338</v>
      </c>
      <c r="G103" s="210">
        <f t="shared" ca="1" si="6"/>
        <v>5905.4592659517784</v>
      </c>
      <c r="H103" s="135">
        <f t="shared" ca="1" si="7"/>
        <v>6107.4737604787142</v>
      </c>
      <c r="I103" s="135">
        <f t="shared" si="8"/>
        <v>526.33326791014065</v>
      </c>
    </row>
    <row r="104" spans="1:12">
      <c r="A104" s="208" t="s">
        <v>505</v>
      </c>
      <c r="B104" s="208" t="s">
        <v>29</v>
      </c>
      <c r="C104" s="97" t="s">
        <v>169</v>
      </c>
      <c r="D104" s="143" t="s">
        <v>4</v>
      </c>
      <c r="E104" s="59" t="s">
        <v>195</v>
      </c>
      <c r="F104" s="143" t="s">
        <v>339</v>
      </c>
      <c r="G104" s="210">
        <f t="shared" ca="1" si="6"/>
        <v>334.80211066131153</v>
      </c>
      <c r="H104" s="135">
        <f t="shared" ca="1" si="7"/>
        <v>346.29333108292042</v>
      </c>
      <c r="I104" s="135">
        <f t="shared" si="8"/>
        <v>24.000151301886131</v>
      </c>
    </row>
    <row r="105" spans="1:12">
      <c r="A105" s="208" t="s">
        <v>505</v>
      </c>
      <c r="B105" s="208" t="s">
        <v>29</v>
      </c>
      <c r="C105" s="97" t="s">
        <v>169</v>
      </c>
      <c r="D105" s="143" t="s">
        <v>4</v>
      </c>
      <c r="E105" s="59" t="s">
        <v>195</v>
      </c>
      <c r="F105" s="85" t="s">
        <v>168</v>
      </c>
      <c r="G105" s="210">
        <f t="shared" si="6"/>
        <v>3473.3244412401559</v>
      </c>
      <c r="H105" s="135">
        <f t="shared" si="7"/>
        <v>3473.3244412401559</v>
      </c>
      <c r="I105" s="135">
        <f t="shared" si="8"/>
        <v>0</v>
      </c>
    </row>
    <row r="106" spans="1:12">
      <c r="A106" s="208" t="s">
        <v>505</v>
      </c>
      <c r="B106" s="208" t="s">
        <v>29</v>
      </c>
      <c r="C106" s="97" t="s">
        <v>169</v>
      </c>
      <c r="D106" s="143" t="s">
        <v>5</v>
      </c>
      <c r="E106" s="59" t="s">
        <v>195</v>
      </c>
      <c r="F106" s="143" t="s">
        <v>337</v>
      </c>
      <c r="G106" s="210">
        <f t="shared" ca="1" si="6"/>
        <v>125745.78015701812</v>
      </c>
      <c r="H106" s="135">
        <f t="shared" ca="1" si="7"/>
        <v>130155.83992262071</v>
      </c>
      <c r="I106" s="135">
        <f t="shared" si="8"/>
        <v>13292.36576712665</v>
      </c>
    </row>
    <row r="107" spans="1:12">
      <c r="A107" s="208" t="s">
        <v>505</v>
      </c>
      <c r="B107" s="208" t="s">
        <v>29</v>
      </c>
      <c r="C107" s="97" t="s">
        <v>169</v>
      </c>
      <c r="D107" s="143" t="s">
        <v>5</v>
      </c>
      <c r="E107" s="59" t="s">
        <v>195</v>
      </c>
      <c r="F107" s="143" t="s">
        <v>338</v>
      </c>
      <c r="G107" s="210">
        <f t="shared" ca="1" si="6"/>
        <v>51241.744469916164</v>
      </c>
      <c r="H107" s="135">
        <f t="shared" ca="1" si="7"/>
        <v>52994.626784667038</v>
      </c>
      <c r="I107" s="135">
        <f t="shared" si="8"/>
        <v>4567.0003983882498</v>
      </c>
    </row>
    <row r="108" spans="1:12">
      <c r="A108" s="208" t="s">
        <v>505</v>
      </c>
      <c r="B108" s="208" t="s">
        <v>29</v>
      </c>
      <c r="C108" s="97" t="s">
        <v>169</v>
      </c>
      <c r="D108" s="143" t="s">
        <v>5</v>
      </c>
      <c r="E108" s="59" t="s">
        <v>195</v>
      </c>
      <c r="F108" s="143" t="s">
        <v>339</v>
      </c>
      <c r="G108" s="210">
        <f t="shared" ca="1" si="6"/>
        <v>13295.953100836739</v>
      </c>
      <c r="H108" s="135">
        <f t="shared" ca="1" si="7"/>
        <v>13752.302457462061</v>
      </c>
      <c r="I108" s="135">
        <f t="shared" si="8"/>
        <v>953.11491762270532</v>
      </c>
    </row>
    <row r="109" spans="1:12">
      <c r="A109" s="208" t="s">
        <v>505</v>
      </c>
      <c r="B109" s="208" t="s">
        <v>29</v>
      </c>
      <c r="C109" s="97" t="s">
        <v>169</v>
      </c>
      <c r="D109" s="143" t="s">
        <v>5</v>
      </c>
      <c r="E109" s="59" t="s">
        <v>195</v>
      </c>
      <c r="F109" s="85" t="s">
        <v>168</v>
      </c>
      <c r="G109" s="210">
        <f t="shared" si="6"/>
        <v>2499.8824946992781</v>
      </c>
      <c r="H109" s="135">
        <f t="shared" si="7"/>
        <v>2499.8824946992781</v>
      </c>
      <c r="I109" s="135">
        <f t="shared" si="8"/>
        <v>0</v>
      </c>
    </row>
    <row r="110" spans="1:12">
      <c r="A110" s="208" t="s">
        <v>505</v>
      </c>
      <c r="B110" s="208" t="s">
        <v>29</v>
      </c>
      <c r="C110" s="97" t="s">
        <v>169</v>
      </c>
      <c r="D110" s="143" t="s">
        <v>7</v>
      </c>
      <c r="E110" s="59" t="s">
        <v>195</v>
      </c>
      <c r="F110" s="143" t="s">
        <v>337</v>
      </c>
      <c r="G110" s="210">
        <f t="shared" ca="1" si="6"/>
        <v>5238.6998467075746</v>
      </c>
      <c r="H110" s="135">
        <f t="shared" ca="1" si="7"/>
        <v>5422.4275184368762</v>
      </c>
      <c r="I110" s="135">
        <f t="shared" si="8"/>
        <v>553.77376815090633</v>
      </c>
    </row>
    <row r="111" spans="1:12">
      <c r="A111" s="208" t="s">
        <v>505</v>
      </c>
      <c r="B111" s="208" t="s">
        <v>29</v>
      </c>
      <c r="C111" s="97" t="s">
        <v>169</v>
      </c>
      <c r="D111" s="143" t="s">
        <v>7</v>
      </c>
      <c r="E111" s="59" t="s">
        <v>195</v>
      </c>
      <c r="F111" s="143" t="s">
        <v>338</v>
      </c>
      <c r="G111" s="210">
        <f t="shared" ca="1" si="6"/>
        <v>4847.0599359719245</v>
      </c>
      <c r="H111" s="135">
        <f t="shared" ca="1" si="7"/>
        <v>5012.8686087287788</v>
      </c>
      <c r="I111" s="135">
        <f t="shared" si="8"/>
        <v>432.00177682459218</v>
      </c>
    </row>
    <row r="112" spans="1:12">
      <c r="A112" s="208" t="s">
        <v>505</v>
      </c>
      <c r="B112" s="208" t="s">
        <v>29</v>
      </c>
      <c r="C112" s="97" t="s">
        <v>169</v>
      </c>
      <c r="D112" s="143" t="s">
        <v>7</v>
      </c>
      <c r="E112" s="59" t="s">
        <v>195</v>
      </c>
      <c r="F112" s="143" t="s">
        <v>339</v>
      </c>
      <c r="G112" s="210">
        <f t="shared" ca="1" si="6"/>
        <v>502.21326240656282</v>
      </c>
      <c r="H112" s="135">
        <f t="shared" ca="1" si="7"/>
        <v>519.4504395724116</v>
      </c>
      <c r="I112" s="135">
        <f t="shared" si="8"/>
        <v>36.000950710147876</v>
      </c>
    </row>
    <row r="113" spans="1:9">
      <c r="A113" s="208" t="s">
        <v>505</v>
      </c>
      <c r="B113" s="208" t="s">
        <v>29</v>
      </c>
      <c r="C113" s="97" t="s">
        <v>169</v>
      </c>
      <c r="D113" s="143" t="s">
        <v>7</v>
      </c>
      <c r="E113" s="59" t="s">
        <v>195</v>
      </c>
      <c r="F113" s="85" t="s">
        <v>168</v>
      </c>
      <c r="G113" s="210">
        <f t="shared" si="6"/>
        <v>187.52091162770995</v>
      </c>
      <c r="H113" s="135">
        <f t="shared" si="7"/>
        <v>187.52091162770995</v>
      </c>
      <c r="I113" s="135">
        <f t="shared" si="8"/>
        <v>0</v>
      </c>
    </row>
    <row r="114" spans="1:9">
      <c r="A114" s="208" t="s">
        <v>505</v>
      </c>
      <c r="B114" s="208" t="s">
        <v>29</v>
      </c>
      <c r="C114" s="97" t="s">
        <v>170</v>
      </c>
      <c r="D114" s="208" t="s">
        <v>167</v>
      </c>
      <c r="E114" s="59" t="s">
        <v>195</v>
      </c>
      <c r="F114" s="95" t="s">
        <v>337</v>
      </c>
      <c r="G114" s="210">
        <f t="shared" ca="1" si="6"/>
        <v>3595.7492758054891</v>
      </c>
      <c r="H114" s="135">
        <f t="shared" ca="1" si="7"/>
        <v>3719.4329002765362</v>
      </c>
      <c r="I114" s="135">
        <f t="shared" si="8"/>
        <v>382.93389518695301</v>
      </c>
    </row>
    <row r="115" spans="1:9">
      <c r="A115" s="208" t="s">
        <v>505</v>
      </c>
      <c r="B115" s="208" t="s">
        <v>29</v>
      </c>
      <c r="C115" s="97" t="s">
        <v>170</v>
      </c>
      <c r="D115" s="208" t="s">
        <v>167</v>
      </c>
      <c r="E115" s="59" t="s">
        <v>195</v>
      </c>
      <c r="F115" s="95" t="s">
        <v>338</v>
      </c>
      <c r="G115" s="210">
        <f t="shared" ca="1" si="6"/>
        <v>36649.841014516023</v>
      </c>
      <c r="H115" s="135">
        <f t="shared" ca="1" si="7"/>
        <v>37925.120777632321</v>
      </c>
      <c r="I115" s="135">
        <f t="shared" si="8"/>
        <v>3558.2369917005844</v>
      </c>
    </row>
    <row r="116" spans="1:9">
      <c r="A116" s="208" t="s">
        <v>505</v>
      </c>
      <c r="B116" s="208" t="s">
        <v>29</v>
      </c>
      <c r="C116" s="97" t="s">
        <v>170</v>
      </c>
      <c r="D116" s="208" t="s">
        <v>167</v>
      </c>
      <c r="E116" s="59" t="s">
        <v>195</v>
      </c>
      <c r="F116" s="95" t="s">
        <v>339</v>
      </c>
      <c r="G116" s="210">
        <f t="shared" ca="1" si="6"/>
        <v>7326.3977112244493</v>
      </c>
      <c r="H116" s="135">
        <f t="shared" ca="1" si="7"/>
        <v>7581.9080556880626</v>
      </c>
      <c r="I116" s="135">
        <f t="shared" si="8"/>
        <v>670.30171191440525</v>
      </c>
    </row>
    <row r="117" spans="1:9">
      <c r="A117" s="208" t="s">
        <v>505</v>
      </c>
      <c r="B117" s="208" t="s">
        <v>29</v>
      </c>
      <c r="C117" s="97" t="s">
        <v>170</v>
      </c>
      <c r="D117" s="208" t="s">
        <v>167</v>
      </c>
      <c r="E117" s="59" t="s">
        <v>195</v>
      </c>
      <c r="F117" s="95" t="s">
        <v>340</v>
      </c>
      <c r="G117" s="210">
        <f t="shared" ca="1" si="6"/>
        <v>27043.790039609168</v>
      </c>
      <c r="H117" s="135">
        <f t="shared" ca="1" si="7"/>
        <v>27990.969933215445</v>
      </c>
      <c r="I117" s="135">
        <f t="shared" si="8"/>
        <v>2337.4062264139297</v>
      </c>
    </row>
    <row r="118" spans="1:9">
      <c r="A118" s="208" t="s">
        <v>505</v>
      </c>
      <c r="B118" s="208" t="s">
        <v>29</v>
      </c>
      <c r="C118" s="97" t="s">
        <v>170</v>
      </c>
      <c r="D118" s="208" t="s">
        <v>167</v>
      </c>
      <c r="E118" s="59" t="s">
        <v>195</v>
      </c>
      <c r="F118" s="95" t="s">
        <v>341</v>
      </c>
      <c r="G118" s="210">
        <f t="shared" ca="1" si="6"/>
        <v>36875.504942876534</v>
      </c>
      <c r="H118" s="135">
        <f t="shared" ca="1" si="7"/>
        <v>38160.307874447506</v>
      </c>
      <c r="I118" s="135">
        <f t="shared" si="8"/>
        <v>2940.6303782198192</v>
      </c>
    </row>
    <row r="119" spans="1:9">
      <c r="A119" s="208" t="s">
        <v>505</v>
      </c>
      <c r="B119" s="208" t="s">
        <v>29</v>
      </c>
      <c r="C119" s="97" t="s">
        <v>170</v>
      </c>
      <c r="D119" s="208" t="s">
        <v>167</v>
      </c>
      <c r="E119" s="59" t="s">
        <v>195</v>
      </c>
      <c r="F119" s="95" t="s">
        <v>342</v>
      </c>
      <c r="G119" s="210">
        <f t="shared" ca="1" si="6"/>
        <v>18891.928151501514</v>
      </c>
      <c r="H119" s="135">
        <f t="shared" ca="1" si="7"/>
        <v>19550.638295461722</v>
      </c>
      <c r="I119" s="135">
        <f t="shared" si="8"/>
        <v>1226.7485812663319</v>
      </c>
    </row>
    <row r="120" spans="1:9">
      <c r="A120" s="208" t="s">
        <v>505</v>
      </c>
      <c r="B120" s="208" t="s">
        <v>29</v>
      </c>
      <c r="C120" s="97" t="s">
        <v>170</v>
      </c>
      <c r="D120" s="208" t="s">
        <v>167</v>
      </c>
      <c r="E120" s="59" t="s">
        <v>195</v>
      </c>
      <c r="F120" s="95" t="s">
        <v>343</v>
      </c>
      <c r="G120" s="210">
        <f t="shared" ca="1" si="6"/>
        <v>126516.49748192073</v>
      </c>
      <c r="H120" s="135">
        <f t="shared" ca="1" si="7"/>
        <v>131025.68572448262</v>
      </c>
      <c r="I120" s="135">
        <f t="shared" si="8"/>
        <v>26579.096109647213</v>
      </c>
    </row>
    <row r="121" spans="1:9">
      <c r="A121" s="208" t="s">
        <v>505</v>
      </c>
      <c r="B121" s="208" t="s">
        <v>29</v>
      </c>
      <c r="C121" s="97" t="s">
        <v>170</v>
      </c>
      <c r="D121" s="208" t="s">
        <v>167</v>
      </c>
      <c r="E121" s="59" t="s">
        <v>195</v>
      </c>
      <c r="F121" s="95" t="s">
        <v>344</v>
      </c>
      <c r="G121" s="210">
        <f t="shared" ca="1" si="6"/>
        <v>110112.95974217342</v>
      </c>
      <c r="H121" s="135">
        <f t="shared" ca="1" si="7"/>
        <v>113988.93315915966</v>
      </c>
      <c r="I121" s="135">
        <f t="shared" si="8"/>
        <v>20543.462638465189</v>
      </c>
    </row>
    <row r="122" spans="1:9">
      <c r="A122" s="208" t="s">
        <v>505</v>
      </c>
      <c r="B122" s="208" t="s">
        <v>29</v>
      </c>
      <c r="C122" s="97" t="s">
        <v>170</v>
      </c>
      <c r="D122" s="208" t="s">
        <v>167</v>
      </c>
      <c r="E122" s="59" t="s">
        <v>195</v>
      </c>
      <c r="F122" s="95" t="s">
        <v>345</v>
      </c>
      <c r="G122" s="210">
        <f t="shared" ca="1" si="6"/>
        <v>5874.4623317960641</v>
      </c>
      <c r="H122" s="135">
        <f t="shared" ca="1" si="7"/>
        <v>6080.0655276536063</v>
      </c>
      <c r="I122" s="135">
        <f t="shared" si="8"/>
        <v>983.99704050185335</v>
      </c>
    </row>
    <row r="123" spans="1:9">
      <c r="A123" s="208" t="s">
        <v>505</v>
      </c>
      <c r="B123" s="208" t="s">
        <v>29</v>
      </c>
      <c r="C123" s="97" t="s">
        <v>170</v>
      </c>
      <c r="D123" s="208" t="s">
        <v>167</v>
      </c>
      <c r="E123" s="59" t="s">
        <v>195</v>
      </c>
      <c r="F123" s="95" t="s">
        <v>346</v>
      </c>
      <c r="G123" s="210">
        <f t="shared" ca="1" si="6"/>
        <v>122587.1195693008</v>
      </c>
      <c r="H123" s="135">
        <f t="shared" ca="1" si="7"/>
        <v>126840.67157914941</v>
      </c>
      <c r="I123" s="135">
        <f t="shared" si="8"/>
        <v>18658.617894870746</v>
      </c>
    </row>
    <row r="124" spans="1:9">
      <c r="A124" s="208" t="s">
        <v>505</v>
      </c>
      <c r="B124" s="208" t="s">
        <v>29</v>
      </c>
      <c r="C124" s="97" t="s">
        <v>170</v>
      </c>
      <c r="D124" s="208" t="s">
        <v>167</v>
      </c>
      <c r="E124" s="59" t="s">
        <v>195</v>
      </c>
      <c r="F124" s="95" t="s">
        <v>347</v>
      </c>
      <c r="G124" s="210">
        <f t="shared" ca="1" si="6"/>
        <v>17739.060141162885</v>
      </c>
      <c r="H124" s="135">
        <f t="shared" ca="1" si="7"/>
        <v>18344.876016840059</v>
      </c>
      <c r="I124" s="135">
        <f t="shared" si="8"/>
        <v>2440.0357828284577</v>
      </c>
    </row>
    <row r="125" spans="1:9">
      <c r="A125" s="208" t="s">
        <v>505</v>
      </c>
      <c r="B125" s="208" t="s">
        <v>29</v>
      </c>
      <c r="C125" s="97" t="s">
        <v>170</v>
      </c>
      <c r="D125" s="208" t="s">
        <v>167</v>
      </c>
      <c r="E125" s="59" t="s">
        <v>195</v>
      </c>
      <c r="F125" s="95" t="s">
        <v>348</v>
      </c>
      <c r="G125" s="210">
        <f t="shared" ca="1" si="6"/>
        <v>27833.018195374865</v>
      </c>
      <c r="H125" s="135">
        <f t="shared" ca="1" si="7"/>
        <v>28782.120183284122</v>
      </c>
      <c r="I125" s="135">
        <f t="shared" si="8"/>
        <v>3095.9975745689503</v>
      </c>
    </row>
    <row r="126" spans="1:9">
      <c r="A126" s="208" t="s">
        <v>505</v>
      </c>
      <c r="B126" s="208" t="s">
        <v>29</v>
      </c>
      <c r="C126" s="97" t="s">
        <v>170</v>
      </c>
      <c r="D126" s="208" t="s">
        <v>167</v>
      </c>
      <c r="E126" s="59" t="s">
        <v>195</v>
      </c>
      <c r="F126" s="85" t="s">
        <v>168</v>
      </c>
      <c r="G126" s="210">
        <f t="shared" si="6"/>
        <v>-33281.311721933365</v>
      </c>
      <c r="H126" s="135">
        <f t="shared" si="7"/>
        <v>-33281.311721933365</v>
      </c>
      <c r="I126" s="135">
        <f t="shared" si="8"/>
        <v>0</v>
      </c>
    </row>
    <row r="127" spans="1:9">
      <c r="A127" s="208" t="s">
        <v>505</v>
      </c>
      <c r="B127" s="208" t="s">
        <v>29</v>
      </c>
      <c r="C127" s="95" t="s">
        <v>227</v>
      </c>
      <c r="D127" s="97" t="s">
        <v>167</v>
      </c>
      <c r="E127" s="97" t="s">
        <v>195</v>
      </c>
      <c r="F127" s="95" t="s">
        <v>6</v>
      </c>
      <c r="G127" s="210">
        <f t="shared" ca="1" si="6"/>
        <v>125530.68305996206</v>
      </c>
      <c r="H127" s="135">
        <f t="shared" ca="1" si="7"/>
        <v>129874.50494143371</v>
      </c>
      <c r="I127" s="135">
        <f t="shared" si="8"/>
        <v>2111889.0151406806</v>
      </c>
    </row>
    <row r="128" spans="1:9">
      <c r="A128" s="208" t="s">
        <v>505</v>
      </c>
      <c r="B128" s="208" t="s">
        <v>29</v>
      </c>
      <c r="C128" s="95" t="s">
        <v>227</v>
      </c>
      <c r="D128" s="97" t="s">
        <v>167</v>
      </c>
      <c r="E128" s="97" t="s">
        <v>195</v>
      </c>
      <c r="F128" s="85" t="s">
        <v>168</v>
      </c>
      <c r="G128" s="210">
        <f t="shared" si="6"/>
        <v>-7718.6882780666365</v>
      </c>
      <c r="H128" s="135">
        <f t="shared" si="7"/>
        <v>-7718.6882780666365</v>
      </c>
      <c r="I128" s="135">
        <f t="shared" si="8"/>
        <v>0</v>
      </c>
    </row>
    <row r="129" spans="1:12">
      <c r="A129" s="208" t="s">
        <v>505</v>
      </c>
      <c r="B129" s="208" t="s">
        <v>29</v>
      </c>
      <c r="C129" s="95" t="s">
        <v>171</v>
      </c>
      <c r="D129" s="97" t="s">
        <v>5</v>
      </c>
      <c r="E129" s="95" t="s">
        <v>199</v>
      </c>
      <c r="F129" s="97" t="s">
        <v>335</v>
      </c>
      <c r="G129" s="210">
        <f t="shared" ca="1" si="6"/>
        <v>1062.5882645803699</v>
      </c>
      <c r="H129" s="135">
        <f t="shared" ca="1" si="7"/>
        <v>1099.0084414542948</v>
      </c>
      <c r="I129" s="135">
        <f t="shared" si="8"/>
        <v>138.90042674253201</v>
      </c>
    </row>
    <row r="130" spans="1:12">
      <c r="A130" s="208" t="s">
        <v>505</v>
      </c>
      <c r="B130" s="208" t="s">
        <v>29</v>
      </c>
      <c r="C130" s="95" t="s">
        <v>171</v>
      </c>
      <c r="D130" s="97" t="s">
        <v>5</v>
      </c>
      <c r="E130" s="95" t="s">
        <v>200</v>
      </c>
      <c r="F130" s="97" t="s">
        <v>335</v>
      </c>
      <c r="G130" s="210">
        <f t="shared" ca="1" si="6"/>
        <v>2311.6799999999998</v>
      </c>
      <c r="H130" s="135">
        <f t="shared" ca="1" si="7"/>
        <v>2391.894005733579</v>
      </c>
      <c r="I130" s="135">
        <f t="shared" si="8"/>
        <v>168</v>
      </c>
    </row>
    <row r="131" spans="1:12">
      <c r="A131" s="208" t="s">
        <v>505</v>
      </c>
      <c r="B131" s="208" t="s">
        <v>29</v>
      </c>
      <c r="C131" s="95" t="s">
        <v>171</v>
      </c>
      <c r="D131" s="97" t="s">
        <v>5</v>
      </c>
      <c r="E131" s="97" t="s">
        <v>195</v>
      </c>
      <c r="F131" s="95" t="s">
        <v>6</v>
      </c>
      <c r="G131" s="210">
        <f t="shared" ca="1" si="6"/>
        <v>19438.432428787994</v>
      </c>
      <c r="H131" s="135">
        <f t="shared" ca="1" si="7"/>
        <v>20112.654093055819</v>
      </c>
      <c r="I131" s="135">
        <f t="shared" si="8"/>
        <v>312414.5359818064</v>
      </c>
    </row>
    <row r="132" spans="1:12">
      <c r="A132" s="209" t="s">
        <v>505</v>
      </c>
      <c r="B132" s="209" t="s">
        <v>29</v>
      </c>
      <c r="C132" s="145" t="s">
        <v>171</v>
      </c>
      <c r="D132" s="145" t="s">
        <v>5</v>
      </c>
      <c r="E132" s="145" t="s">
        <v>195</v>
      </c>
      <c r="F132" s="257" t="s">
        <v>168</v>
      </c>
      <c r="G132" s="211">
        <f t="shared" si="6"/>
        <v>299.67134569970966</v>
      </c>
      <c r="H132" s="135">
        <f t="shared" si="7"/>
        <v>299.67134569970966</v>
      </c>
      <c r="I132" s="135">
        <f t="shared" si="8"/>
        <v>0</v>
      </c>
    </row>
    <row r="133" spans="1:12">
      <c r="A133" s="226" t="s">
        <v>533</v>
      </c>
      <c r="B133" s="223" t="s">
        <v>29</v>
      </c>
      <c r="C133" s="226" t="s">
        <v>195</v>
      </c>
      <c r="D133" s="226" t="s">
        <v>195</v>
      </c>
      <c r="E133" s="226" t="s">
        <v>195</v>
      </c>
      <c r="F133" s="226" t="s">
        <v>195</v>
      </c>
      <c r="G133" s="228">
        <f ca="1">'Cost of Service and Proposed $'!AA128</f>
        <v>1069488.1769280238</v>
      </c>
    </row>
    <row r="134" spans="1:12">
      <c r="A134" s="212" t="s">
        <v>506</v>
      </c>
      <c r="B134" s="212" t="s">
        <v>403</v>
      </c>
      <c r="C134" s="140" t="s">
        <v>169</v>
      </c>
      <c r="D134" s="70" t="s">
        <v>195</v>
      </c>
      <c r="E134" s="70" t="s">
        <v>195</v>
      </c>
      <c r="F134" s="141" t="s">
        <v>337</v>
      </c>
      <c r="G134" s="315">
        <f ca="1">ROUND(H134/100*K134/L134,I134)</f>
        <v>10.06</v>
      </c>
      <c r="H134" s="229">
        <f>100+Summary!$R$19</f>
        <v>96.66</v>
      </c>
      <c r="I134" s="135">
        <v>2</v>
      </c>
      <c r="J134" s="303">
        <f ca="1">K134/L134</f>
        <v>10.402936963437348</v>
      </c>
      <c r="K134" s="135">
        <f ca="1">SUMIFS(G$102:G$132,C$102:C$132,C134,E$102:E$132,E134,F$102:F$132,F134)/SUMIFS(G$102:G$132,F$102:F$132,"&lt;&gt;Unbilled")*(G$133-SUMIFS(G$102:G$132,F$102:F$132,"Unbilled"))</f>
        <v>262207.00415774243</v>
      </c>
      <c r="L134" s="138">
        <f t="shared" ref="L134" si="9">SUMIFS(G$7:G$31,C$7:C$31,C134,E$7:E$31,E134,F$7:F$31,F134)</f>
        <v>25205.094011365014</v>
      </c>
    </row>
    <row r="135" spans="1:12">
      <c r="A135" s="208" t="s">
        <v>506</v>
      </c>
      <c r="B135" s="208" t="s">
        <v>403</v>
      </c>
      <c r="C135" s="97" t="s">
        <v>169</v>
      </c>
      <c r="D135" s="59" t="s">
        <v>195</v>
      </c>
      <c r="E135" s="59" t="s">
        <v>195</v>
      </c>
      <c r="F135" s="143" t="s">
        <v>338</v>
      </c>
      <c r="G135" s="316">
        <f t="shared" ref="G135:G152" ca="1" si="10">ROUND(H135/100*K135/L135,I135)</f>
        <v>11.93</v>
      </c>
      <c r="H135" s="229">
        <f>100+Summary!$R$19</f>
        <v>96.66</v>
      </c>
      <c r="I135" s="135">
        <v>2</v>
      </c>
      <c r="J135" s="303">
        <f t="shared" ref="J135:J152" ca="1" si="11">K135/L135</f>
        <v>12.338367096169877</v>
      </c>
      <c r="K135" s="135">
        <f t="shared" ref="K135:K152" ca="1" si="12">SUMIFS(G$102:G$132,C$102:C$132,C135,E$102:E$132,E135,F$102:F$132,F135)/SUMIFS(G$102:G$132,F$102:F$132,"&lt;&gt;Unbilled")*(G$133-SUMIFS(G$102:G$132,F$102:F$132,"Unbilled"))</f>
        <v>68173.617026729815</v>
      </c>
      <c r="L135" s="138">
        <f t="shared" ref="L135:L152" si="13">SUMIFS(G$7:G$31,C$7:C$31,C135,E$7:E$31,E135,F$7:F$31,F135)</f>
        <v>5525.3354431229827</v>
      </c>
    </row>
    <row r="136" spans="1:12">
      <c r="A136" s="208" t="s">
        <v>506</v>
      </c>
      <c r="B136" s="208" t="s">
        <v>403</v>
      </c>
      <c r="C136" s="97" t="s">
        <v>169</v>
      </c>
      <c r="D136" s="59" t="s">
        <v>195</v>
      </c>
      <c r="E136" s="59" t="s">
        <v>195</v>
      </c>
      <c r="F136" s="143" t="s">
        <v>339</v>
      </c>
      <c r="G136" s="316">
        <f t="shared" ca="1" si="10"/>
        <v>14.83</v>
      </c>
      <c r="H136" s="229">
        <f>100+Summary!$R$19</f>
        <v>96.66</v>
      </c>
      <c r="I136" s="135">
        <v>2</v>
      </c>
      <c r="J136" s="303">
        <f t="shared" ca="1" si="11"/>
        <v>15.340483154328856</v>
      </c>
      <c r="K136" s="135">
        <f t="shared" ca="1" si="12"/>
        <v>15541.689232587421</v>
      </c>
      <c r="L136" s="138">
        <f t="shared" si="13"/>
        <v>1013.1160196347394</v>
      </c>
    </row>
    <row r="137" spans="1:12">
      <c r="A137" s="208" t="s">
        <v>506</v>
      </c>
      <c r="B137" s="208" t="s">
        <v>403</v>
      </c>
      <c r="C137" s="97" t="s">
        <v>170</v>
      </c>
      <c r="D137" s="59" t="s">
        <v>195</v>
      </c>
      <c r="E137" s="59" t="s">
        <v>195</v>
      </c>
      <c r="F137" s="95" t="s">
        <v>337</v>
      </c>
      <c r="G137" s="316">
        <f t="shared" ca="1" si="10"/>
        <v>9.98</v>
      </c>
      <c r="H137" s="229">
        <f>100+Summary!$R$19</f>
        <v>96.66</v>
      </c>
      <c r="I137" s="135">
        <v>2</v>
      </c>
      <c r="J137" s="303">
        <f t="shared" ca="1" si="11"/>
        <v>10.325959628612758</v>
      </c>
      <c r="K137" s="135">
        <f t="shared" ca="1" si="12"/>
        <v>3954.1599421279061</v>
      </c>
      <c r="L137" s="138">
        <f t="shared" si="13"/>
        <v>382.93389518695301</v>
      </c>
    </row>
    <row r="138" spans="1:12">
      <c r="A138" s="208" t="s">
        <v>506</v>
      </c>
      <c r="B138" s="208" t="s">
        <v>403</v>
      </c>
      <c r="C138" s="97" t="s">
        <v>170</v>
      </c>
      <c r="D138" s="59" t="s">
        <v>195</v>
      </c>
      <c r="E138" s="59" t="s">
        <v>195</v>
      </c>
      <c r="F138" s="95" t="s">
        <v>338</v>
      </c>
      <c r="G138" s="316">
        <f t="shared" ca="1" si="10"/>
        <v>10.95</v>
      </c>
      <c r="H138" s="229">
        <f>100+Summary!$R$19</f>
        <v>96.66</v>
      </c>
      <c r="I138" s="135">
        <v>2</v>
      </c>
      <c r="J138" s="303">
        <f t="shared" ca="1" si="11"/>
        <v>11.326664981332417</v>
      </c>
      <c r="K138" s="135">
        <f t="shared" ca="1" si="12"/>
        <v>40302.958329176618</v>
      </c>
      <c r="L138" s="138">
        <f t="shared" si="13"/>
        <v>3558.2369917005844</v>
      </c>
    </row>
    <row r="139" spans="1:12">
      <c r="A139" s="208" t="s">
        <v>506</v>
      </c>
      <c r="B139" s="208" t="s">
        <v>403</v>
      </c>
      <c r="C139" s="97" t="s">
        <v>170</v>
      </c>
      <c r="D139" s="59" t="s">
        <v>195</v>
      </c>
      <c r="E139" s="59" t="s">
        <v>195</v>
      </c>
      <c r="F139" s="95" t="s">
        <v>339</v>
      </c>
      <c r="G139" s="316">
        <f t="shared" ca="1" si="10"/>
        <v>11.62</v>
      </c>
      <c r="H139" s="229">
        <f>100+Summary!$R$19</f>
        <v>96.66</v>
      </c>
      <c r="I139" s="135">
        <v>2</v>
      </c>
      <c r="J139" s="303">
        <f t="shared" ca="1" si="11"/>
        <v>12.019460994753718</v>
      </c>
      <c r="K139" s="135">
        <f t="shared" ca="1" si="12"/>
        <v>8056.6652810718379</v>
      </c>
      <c r="L139" s="138">
        <f t="shared" si="13"/>
        <v>670.30171191440525</v>
      </c>
    </row>
    <row r="140" spans="1:12">
      <c r="A140" s="208" t="s">
        <v>506</v>
      </c>
      <c r="B140" s="208" t="s">
        <v>403</v>
      </c>
      <c r="C140" s="97" t="s">
        <v>170</v>
      </c>
      <c r="D140" s="59" t="s">
        <v>195</v>
      </c>
      <c r="E140" s="59" t="s">
        <v>195</v>
      </c>
      <c r="F140" s="95" t="s">
        <v>340</v>
      </c>
      <c r="G140" s="316">
        <f t="shared" ca="1" si="10"/>
        <v>12.3</v>
      </c>
      <c r="H140" s="229">
        <f>100+Summary!$R$19</f>
        <v>96.66</v>
      </c>
      <c r="I140" s="135">
        <v>2</v>
      </c>
      <c r="J140" s="303">
        <f t="shared" ca="1" si="11"/>
        <v>12.723253770292823</v>
      </c>
      <c r="K140" s="135">
        <f t="shared" ca="1" si="12"/>
        <v>29739.412582926951</v>
      </c>
      <c r="L140" s="138">
        <f t="shared" si="13"/>
        <v>2337.4062264139297</v>
      </c>
    </row>
    <row r="141" spans="1:12">
      <c r="A141" s="208" t="s">
        <v>506</v>
      </c>
      <c r="B141" s="208" t="s">
        <v>403</v>
      </c>
      <c r="C141" s="97" t="s">
        <v>170</v>
      </c>
      <c r="D141" s="59" t="s">
        <v>195</v>
      </c>
      <c r="E141" s="59" t="s">
        <v>195</v>
      </c>
      <c r="F141" s="95" t="s">
        <v>341</v>
      </c>
      <c r="G141" s="316">
        <f t="shared" ca="1" si="10"/>
        <v>13.33</v>
      </c>
      <c r="H141" s="229">
        <f>100+Summary!$R$19</f>
        <v>96.66</v>
      </c>
      <c r="I141" s="135">
        <v>2</v>
      </c>
      <c r="J141" s="303">
        <f t="shared" ca="1" si="11"/>
        <v>13.789939695719275</v>
      </c>
      <c r="K141" s="135">
        <f t="shared" ca="1" si="12"/>
        <v>40551.115583051469</v>
      </c>
      <c r="L141" s="138">
        <f t="shared" si="13"/>
        <v>2940.6303782198192</v>
      </c>
    </row>
    <row r="142" spans="1:12">
      <c r="A142" s="208" t="s">
        <v>506</v>
      </c>
      <c r="B142" s="208" t="s">
        <v>403</v>
      </c>
      <c r="C142" s="97" t="s">
        <v>170</v>
      </c>
      <c r="D142" s="59" t="s">
        <v>195</v>
      </c>
      <c r="E142" s="59" t="s">
        <v>195</v>
      </c>
      <c r="F142" s="95" t="s">
        <v>342</v>
      </c>
      <c r="G142" s="316">
        <f t="shared" ca="1" si="10"/>
        <v>16.37</v>
      </c>
      <c r="H142" s="229">
        <f>100+Summary!$R$19</f>
        <v>96.66</v>
      </c>
      <c r="I142" s="135">
        <v>2</v>
      </c>
      <c r="J142" s="303">
        <f t="shared" ca="1" si="11"/>
        <v>16.935013661409634</v>
      </c>
      <c r="K142" s="135">
        <f t="shared" ca="1" si="12"/>
        <v>20775.003982860217</v>
      </c>
      <c r="L142" s="138">
        <f t="shared" si="13"/>
        <v>1226.7485812663319</v>
      </c>
    </row>
    <row r="143" spans="1:12">
      <c r="A143" s="208" t="s">
        <v>506</v>
      </c>
      <c r="B143" s="208" t="s">
        <v>403</v>
      </c>
      <c r="C143" s="97" t="s">
        <v>170</v>
      </c>
      <c r="D143" s="59" t="s">
        <v>195</v>
      </c>
      <c r="E143" s="59" t="s">
        <v>195</v>
      </c>
      <c r="F143" s="95" t="s">
        <v>343</v>
      </c>
      <c r="G143" s="316">
        <f t="shared" ca="1" si="10"/>
        <v>5.0599999999999996</v>
      </c>
      <c r="H143" s="229">
        <f>100+Summary!$R$19</f>
        <v>96.66</v>
      </c>
      <c r="I143" s="135">
        <v>2</v>
      </c>
      <c r="J143" s="303">
        <f t="shared" ca="1" si="11"/>
        <v>5.2344587680720673</v>
      </c>
      <c r="K143" s="135">
        <f t="shared" ca="1" si="12"/>
        <v>139127.18267857304</v>
      </c>
      <c r="L143" s="138">
        <f t="shared" si="13"/>
        <v>26579.096109647213</v>
      </c>
    </row>
    <row r="144" spans="1:12">
      <c r="A144" s="208" t="s">
        <v>506</v>
      </c>
      <c r="B144" s="208" t="s">
        <v>403</v>
      </c>
      <c r="C144" s="97" t="s">
        <v>170</v>
      </c>
      <c r="D144" s="59" t="s">
        <v>195</v>
      </c>
      <c r="E144" s="59" t="s">
        <v>195</v>
      </c>
      <c r="F144" s="95" t="s">
        <v>344</v>
      </c>
      <c r="G144" s="316">
        <f t="shared" ca="1" si="10"/>
        <v>5.7</v>
      </c>
      <c r="H144" s="229">
        <f>100+Summary!$R$19</f>
        <v>96.66</v>
      </c>
      <c r="I144" s="135">
        <v>2</v>
      </c>
      <c r="J144" s="303">
        <f t="shared" ca="1" si="11"/>
        <v>5.8942644951399759</v>
      </c>
      <c r="K144" s="135">
        <f t="shared" ca="1" si="12"/>
        <v>121088.60243713998</v>
      </c>
      <c r="L144" s="138">
        <f t="shared" si="13"/>
        <v>20543.462638465189</v>
      </c>
    </row>
    <row r="145" spans="1:12">
      <c r="A145" s="208" t="s">
        <v>506</v>
      </c>
      <c r="B145" s="208" t="s">
        <v>403</v>
      </c>
      <c r="C145" s="97" t="s">
        <v>170</v>
      </c>
      <c r="D145" s="59" t="s">
        <v>195</v>
      </c>
      <c r="E145" s="59" t="s">
        <v>195</v>
      </c>
      <c r="F145" s="95" t="s">
        <v>345</v>
      </c>
      <c r="G145" s="316">
        <f t="shared" ca="1" si="10"/>
        <v>6.35</v>
      </c>
      <c r="H145" s="229">
        <f>100+Summary!$R$19</f>
        <v>96.66</v>
      </c>
      <c r="I145" s="135">
        <v>2</v>
      </c>
      <c r="J145" s="303">
        <f t="shared" ca="1" si="11"/>
        <v>6.5650669843256813</v>
      </c>
      <c r="K145" s="135">
        <f t="shared" ca="1" si="12"/>
        <v>6460.0064832728976</v>
      </c>
      <c r="L145" s="138">
        <f t="shared" si="13"/>
        <v>983.99704050185335</v>
      </c>
    </row>
    <row r="146" spans="1:12">
      <c r="A146" s="208" t="s">
        <v>506</v>
      </c>
      <c r="B146" s="208" t="s">
        <v>403</v>
      </c>
      <c r="C146" s="97" t="s">
        <v>170</v>
      </c>
      <c r="D146" s="59" t="s">
        <v>195</v>
      </c>
      <c r="E146" s="59" t="s">
        <v>195</v>
      </c>
      <c r="F146" s="95" t="s">
        <v>346</v>
      </c>
      <c r="G146" s="316">
        <f t="shared" ca="1" si="10"/>
        <v>6.98</v>
      </c>
      <c r="H146" s="229">
        <f>100+Summary!$R$19</f>
        <v>96.66</v>
      </c>
      <c r="I146" s="135">
        <v>2</v>
      </c>
      <c r="J146" s="303">
        <f t="shared" ca="1" si="11"/>
        <v>7.2248727113935907</v>
      </c>
      <c r="K146" s="135">
        <f t="shared" ca="1" si="12"/>
        <v>134806.13926097177</v>
      </c>
      <c r="L146" s="138">
        <f t="shared" si="13"/>
        <v>18658.617894870746</v>
      </c>
    </row>
    <row r="147" spans="1:12">
      <c r="A147" s="208" t="s">
        <v>506</v>
      </c>
      <c r="B147" s="208" t="s">
        <v>403</v>
      </c>
      <c r="C147" s="97" t="s">
        <v>170</v>
      </c>
      <c r="D147" s="59" t="s">
        <v>195</v>
      </c>
      <c r="E147" s="59" t="s">
        <v>195</v>
      </c>
      <c r="F147" s="95" t="s">
        <v>347</v>
      </c>
      <c r="G147" s="316">
        <f t="shared" ca="1" si="10"/>
        <v>7.73</v>
      </c>
      <c r="H147" s="229">
        <f>100+Summary!$R$19</f>
        <v>96.66</v>
      </c>
      <c r="I147" s="135">
        <v>2</v>
      </c>
      <c r="J147" s="303">
        <f t="shared" ca="1" si="11"/>
        <v>7.9946460596394813</v>
      </c>
      <c r="K147" s="135">
        <f t="shared" ca="1" si="12"/>
        <v>19507.222456568867</v>
      </c>
      <c r="L147" s="138">
        <f t="shared" si="13"/>
        <v>2440.0357828284577</v>
      </c>
    </row>
    <row r="148" spans="1:12">
      <c r="A148" s="208" t="s">
        <v>506</v>
      </c>
      <c r="B148" s="208" t="s">
        <v>403</v>
      </c>
      <c r="C148" s="97" t="s">
        <v>170</v>
      </c>
      <c r="D148" s="59" t="s">
        <v>195</v>
      </c>
      <c r="E148" s="59" t="s">
        <v>195</v>
      </c>
      <c r="F148" s="95" t="s">
        <v>348</v>
      </c>
      <c r="G148" s="316">
        <f t="shared" ca="1" si="10"/>
        <v>9.56</v>
      </c>
      <c r="H148" s="229">
        <f>100+Summary!$R$19</f>
        <v>96.66</v>
      </c>
      <c r="I148" s="135">
        <v>2</v>
      </c>
      <c r="J148" s="303">
        <f t="shared" ca="1" si="11"/>
        <v>9.8860891439008203</v>
      </c>
      <c r="K148" s="135">
        <f t="shared" ca="1" si="12"/>
        <v>30607.308011489367</v>
      </c>
      <c r="L148" s="138">
        <f t="shared" si="13"/>
        <v>3095.9975745689503</v>
      </c>
    </row>
    <row r="149" spans="1:12">
      <c r="A149" s="208" t="s">
        <v>506</v>
      </c>
      <c r="B149" s="208" t="s">
        <v>403</v>
      </c>
      <c r="C149" s="95" t="s">
        <v>227</v>
      </c>
      <c r="D149" s="97" t="s">
        <v>195</v>
      </c>
      <c r="E149" s="97" t="s">
        <v>195</v>
      </c>
      <c r="F149" s="95" t="s">
        <v>6</v>
      </c>
      <c r="G149" s="316">
        <f t="shared" ca="1" si="10"/>
        <v>6.318E-2</v>
      </c>
      <c r="H149" s="229">
        <f>100+Summary!$R$19</f>
        <v>96.66</v>
      </c>
      <c r="I149" s="135">
        <v>5</v>
      </c>
      <c r="J149" s="303">
        <f t="shared" ca="1" si="11"/>
        <v>6.5364754028194055E-2</v>
      </c>
      <c r="K149" s="135">
        <f t="shared" ca="1" si="12"/>
        <v>138043.10600951558</v>
      </c>
      <c r="L149" s="138">
        <f t="shared" si="13"/>
        <v>2111889.0151406806</v>
      </c>
    </row>
    <row r="150" spans="1:12">
      <c r="A150" s="208" t="s">
        <v>506</v>
      </c>
      <c r="B150" s="208" t="s">
        <v>403</v>
      </c>
      <c r="C150" s="95" t="s">
        <v>171</v>
      </c>
      <c r="D150" s="97" t="s">
        <v>195</v>
      </c>
      <c r="E150" s="95" t="s">
        <v>199</v>
      </c>
      <c r="F150" s="97" t="s">
        <v>335</v>
      </c>
      <c r="G150" s="316">
        <f t="shared" ca="1" si="10"/>
        <v>8.1300000000000008</v>
      </c>
      <c r="H150" s="229">
        <f>100+Summary!$R$19</f>
        <v>96.66</v>
      </c>
      <c r="I150" s="135">
        <v>2</v>
      </c>
      <c r="J150" s="303">
        <f t="shared" ca="1" si="11"/>
        <v>8.4125230201158239</v>
      </c>
      <c r="K150" s="135">
        <f t="shared" ca="1" si="12"/>
        <v>1168.5030374754622</v>
      </c>
      <c r="L150" s="138">
        <f t="shared" si="13"/>
        <v>138.90042674253201</v>
      </c>
    </row>
    <row r="151" spans="1:12">
      <c r="A151" s="208" t="s">
        <v>506</v>
      </c>
      <c r="B151" s="208" t="s">
        <v>403</v>
      </c>
      <c r="C151" s="95" t="s">
        <v>171</v>
      </c>
      <c r="D151" s="97" t="s">
        <v>195</v>
      </c>
      <c r="E151" s="95" t="s">
        <v>200</v>
      </c>
      <c r="F151" s="97" t="s">
        <v>335</v>
      </c>
      <c r="G151" s="316">
        <f t="shared" ca="1" si="10"/>
        <v>14.63</v>
      </c>
      <c r="H151" s="229">
        <f>100+Summary!$R$19</f>
        <v>96.66</v>
      </c>
      <c r="I151" s="135">
        <v>2</v>
      </c>
      <c r="J151" s="303">
        <f t="shared" ca="1" si="11"/>
        <v>15.131544674090684</v>
      </c>
      <c r="K151" s="135">
        <f t="shared" ca="1" si="12"/>
        <v>2542.0995052472349</v>
      </c>
      <c r="L151" s="138">
        <f t="shared" si="13"/>
        <v>168</v>
      </c>
    </row>
    <row r="152" spans="1:12">
      <c r="A152" s="209" t="s">
        <v>506</v>
      </c>
      <c r="B152" s="209" t="s">
        <v>403</v>
      </c>
      <c r="C152" s="147" t="s">
        <v>171</v>
      </c>
      <c r="D152" s="145" t="s">
        <v>195</v>
      </c>
      <c r="E152" s="145" t="s">
        <v>195</v>
      </c>
      <c r="F152" s="147" t="s">
        <v>6</v>
      </c>
      <c r="G152" s="317">
        <f t="shared" ca="1" si="10"/>
        <v>6.6140000000000004E-2</v>
      </c>
      <c r="H152" s="229">
        <f>100+Summary!$R$19</f>
        <v>96.66</v>
      </c>
      <c r="I152" s="135">
        <v>5</v>
      </c>
      <c r="J152" s="303">
        <f t="shared" ca="1" si="11"/>
        <v>6.8421853896942025E-2</v>
      </c>
      <c r="K152" s="135">
        <f t="shared" ca="1" si="12"/>
        <v>21375.981736228096</v>
      </c>
      <c r="L152" s="138">
        <f t="shared" si="13"/>
        <v>312414.5359818064</v>
      </c>
    </row>
    <row r="153" spans="1:12">
      <c r="A153" s="212" t="s">
        <v>506</v>
      </c>
      <c r="B153" s="212" t="s">
        <v>29</v>
      </c>
      <c r="C153" s="140" t="s">
        <v>169</v>
      </c>
      <c r="D153" s="141" t="s">
        <v>4</v>
      </c>
      <c r="E153" s="70" t="s">
        <v>195</v>
      </c>
      <c r="F153" s="141" t="s">
        <v>337</v>
      </c>
      <c r="G153" s="213">
        <f t="shared" ref="G153:G183" ca="1" si="14">IF(F153="Unbilled",SUMIFS(G$51:G$81,C$51:C$81,C153,D$51:D$81,D153,F$51:F$81,F153),SUMIFS(G$134:G$152,C$134:C$152,C153,E$134:E$152,E153,F$134:F$152,F153)*I153)</f>
        <v>114271.08202943983</v>
      </c>
      <c r="H153" s="135">
        <f t="shared" ref="H153:H183" ca="1" si="15">IF(F153="Unbilled",SUMIFS(G$51:G$81,C$51:C$81,C153,D$51:D$81,D153,F$51:F$81,F153),SUMIFS(J$134:J$152,C$134:C$152,C153,E$134:E$152,E153,F$134:F$152,F153)*I153)</f>
        <v>118166.48738529233</v>
      </c>
      <c r="I153" s="135">
        <f t="shared" ref="I153:I183" si="16">SUMIFS(G$7:G$31,C$7:C$31,C153,D$7:D$31,D153,E$7:E$31,E153,F$7:F$31,F153)</f>
        <v>11358.954476087458</v>
      </c>
    </row>
    <row r="154" spans="1:12">
      <c r="A154" s="208" t="s">
        <v>506</v>
      </c>
      <c r="B154" s="208" t="s">
        <v>29</v>
      </c>
      <c r="C154" s="97" t="s">
        <v>169</v>
      </c>
      <c r="D154" s="143" t="s">
        <v>4</v>
      </c>
      <c r="E154" s="59" t="s">
        <v>195</v>
      </c>
      <c r="F154" s="143" t="s">
        <v>338</v>
      </c>
      <c r="G154" s="210">
        <f t="shared" ca="1" si="14"/>
        <v>6279.1558861679778</v>
      </c>
      <c r="H154" s="135">
        <f t="shared" ca="1" si="15"/>
        <v>6494.0930744020443</v>
      </c>
      <c r="I154" s="135">
        <f t="shared" si="16"/>
        <v>526.33326791014065</v>
      </c>
    </row>
    <row r="155" spans="1:12">
      <c r="A155" s="208" t="s">
        <v>506</v>
      </c>
      <c r="B155" s="208" t="s">
        <v>29</v>
      </c>
      <c r="C155" s="97" t="s">
        <v>169</v>
      </c>
      <c r="D155" s="143" t="s">
        <v>4</v>
      </c>
      <c r="E155" s="59" t="s">
        <v>195</v>
      </c>
      <c r="F155" s="143" t="s">
        <v>339</v>
      </c>
      <c r="G155" s="210">
        <f t="shared" ca="1" si="14"/>
        <v>355.92224380697132</v>
      </c>
      <c r="H155" s="135">
        <f t="shared" ca="1" si="15"/>
        <v>368.17391674792793</v>
      </c>
      <c r="I155" s="135">
        <f t="shared" si="16"/>
        <v>24.000151301886131</v>
      </c>
    </row>
    <row r="156" spans="1:12">
      <c r="A156" s="208" t="s">
        <v>506</v>
      </c>
      <c r="B156" s="208" t="s">
        <v>29</v>
      </c>
      <c r="C156" s="97" t="s">
        <v>169</v>
      </c>
      <c r="D156" s="143" t="s">
        <v>4</v>
      </c>
      <c r="E156" s="59" t="s">
        <v>195</v>
      </c>
      <c r="F156" s="85" t="s">
        <v>168</v>
      </c>
      <c r="G156" s="210">
        <f t="shared" si="14"/>
        <v>3473.3244412401559</v>
      </c>
      <c r="H156" s="135">
        <f t="shared" si="15"/>
        <v>3473.3244412401559</v>
      </c>
      <c r="I156" s="135">
        <f t="shared" si="16"/>
        <v>0</v>
      </c>
    </row>
    <row r="157" spans="1:12">
      <c r="A157" s="208" t="s">
        <v>506</v>
      </c>
      <c r="B157" s="208" t="s">
        <v>29</v>
      </c>
      <c r="C157" s="97" t="s">
        <v>169</v>
      </c>
      <c r="D157" s="143" t="s">
        <v>5</v>
      </c>
      <c r="E157" s="59" t="s">
        <v>195</v>
      </c>
      <c r="F157" s="143" t="s">
        <v>337</v>
      </c>
      <c r="G157" s="210">
        <f t="shared" ca="1" si="14"/>
        <v>133721.1996172941</v>
      </c>
      <c r="H157" s="135">
        <f t="shared" ca="1" si="15"/>
        <v>138279.64317037107</v>
      </c>
      <c r="I157" s="135">
        <f t="shared" si="16"/>
        <v>13292.36576712665</v>
      </c>
    </row>
    <row r="158" spans="1:12">
      <c r="A158" s="208" t="s">
        <v>506</v>
      </c>
      <c r="B158" s="208" t="s">
        <v>29</v>
      </c>
      <c r="C158" s="97" t="s">
        <v>169</v>
      </c>
      <c r="D158" s="143" t="s">
        <v>5</v>
      </c>
      <c r="E158" s="59" t="s">
        <v>195</v>
      </c>
      <c r="F158" s="143" t="s">
        <v>338</v>
      </c>
      <c r="G158" s="210">
        <f t="shared" ca="1" si="14"/>
        <v>54484.314752771817</v>
      </c>
      <c r="H158" s="135">
        <f t="shared" ca="1" si="15"/>
        <v>56349.327443668299</v>
      </c>
      <c r="I158" s="135">
        <f t="shared" si="16"/>
        <v>4567.0003983882498</v>
      </c>
    </row>
    <row r="159" spans="1:12">
      <c r="A159" s="208" t="s">
        <v>506</v>
      </c>
      <c r="B159" s="208" t="s">
        <v>29</v>
      </c>
      <c r="C159" s="97" t="s">
        <v>169</v>
      </c>
      <c r="D159" s="143" t="s">
        <v>5</v>
      </c>
      <c r="E159" s="59" t="s">
        <v>195</v>
      </c>
      <c r="F159" s="143" t="s">
        <v>339</v>
      </c>
      <c r="G159" s="210">
        <f t="shared" ca="1" si="14"/>
        <v>14134.694228344721</v>
      </c>
      <c r="H159" s="135">
        <f t="shared" ca="1" si="15"/>
        <v>14621.243337930646</v>
      </c>
      <c r="I159" s="135">
        <f t="shared" si="16"/>
        <v>953.11491762270532</v>
      </c>
    </row>
    <row r="160" spans="1:12">
      <c r="A160" s="208" t="s">
        <v>506</v>
      </c>
      <c r="B160" s="208" t="s">
        <v>29</v>
      </c>
      <c r="C160" s="97" t="s">
        <v>169</v>
      </c>
      <c r="D160" s="143" t="s">
        <v>5</v>
      </c>
      <c r="E160" s="59" t="s">
        <v>195</v>
      </c>
      <c r="F160" s="85" t="s">
        <v>168</v>
      </c>
      <c r="G160" s="210">
        <f t="shared" si="14"/>
        <v>2499.8824946992781</v>
      </c>
      <c r="H160" s="135">
        <f t="shared" si="15"/>
        <v>2499.8824946992781</v>
      </c>
      <c r="I160" s="135">
        <f t="shared" si="16"/>
        <v>0</v>
      </c>
    </row>
    <row r="161" spans="1:9">
      <c r="A161" s="208" t="s">
        <v>506</v>
      </c>
      <c r="B161" s="208" t="s">
        <v>29</v>
      </c>
      <c r="C161" s="97" t="s">
        <v>169</v>
      </c>
      <c r="D161" s="143" t="s">
        <v>7</v>
      </c>
      <c r="E161" s="59" t="s">
        <v>195</v>
      </c>
      <c r="F161" s="143" t="s">
        <v>337</v>
      </c>
      <c r="G161" s="210">
        <f t="shared" ca="1" si="14"/>
        <v>5570.9641075981181</v>
      </c>
      <c r="H161" s="135">
        <f t="shared" ca="1" si="15"/>
        <v>5760.8736020790475</v>
      </c>
      <c r="I161" s="135">
        <f t="shared" si="16"/>
        <v>553.77376815090633</v>
      </c>
    </row>
    <row r="162" spans="1:9">
      <c r="A162" s="208" t="s">
        <v>506</v>
      </c>
      <c r="B162" s="208" t="s">
        <v>29</v>
      </c>
      <c r="C162" s="97" t="s">
        <v>169</v>
      </c>
      <c r="D162" s="143" t="s">
        <v>7</v>
      </c>
      <c r="E162" s="59" t="s">
        <v>195</v>
      </c>
      <c r="F162" s="143" t="s">
        <v>338</v>
      </c>
      <c r="G162" s="210">
        <f t="shared" ca="1" si="14"/>
        <v>5153.7811975173845</v>
      </c>
      <c r="H162" s="135">
        <f t="shared" ca="1" si="15"/>
        <v>5330.196508659471</v>
      </c>
      <c r="I162" s="135">
        <f t="shared" si="16"/>
        <v>432.00177682459218</v>
      </c>
    </row>
    <row r="163" spans="1:9">
      <c r="A163" s="208" t="s">
        <v>506</v>
      </c>
      <c r="B163" s="208" t="s">
        <v>29</v>
      </c>
      <c r="C163" s="97" t="s">
        <v>169</v>
      </c>
      <c r="D163" s="143" t="s">
        <v>7</v>
      </c>
      <c r="E163" s="59" t="s">
        <v>195</v>
      </c>
      <c r="F163" s="143" t="s">
        <v>339</v>
      </c>
      <c r="G163" s="210">
        <f t="shared" ca="1" si="14"/>
        <v>533.89409903149306</v>
      </c>
      <c r="H163" s="135">
        <f t="shared" ca="1" si="15"/>
        <v>552.27197790884702</v>
      </c>
      <c r="I163" s="135">
        <f t="shared" si="16"/>
        <v>36.000950710147876</v>
      </c>
    </row>
    <row r="164" spans="1:9">
      <c r="A164" s="208" t="s">
        <v>506</v>
      </c>
      <c r="B164" s="208" t="s">
        <v>29</v>
      </c>
      <c r="C164" s="97" t="s">
        <v>169</v>
      </c>
      <c r="D164" s="143" t="s">
        <v>7</v>
      </c>
      <c r="E164" s="59" t="s">
        <v>195</v>
      </c>
      <c r="F164" s="85" t="s">
        <v>168</v>
      </c>
      <c r="G164" s="210">
        <f t="shared" si="14"/>
        <v>187.52091162770995</v>
      </c>
      <c r="H164" s="135">
        <f t="shared" si="15"/>
        <v>187.52091162770995</v>
      </c>
      <c r="I164" s="135">
        <f t="shared" si="16"/>
        <v>0</v>
      </c>
    </row>
    <row r="165" spans="1:9">
      <c r="A165" s="208" t="s">
        <v>506</v>
      </c>
      <c r="B165" s="208" t="s">
        <v>29</v>
      </c>
      <c r="C165" s="97" t="s">
        <v>170</v>
      </c>
      <c r="D165" s="208" t="s">
        <v>167</v>
      </c>
      <c r="E165" s="59" t="s">
        <v>195</v>
      </c>
      <c r="F165" s="95" t="s">
        <v>337</v>
      </c>
      <c r="G165" s="210">
        <f t="shared" ca="1" si="14"/>
        <v>3821.680273965791</v>
      </c>
      <c r="H165" s="135">
        <f t="shared" ca="1" si="15"/>
        <v>3954.1599421279061</v>
      </c>
      <c r="I165" s="135">
        <f t="shared" si="16"/>
        <v>382.93389518695301</v>
      </c>
    </row>
    <row r="166" spans="1:9">
      <c r="A166" s="208" t="s">
        <v>506</v>
      </c>
      <c r="B166" s="208" t="s">
        <v>29</v>
      </c>
      <c r="C166" s="97" t="s">
        <v>170</v>
      </c>
      <c r="D166" s="208" t="s">
        <v>167</v>
      </c>
      <c r="E166" s="59" t="s">
        <v>195</v>
      </c>
      <c r="F166" s="95" t="s">
        <v>338</v>
      </c>
      <c r="G166" s="210">
        <f t="shared" ca="1" si="14"/>
        <v>38962.695059121397</v>
      </c>
      <c r="H166" s="135">
        <f t="shared" ca="1" si="15"/>
        <v>40302.958329176618</v>
      </c>
      <c r="I166" s="135">
        <f t="shared" si="16"/>
        <v>3558.2369917005844</v>
      </c>
    </row>
    <row r="167" spans="1:9">
      <c r="A167" s="208" t="s">
        <v>506</v>
      </c>
      <c r="B167" s="208" t="s">
        <v>29</v>
      </c>
      <c r="C167" s="97" t="s">
        <v>170</v>
      </c>
      <c r="D167" s="208" t="s">
        <v>167</v>
      </c>
      <c r="E167" s="59" t="s">
        <v>195</v>
      </c>
      <c r="F167" s="95" t="s">
        <v>339</v>
      </c>
      <c r="G167" s="210">
        <f t="shared" ca="1" si="14"/>
        <v>7788.9058924453884</v>
      </c>
      <c r="H167" s="135">
        <f t="shared" ca="1" si="15"/>
        <v>8056.6652810718379</v>
      </c>
      <c r="I167" s="135">
        <f t="shared" si="16"/>
        <v>670.30171191440525</v>
      </c>
    </row>
    <row r="168" spans="1:9">
      <c r="A168" s="208" t="s">
        <v>506</v>
      </c>
      <c r="B168" s="208" t="s">
        <v>29</v>
      </c>
      <c r="C168" s="97" t="s">
        <v>170</v>
      </c>
      <c r="D168" s="208" t="s">
        <v>167</v>
      </c>
      <c r="E168" s="59" t="s">
        <v>195</v>
      </c>
      <c r="F168" s="95" t="s">
        <v>340</v>
      </c>
      <c r="G168" s="210">
        <f t="shared" ca="1" si="14"/>
        <v>28750.096584891337</v>
      </c>
      <c r="H168" s="135">
        <f t="shared" ca="1" si="15"/>
        <v>29739.412582926951</v>
      </c>
      <c r="I168" s="135">
        <f t="shared" si="16"/>
        <v>2337.4062264139297</v>
      </c>
    </row>
    <row r="169" spans="1:9">
      <c r="A169" s="208" t="s">
        <v>506</v>
      </c>
      <c r="B169" s="208" t="s">
        <v>29</v>
      </c>
      <c r="C169" s="97" t="s">
        <v>170</v>
      </c>
      <c r="D169" s="208" t="s">
        <v>167</v>
      </c>
      <c r="E169" s="59" t="s">
        <v>195</v>
      </c>
      <c r="F169" s="95" t="s">
        <v>341</v>
      </c>
      <c r="G169" s="210">
        <f t="shared" ca="1" si="14"/>
        <v>39198.602941670193</v>
      </c>
      <c r="H169" s="135">
        <f t="shared" ca="1" si="15"/>
        <v>40551.115583051469</v>
      </c>
      <c r="I169" s="135">
        <f t="shared" si="16"/>
        <v>2940.6303782198192</v>
      </c>
    </row>
    <row r="170" spans="1:9">
      <c r="A170" s="208" t="s">
        <v>506</v>
      </c>
      <c r="B170" s="208" t="s">
        <v>29</v>
      </c>
      <c r="C170" s="97" t="s">
        <v>170</v>
      </c>
      <c r="D170" s="208" t="s">
        <v>167</v>
      </c>
      <c r="E170" s="59" t="s">
        <v>195</v>
      </c>
      <c r="F170" s="95" t="s">
        <v>342</v>
      </c>
      <c r="G170" s="210">
        <f t="shared" ca="1" si="14"/>
        <v>20081.874275329854</v>
      </c>
      <c r="H170" s="135">
        <f t="shared" ca="1" si="15"/>
        <v>20775.003982860217</v>
      </c>
      <c r="I170" s="135">
        <f t="shared" si="16"/>
        <v>1226.7485812663319</v>
      </c>
    </row>
    <row r="171" spans="1:9">
      <c r="A171" s="208" t="s">
        <v>506</v>
      </c>
      <c r="B171" s="208" t="s">
        <v>29</v>
      </c>
      <c r="C171" s="97" t="s">
        <v>170</v>
      </c>
      <c r="D171" s="208" t="s">
        <v>167</v>
      </c>
      <c r="E171" s="59" t="s">
        <v>195</v>
      </c>
      <c r="F171" s="95" t="s">
        <v>343</v>
      </c>
      <c r="G171" s="210">
        <f t="shared" ca="1" si="14"/>
        <v>134490.22631481488</v>
      </c>
      <c r="H171" s="135">
        <f t="shared" ca="1" si="15"/>
        <v>139127.18267857304</v>
      </c>
      <c r="I171" s="135">
        <f t="shared" si="16"/>
        <v>26579.096109647213</v>
      </c>
    </row>
    <row r="172" spans="1:9">
      <c r="A172" s="208" t="s">
        <v>506</v>
      </c>
      <c r="B172" s="208" t="s">
        <v>29</v>
      </c>
      <c r="C172" s="97" t="s">
        <v>170</v>
      </c>
      <c r="D172" s="208" t="s">
        <v>167</v>
      </c>
      <c r="E172" s="59" t="s">
        <v>195</v>
      </c>
      <c r="F172" s="95" t="s">
        <v>344</v>
      </c>
      <c r="G172" s="210">
        <f t="shared" ca="1" si="14"/>
        <v>117097.73703925159</v>
      </c>
      <c r="H172" s="135">
        <f t="shared" ca="1" si="15"/>
        <v>121088.60243713997</v>
      </c>
      <c r="I172" s="135">
        <f t="shared" si="16"/>
        <v>20543.462638465189</v>
      </c>
    </row>
    <row r="173" spans="1:9">
      <c r="A173" s="208" t="s">
        <v>506</v>
      </c>
      <c r="B173" s="208" t="s">
        <v>29</v>
      </c>
      <c r="C173" s="97" t="s">
        <v>170</v>
      </c>
      <c r="D173" s="208" t="s">
        <v>167</v>
      </c>
      <c r="E173" s="59" t="s">
        <v>195</v>
      </c>
      <c r="F173" s="95" t="s">
        <v>345</v>
      </c>
      <c r="G173" s="210">
        <f t="shared" ca="1" si="14"/>
        <v>6248.3812071867687</v>
      </c>
      <c r="H173" s="135">
        <f t="shared" ca="1" si="15"/>
        <v>6460.0064832728976</v>
      </c>
      <c r="I173" s="135">
        <f t="shared" si="16"/>
        <v>983.99704050185335</v>
      </c>
    </row>
    <row r="174" spans="1:9">
      <c r="A174" s="208" t="s">
        <v>506</v>
      </c>
      <c r="B174" s="208" t="s">
        <v>29</v>
      </c>
      <c r="C174" s="97" t="s">
        <v>170</v>
      </c>
      <c r="D174" s="208" t="s">
        <v>167</v>
      </c>
      <c r="E174" s="59" t="s">
        <v>195</v>
      </c>
      <c r="F174" s="95" t="s">
        <v>346</v>
      </c>
      <c r="G174" s="210">
        <f t="shared" ca="1" si="14"/>
        <v>130237.15290619781</v>
      </c>
      <c r="H174" s="135">
        <f t="shared" ca="1" si="15"/>
        <v>134806.13926097177</v>
      </c>
      <c r="I174" s="135">
        <f t="shared" si="16"/>
        <v>18658.617894870746</v>
      </c>
    </row>
    <row r="175" spans="1:9">
      <c r="A175" s="208" t="s">
        <v>506</v>
      </c>
      <c r="B175" s="208" t="s">
        <v>29</v>
      </c>
      <c r="C175" s="97" t="s">
        <v>170</v>
      </c>
      <c r="D175" s="208" t="s">
        <v>167</v>
      </c>
      <c r="E175" s="59" t="s">
        <v>195</v>
      </c>
      <c r="F175" s="95" t="s">
        <v>347</v>
      </c>
      <c r="G175" s="210">
        <f t="shared" ca="1" si="14"/>
        <v>18861.476601263981</v>
      </c>
      <c r="H175" s="135">
        <f t="shared" ca="1" si="15"/>
        <v>19507.222456568867</v>
      </c>
      <c r="I175" s="135">
        <f t="shared" si="16"/>
        <v>2440.0357828284577</v>
      </c>
    </row>
    <row r="176" spans="1:9">
      <c r="A176" s="208" t="s">
        <v>506</v>
      </c>
      <c r="B176" s="208" t="s">
        <v>29</v>
      </c>
      <c r="C176" s="97" t="s">
        <v>170</v>
      </c>
      <c r="D176" s="208" t="s">
        <v>167</v>
      </c>
      <c r="E176" s="59" t="s">
        <v>195</v>
      </c>
      <c r="F176" s="95" t="s">
        <v>348</v>
      </c>
      <c r="G176" s="210">
        <f t="shared" ca="1" si="14"/>
        <v>29597.736812879168</v>
      </c>
      <c r="H176" s="135">
        <f t="shared" ca="1" si="15"/>
        <v>30607.308011489371</v>
      </c>
      <c r="I176" s="135">
        <f t="shared" si="16"/>
        <v>3095.9975745689503</v>
      </c>
    </row>
    <row r="177" spans="1:9">
      <c r="A177" s="208" t="s">
        <v>506</v>
      </c>
      <c r="B177" s="208" t="s">
        <v>29</v>
      </c>
      <c r="C177" s="97" t="s">
        <v>170</v>
      </c>
      <c r="D177" s="208" t="s">
        <v>167</v>
      </c>
      <c r="E177" s="59" t="s">
        <v>195</v>
      </c>
      <c r="F177" s="85" t="s">
        <v>168</v>
      </c>
      <c r="G177" s="210">
        <f t="shared" si="14"/>
        <v>-33281.311721933365</v>
      </c>
      <c r="H177" s="135">
        <f t="shared" si="15"/>
        <v>-33281.311721933365</v>
      </c>
      <c r="I177" s="135">
        <f t="shared" si="16"/>
        <v>0</v>
      </c>
    </row>
    <row r="178" spans="1:9">
      <c r="A178" s="208" t="s">
        <v>506</v>
      </c>
      <c r="B178" s="208" t="s">
        <v>29</v>
      </c>
      <c r="C178" s="95" t="s">
        <v>227</v>
      </c>
      <c r="D178" s="97" t="s">
        <v>167</v>
      </c>
      <c r="E178" s="97" t="s">
        <v>195</v>
      </c>
      <c r="F178" s="95" t="s">
        <v>6</v>
      </c>
      <c r="G178" s="210">
        <f t="shared" ca="1" si="14"/>
        <v>133429.1479765882</v>
      </c>
      <c r="H178" s="135">
        <f t="shared" ca="1" si="15"/>
        <v>138043.10600951558</v>
      </c>
      <c r="I178" s="135">
        <f t="shared" si="16"/>
        <v>2111889.0151406806</v>
      </c>
    </row>
    <row r="179" spans="1:9">
      <c r="A179" s="208" t="s">
        <v>506</v>
      </c>
      <c r="B179" s="208" t="s">
        <v>29</v>
      </c>
      <c r="C179" s="95" t="s">
        <v>227</v>
      </c>
      <c r="D179" s="97" t="s">
        <v>167</v>
      </c>
      <c r="E179" s="97" t="s">
        <v>195</v>
      </c>
      <c r="F179" s="85" t="s">
        <v>168</v>
      </c>
      <c r="G179" s="210">
        <f t="shared" si="14"/>
        <v>-7718.6882780666365</v>
      </c>
      <c r="H179" s="135">
        <f t="shared" si="15"/>
        <v>-7718.6882780666365</v>
      </c>
      <c r="I179" s="135">
        <f t="shared" si="16"/>
        <v>0</v>
      </c>
    </row>
    <row r="180" spans="1:9">
      <c r="A180" s="208" t="s">
        <v>506</v>
      </c>
      <c r="B180" s="208" t="s">
        <v>29</v>
      </c>
      <c r="C180" s="95" t="s">
        <v>171</v>
      </c>
      <c r="D180" s="97" t="s">
        <v>5</v>
      </c>
      <c r="E180" s="95" t="s">
        <v>199</v>
      </c>
      <c r="F180" s="97" t="s">
        <v>335</v>
      </c>
      <c r="G180" s="210">
        <f t="shared" ca="1" si="14"/>
        <v>1129.2604694167853</v>
      </c>
      <c r="H180" s="135">
        <f t="shared" ca="1" si="15"/>
        <v>1168.5030374754622</v>
      </c>
      <c r="I180" s="135">
        <f t="shared" si="16"/>
        <v>138.90042674253201</v>
      </c>
    </row>
    <row r="181" spans="1:9">
      <c r="A181" s="208" t="s">
        <v>506</v>
      </c>
      <c r="B181" s="208" t="s">
        <v>29</v>
      </c>
      <c r="C181" s="95" t="s">
        <v>171</v>
      </c>
      <c r="D181" s="97" t="s">
        <v>5</v>
      </c>
      <c r="E181" s="95" t="s">
        <v>200</v>
      </c>
      <c r="F181" s="97" t="s">
        <v>335</v>
      </c>
      <c r="G181" s="210">
        <f t="shared" ca="1" si="14"/>
        <v>2457.84</v>
      </c>
      <c r="H181" s="135">
        <f t="shared" ca="1" si="15"/>
        <v>2542.0995052472349</v>
      </c>
      <c r="I181" s="135">
        <f t="shared" si="16"/>
        <v>168</v>
      </c>
    </row>
    <row r="182" spans="1:9">
      <c r="A182" s="208" t="s">
        <v>506</v>
      </c>
      <c r="B182" s="208" t="s">
        <v>29</v>
      </c>
      <c r="C182" s="95" t="s">
        <v>171</v>
      </c>
      <c r="D182" s="97" t="s">
        <v>5</v>
      </c>
      <c r="E182" s="97" t="s">
        <v>195</v>
      </c>
      <c r="F182" s="95" t="s">
        <v>6</v>
      </c>
      <c r="G182" s="210">
        <f t="shared" ca="1" si="14"/>
        <v>20663.097409836675</v>
      </c>
      <c r="H182" s="135">
        <f t="shared" ca="1" si="15"/>
        <v>21375.981736228096</v>
      </c>
      <c r="I182" s="135">
        <f t="shared" si="16"/>
        <v>312414.5359818064</v>
      </c>
    </row>
    <row r="183" spans="1:9">
      <c r="A183" s="209" t="s">
        <v>506</v>
      </c>
      <c r="B183" s="209" t="s">
        <v>29</v>
      </c>
      <c r="C183" s="145" t="s">
        <v>171</v>
      </c>
      <c r="D183" s="145" t="s">
        <v>5</v>
      </c>
      <c r="E183" s="145" t="s">
        <v>195</v>
      </c>
      <c r="F183" s="257" t="s">
        <v>168</v>
      </c>
      <c r="G183" s="211">
        <f t="shared" si="14"/>
        <v>299.67134569970966</v>
      </c>
      <c r="H183" s="135">
        <f t="shared" si="15"/>
        <v>299.67134569970966</v>
      </c>
      <c r="I183" s="135">
        <f t="shared" si="16"/>
        <v>0</v>
      </c>
    </row>
    <row r="185" spans="1:9">
      <c r="H185" s="547" t="s">
        <v>215</v>
      </c>
      <c r="I185" s="201"/>
    </row>
    <row r="186" spans="1:9">
      <c r="H186" s="548" t="s">
        <v>501</v>
      </c>
      <c r="I186" s="546">
        <f ca="1">SUM(H102:H132)-G82</f>
        <v>0</v>
      </c>
    </row>
    <row r="187" spans="1:9">
      <c r="H187" s="549" t="s">
        <v>503</v>
      </c>
      <c r="I187" s="534">
        <f ca="1">SUM(H153:H183)-G133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30"/>
  <sheetViews>
    <sheetView showGridLines="0" zoomScale="70" zoomScaleNormal="70" workbookViewId="0">
      <pane ySplit="7" topLeftCell="A8" activePane="bottomLeft" state="frozen"/>
      <selection pane="bottomLeft"/>
    </sheetView>
  </sheetViews>
  <sheetFormatPr defaultColWidth="9" defaultRowHeight="15.35"/>
  <cols>
    <col min="1" max="1" width="0.83203125" style="273" customWidth="1"/>
    <col min="2" max="2" width="17.1640625" style="273" bestFit="1" customWidth="1"/>
    <col min="3" max="3" width="30.6640625" style="273" bestFit="1" customWidth="1"/>
    <col min="4" max="29" width="14.1640625" style="273" customWidth="1"/>
    <col min="30" max="30" width="0.83203125" style="273" customWidth="1"/>
    <col min="31" max="31" width="14.1640625" style="273" customWidth="1"/>
    <col min="32" max="32" width="0.83203125" style="273" customWidth="1"/>
    <col min="33" max="33" width="14.1640625" style="273" customWidth="1"/>
    <col min="34" max="16384" width="9" style="273"/>
  </cols>
  <sheetData>
    <row r="2" spans="2:33">
      <c r="B2" s="361" t="s">
        <v>531</v>
      </c>
      <c r="C2" s="356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72"/>
      <c r="U2" s="271"/>
      <c r="V2" s="271"/>
      <c r="W2" s="271"/>
      <c r="X2" s="271"/>
      <c r="Y2" s="271"/>
      <c r="Z2" s="271"/>
      <c r="AA2" s="271"/>
      <c r="AB2" s="272"/>
      <c r="AC2" s="272"/>
      <c r="AD2" s="353"/>
      <c r="AE2" s="274"/>
      <c r="AG2" s="274"/>
    </row>
    <row r="3" spans="2:33">
      <c r="B3" s="274"/>
      <c r="C3" s="363"/>
      <c r="D3" s="351"/>
      <c r="E3" s="351"/>
      <c r="F3" s="351"/>
      <c r="G3" s="351"/>
      <c r="H3" s="351"/>
      <c r="I3" s="351"/>
      <c r="J3" s="351"/>
      <c r="K3" s="364"/>
      <c r="L3" s="351"/>
      <c r="M3" s="351"/>
      <c r="N3" s="351"/>
      <c r="O3" s="351"/>
      <c r="P3" s="351"/>
      <c r="Q3" s="351"/>
      <c r="R3" s="351"/>
      <c r="S3" s="364"/>
      <c r="T3" s="632"/>
      <c r="U3" s="351"/>
      <c r="V3" s="351"/>
      <c r="W3" s="351"/>
      <c r="X3" s="351"/>
      <c r="Y3" s="351"/>
      <c r="Z3" s="351"/>
      <c r="AA3" s="351"/>
      <c r="AB3" s="364"/>
      <c r="AC3" s="633" t="s">
        <v>503</v>
      </c>
      <c r="AD3" s="353"/>
      <c r="AE3" s="283"/>
      <c r="AG3" s="283"/>
    </row>
    <row r="4" spans="2:33">
      <c r="B4" s="283"/>
      <c r="C4" s="367"/>
      <c r="D4" s="351"/>
      <c r="E4" s="351"/>
      <c r="F4" s="351"/>
      <c r="G4" s="369"/>
      <c r="H4" s="352"/>
      <c r="I4" s="351"/>
      <c r="J4" s="351"/>
      <c r="K4" s="364"/>
      <c r="L4" s="351"/>
      <c r="M4" s="351"/>
      <c r="N4" s="351"/>
      <c r="O4" s="351"/>
      <c r="P4" s="351"/>
      <c r="Q4" s="351"/>
      <c r="R4" s="351"/>
      <c r="S4" s="364"/>
      <c r="T4" s="633" t="s">
        <v>501</v>
      </c>
      <c r="U4" s="352"/>
      <c r="V4" s="351"/>
      <c r="W4" s="351"/>
      <c r="X4" s="351"/>
      <c r="Y4" s="351"/>
      <c r="Z4" s="351"/>
      <c r="AA4" s="351"/>
      <c r="AB4" s="364"/>
      <c r="AC4" s="633" t="s">
        <v>499</v>
      </c>
      <c r="AD4" s="353"/>
      <c r="AE4" s="283"/>
      <c r="AG4" s="283"/>
    </row>
    <row r="5" spans="2:33">
      <c r="B5" s="283"/>
      <c r="C5" s="283"/>
      <c r="D5" s="293"/>
      <c r="E5" s="293"/>
      <c r="F5" s="293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1"/>
      <c r="T5" s="633" t="s">
        <v>499</v>
      </c>
      <c r="U5" s="293"/>
      <c r="V5" s="351"/>
      <c r="W5" s="351"/>
      <c r="X5" s="351"/>
      <c r="Y5" s="351"/>
      <c r="Z5" s="351"/>
      <c r="AA5" s="351"/>
      <c r="AB5" s="364"/>
      <c r="AC5" s="633" t="s">
        <v>498</v>
      </c>
      <c r="AE5" s="589"/>
      <c r="AF5" s="353"/>
      <c r="AG5" s="589" t="s">
        <v>493</v>
      </c>
    </row>
    <row r="6" spans="2:33">
      <c r="B6" s="283"/>
      <c r="C6" s="283"/>
      <c r="D6" s="362" t="s">
        <v>497</v>
      </c>
      <c r="E6" s="355"/>
      <c r="F6" s="355"/>
      <c r="G6" s="355"/>
      <c r="H6" s="355"/>
      <c r="I6" s="355"/>
      <c r="J6" s="355"/>
      <c r="K6" s="357"/>
      <c r="L6" s="362" t="s">
        <v>500</v>
      </c>
      <c r="M6" s="355"/>
      <c r="N6" s="355"/>
      <c r="O6" s="355"/>
      <c r="P6" s="355"/>
      <c r="Q6" s="355"/>
      <c r="R6" s="355"/>
      <c r="S6" s="357"/>
      <c r="T6" s="633" t="s">
        <v>498</v>
      </c>
      <c r="U6" s="362" t="s">
        <v>502</v>
      </c>
      <c r="V6" s="355"/>
      <c r="W6" s="355"/>
      <c r="X6" s="355"/>
      <c r="Y6" s="355"/>
      <c r="Z6" s="355"/>
      <c r="AA6" s="355"/>
      <c r="AB6" s="357"/>
      <c r="AC6" s="633" t="s">
        <v>501</v>
      </c>
      <c r="AE6" s="589" t="s">
        <v>215</v>
      </c>
      <c r="AF6" s="353"/>
      <c r="AG6" s="419" t="s">
        <v>495</v>
      </c>
    </row>
    <row r="7" spans="2:33">
      <c r="B7" s="283"/>
      <c r="C7" s="302"/>
      <c r="D7" s="506" t="s">
        <v>443</v>
      </c>
      <c r="E7" s="507" t="s">
        <v>444</v>
      </c>
      <c r="F7" s="507" t="s">
        <v>566</v>
      </c>
      <c r="G7" s="507" t="s">
        <v>427</v>
      </c>
      <c r="H7" s="507" t="s">
        <v>445</v>
      </c>
      <c r="I7" s="507" t="s">
        <v>428</v>
      </c>
      <c r="J7" s="507" t="s">
        <v>504</v>
      </c>
      <c r="K7" s="508" t="s">
        <v>446</v>
      </c>
      <c r="L7" s="276" t="str">
        <f>D7</f>
        <v>Sch.16,17,19</v>
      </c>
      <c r="M7" s="276" t="str">
        <f t="shared" ref="M7:S7" si="0">E7</f>
        <v>Sch.24</v>
      </c>
      <c r="N7" s="276" t="str">
        <f t="shared" si="0"/>
        <v>Sch.29,36</v>
      </c>
      <c r="O7" s="276" t="str">
        <f t="shared" si="0"/>
        <v>Sch.48T</v>
      </c>
      <c r="P7" s="276" t="str">
        <f t="shared" si="0"/>
        <v>Sch.48T-DF</v>
      </c>
      <c r="Q7" s="276" t="str">
        <f t="shared" si="0"/>
        <v>Sch.40</v>
      </c>
      <c r="R7" s="276" t="str">
        <f t="shared" si="0"/>
        <v>Sch.15,51-54</v>
      </c>
      <c r="S7" s="276" t="str">
        <f t="shared" si="0"/>
        <v>Sch.47T</v>
      </c>
      <c r="T7" s="420" t="s">
        <v>497</v>
      </c>
      <c r="U7" s="359" t="str">
        <f>D7</f>
        <v>Sch.16,17,19</v>
      </c>
      <c r="V7" s="359" t="str">
        <f t="shared" ref="V7:AB7" si="1">E7</f>
        <v>Sch.24</v>
      </c>
      <c r="W7" s="359" t="str">
        <f t="shared" si="1"/>
        <v>Sch.29,36</v>
      </c>
      <c r="X7" s="359" t="str">
        <f t="shared" si="1"/>
        <v>Sch.48T</v>
      </c>
      <c r="Y7" s="359" t="str">
        <f t="shared" si="1"/>
        <v>Sch.48T-DF</v>
      </c>
      <c r="Z7" s="359" t="str">
        <f t="shared" si="1"/>
        <v>Sch.40</v>
      </c>
      <c r="AA7" s="359" t="str">
        <f t="shared" si="1"/>
        <v>Sch.15,51-54</v>
      </c>
      <c r="AB7" s="359" t="str">
        <f t="shared" si="1"/>
        <v>Sch.47T</v>
      </c>
      <c r="AC7" s="420" t="s">
        <v>499</v>
      </c>
      <c r="AE7" s="420" t="s">
        <v>507</v>
      </c>
      <c r="AF7" s="353"/>
      <c r="AG7" s="388" t="s">
        <v>496</v>
      </c>
    </row>
    <row r="8" spans="2:33">
      <c r="B8" s="274"/>
      <c r="C8" s="284"/>
      <c r="D8" s="278"/>
      <c r="E8" s="279"/>
      <c r="F8" s="278"/>
      <c r="G8" s="279"/>
      <c r="H8" s="279"/>
      <c r="I8" s="279"/>
      <c r="J8" s="279"/>
      <c r="K8" s="278"/>
      <c r="L8" s="354"/>
      <c r="M8" s="348"/>
      <c r="N8" s="354"/>
      <c r="O8" s="348"/>
      <c r="P8" s="348"/>
      <c r="Q8" s="348"/>
      <c r="R8" s="348"/>
      <c r="S8" s="360"/>
      <c r="T8" s="354"/>
      <c r="U8" s="278"/>
      <c r="V8" s="278"/>
      <c r="W8" s="278"/>
      <c r="X8" s="278"/>
      <c r="Y8" s="278"/>
      <c r="Z8" s="278"/>
      <c r="AA8" s="278"/>
      <c r="AB8" s="280"/>
      <c r="AC8" s="278"/>
      <c r="AE8" s="283"/>
      <c r="AG8" s="283"/>
    </row>
    <row r="9" spans="2:33">
      <c r="B9" s="283" t="s">
        <v>426</v>
      </c>
      <c r="C9" s="281"/>
      <c r="D9" s="282">
        <v>0.44020888594614305</v>
      </c>
      <c r="E9" s="282">
        <v>0.1340264964619067</v>
      </c>
      <c r="F9" s="282">
        <v>0.20194605545646696</v>
      </c>
      <c r="G9" s="282">
        <v>8.0303187099115464E-2</v>
      </c>
      <c r="H9" s="282">
        <v>0.10332073688508948</v>
      </c>
      <c r="I9" s="282">
        <v>3.7909288068277945E-2</v>
      </c>
      <c r="J9" s="282">
        <v>2.2853500830004995E-3</v>
      </c>
      <c r="K9" s="282"/>
      <c r="L9" s="282">
        <v>0.4426418430365322</v>
      </c>
      <c r="M9" s="282">
        <v>0.13422743336783119</v>
      </c>
      <c r="N9" s="282">
        <v>0.20079979949466489</v>
      </c>
      <c r="O9" s="282">
        <v>7.9773428265308005E-2</v>
      </c>
      <c r="P9" s="282">
        <v>0.10216212213700318</v>
      </c>
      <c r="Q9" s="282">
        <v>3.8066847395859207E-2</v>
      </c>
      <c r="R9" s="282">
        <v>2.3285263028015426E-3</v>
      </c>
      <c r="S9" s="283"/>
      <c r="T9" s="283"/>
      <c r="U9" s="319"/>
      <c r="V9" s="319"/>
      <c r="W9" s="319"/>
      <c r="X9" s="319"/>
      <c r="Y9" s="319"/>
      <c r="Z9" s="319"/>
      <c r="AA9" s="319"/>
      <c r="AB9" s="319"/>
      <c r="AC9" s="283"/>
      <c r="AE9" s="283"/>
      <c r="AG9" s="283"/>
    </row>
    <row r="10" spans="2:33">
      <c r="B10" s="283" t="s">
        <v>426</v>
      </c>
      <c r="C10" s="284" t="s">
        <v>195</v>
      </c>
      <c r="D10" s="282">
        <v>178121171.67881858</v>
      </c>
      <c r="E10" s="282">
        <v>54230973.857993789</v>
      </c>
      <c r="F10" s="282">
        <v>81713180.17924425</v>
      </c>
      <c r="G10" s="282">
        <v>32492978.293463629</v>
      </c>
      <c r="H10" s="282">
        <v>41806540.713361792</v>
      </c>
      <c r="I10" s="282">
        <v>15339187.880586414</v>
      </c>
      <c r="J10" s="282">
        <v>924718.34957492596</v>
      </c>
      <c r="K10" s="282"/>
      <c r="L10" s="282">
        <v>190952127.84991863</v>
      </c>
      <c r="M10" s="282">
        <v>57904634.233382113</v>
      </c>
      <c r="N10" s="282">
        <v>86623417.077582374</v>
      </c>
      <c r="O10" s="282">
        <v>34413614.78310626</v>
      </c>
      <c r="P10" s="282">
        <v>44071917.091927506</v>
      </c>
      <c r="Q10" s="282">
        <v>16421731.531100478</v>
      </c>
      <c r="R10" s="282">
        <v>1004507.5025538459</v>
      </c>
      <c r="S10" s="283"/>
      <c r="T10" s="283">
        <f>SUM(L10:S10)-SUM(D10:K10)</f>
        <v>26763199.116527855</v>
      </c>
      <c r="U10" s="319">
        <f>L10*(1+$AC10/SUM($L10:$R10))</f>
        <v>203323001.19371256</v>
      </c>
      <c r="V10" s="319">
        <f t="shared" ref="V10:Z10" si="2">M10*(1+$AC10/SUM($L10:$R10))</f>
        <v>61655998.013328537</v>
      </c>
      <c r="W10" s="319">
        <f t="shared" si="2"/>
        <v>92235333.181055441</v>
      </c>
      <c r="X10" s="319">
        <f t="shared" si="2"/>
        <v>36643107.979005739</v>
      </c>
      <c r="Y10" s="319">
        <f t="shared" si="2"/>
        <v>46927125.4129939</v>
      </c>
      <c r="Z10" s="319">
        <f t="shared" si="2"/>
        <v>17485616.826040477</v>
      </c>
      <c r="AA10" s="319">
        <f>R10*(1+$AC10/SUM($L10:$R10))</f>
        <v>1069584.7301653195</v>
      </c>
      <c r="AB10" s="319"/>
      <c r="AC10" s="282">
        <v>27947817.266730789</v>
      </c>
      <c r="AE10" s="283"/>
      <c r="AG10" s="283"/>
    </row>
    <row r="11" spans="2:33">
      <c r="B11" s="283" t="s">
        <v>426</v>
      </c>
      <c r="C11" s="281"/>
      <c r="D11" s="282">
        <v>13.260873747325867</v>
      </c>
      <c r="E11" s="282">
        <v>24.431821231437556</v>
      </c>
      <c r="F11" s="282">
        <v>34.877641188977108</v>
      </c>
      <c r="G11" s="282">
        <v>41.860380332086038</v>
      </c>
      <c r="H11" s="282">
        <v>51.303368893230328</v>
      </c>
      <c r="I11" s="282">
        <v>21.812835486295143</v>
      </c>
      <c r="J11" s="282">
        <v>45.812139179783877</v>
      </c>
      <c r="K11" s="282"/>
      <c r="L11" s="282">
        <v>14.216120606746021</v>
      </c>
      <c r="M11" s="282">
        <v>26.086857222336938</v>
      </c>
      <c r="N11" s="282">
        <v>36.973477874288413</v>
      </c>
      <c r="O11" s="282">
        <v>44.334717193730278</v>
      </c>
      <c r="P11" s="282">
        <v>54.083351117265941</v>
      </c>
      <c r="Q11" s="282">
        <v>23.352248572517404</v>
      </c>
      <c r="R11" s="282">
        <v>49.765031196026037</v>
      </c>
      <c r="S11" s="283"/>
      <c r="T11" s="283"/>
      <c r="U11" s="319"/>
      <c r="V11" s="319"/>
      <c r="W11" s="319"/>
      <c r="X11" s="319"/>
      <c r="Y11" s="319"/>
      <c r="Z11" s="319"/>
      <c r="AA11" s="319"/>
      <c r="AB11" s="319"/>
      <c r="AC11" s="283"/>
      <c r="AE11" s="283"/>
      <c r="AG11" s="283"/>
    </row>
    <row r="12" spans="2:33">
      <c r="B12" s="283" t="s">
        <v>426</v>
      </c>
      <c r="C12" s="281"/>
      <c r="D12" s="282">
        <v>0.10917853445004772</v>
      </c>
      <c r="E12" s="282">
        <v>9.9004121728399189E-2</v>
      </c>
      <c r="F12" s="282">
        <v>8.7618975867630608E-2</v>
      </c>
      <c r="G12" s="282">
        <v>8.6257696163785882E-2</v>
      </c>
      <c r="H12" s="282">
        <v>7.6826453014961701E-2</v>
      </c>
      <c r="I12" s="282">
        <v>0.10036010617950153</v>
      </c>
      <c r="J12" s="282">
        <v>0.1329971145031815</v>
      </c>
      <c r="K12" s="282"/>
      <c r="L12" s="282">
        <v>0.11704320868921951</v>
      </c>
      <c r="M12" s="282">
        <v>0.10571075989326281</v>
      </c>
      <c r="N12" s="282">
        <v>9.2884098671027746E-2</v>
      </c>
      <c r="O12" s="282">
        <v>9.1356326312995714E-2</v>
      </c>
      <c r="P12" s="282">
        <v>8.0989457868732281E-2</v>
      </c>
      <c r="Q12" s="282">
        <v>0.10744289286647073</v>
      </c>
      <c r="R12" s="282">
        <v>0.14447274610466024</v>
      </c>
      <c r="S12" s="283"/>
      <c r="T12" s="283"/>
      <c r="U12" s="319"/>
      <c r="V12" s="319"/>
      <c r="W12" s="319"/>
      <c r="X12" s="319"/>
      <c r="Y12" s="319"/>
      <c r="Z12" s="319"/>
      <c r="AA12" s="319"/>
      <c r="AB12" s="319"/>
      <c r="AC12" s="283"/>
      <c r="AE12" s="283"/>
      <c r="AG12" s="283"/>
    </row>
    <row r="13" spans="2:33">
      <c r="B13" s="287" t="s">
        <v>426</v>
      </c>
      <c r="C13" s="285"/>
      <c r="D13" s="286">
        <v>1608.4381693005391</v>
      </c>
      <c r="E13" s="286">
        <v>2605.4752212001313</v>
      </c>
      <c r="F13" s="286">
        <v>76326.83765007701</v>
      </c>
      <c r="G13" s="286">
        <v>489024.756925038</v>
      </c>
      <c r="H13" s="286">
        <v>41806540.713361792</v>
      </c>
      <c r="I13" s="286">
        <v>2983.7765496089428</v>
      </c>
      <c r="J13" s="286">
        <v>343.44334239156518</v>
      </c>
      <c r="K13" s="286"/>
      <c r="L13" s="286">
        <v>1724.3019908760725</v>
      </c>
      <c r="M13" s="286">
        <v>2781.9727169715111</v>
      </c>
      <c r="N13" s="286">
        <v>80913.403167913377</v>
      </c>
      <c r="O13" s="286">
        <v>517930.65727083012</v>
      </c>
      <c r="P13" s="286">
        <v>44071917.091927506</v>
      </c>
      <c r="Q13" s="286">
        <v>3194.3527798160167</v>
      </c>
      <c r="R13" s="286">
        <v>373.07728812030388</v>
      </c>
      <c r="S13" s="287"/>
      <c r="T13" s="287"/>
      <c r="U13" s="302"/>
      <c r="V13" s="302"/>
      <c r="W13" s="302"/>
      <c r="X13" s="302"/>
      <c r="Y13" s="302"/>
      <c r="Z13" s="302"/>
      <c r="AA13" s="302"/>
      <c r="AB13" s="302"/>
      <c r="AC13" s="287"/>
      <c r="AE13" s="283"/>
      <c r="AG13" s="283"/>
    </row>
    <row r="14" spans="2:33">
      <c r="B14" s="274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74"/>
      <c r="T14" s="274"/>
      <c r="U14" s="301"/>
      <c r="V14" s="301"/>
      <c r="W14" s="301"/>
      <c r="X14" s="301"/>
      <c r="Y14" s="301"/>
      <c r="Z14" s="301"/>
      <c r="AA14" s="301"/>
      <c r="AB14" s="301"/>
      <c r="AC14" s="274"/>
      <c r="AE14" s="283"/>
      <c r="AG14" s="283"/>
    </row>
    <row r="15" spans="2:33">
      <c r="B15" s="283" t="s">
        <v>426</v>
      </c>
      <c r="C15" s="281"/>
      <c r="D15" s="282">
        <v>0.39943498250628168</v>
      </c>
      <c r="E15" s="282">
        <v>0.12931257949042158</v>
      </c>
      <c r="F15" s="282">
        <v>0.22054964512919098</v>
      </c>
      <c r="G15" s="282">
        <v>8.8499869980162765E-2</v>
      </c>
      <c r="H15" s="282">
        <v>0.12393706445638683</v>
      </c>
      <c r="I15" s="282">
        <v>3.6885572424169732E-2</v>
      </c>
      <c r="J15" s="282">
        <v>1.3802860133864817E-3</v>
      </c>
      <c r="K15" s="282"/>
      <c r="L15" s="282">
        <v>0.40052858454624074</v>
      </c>
      <c r="M15" s="282">
        <v>0.1291846545093901</v>
      </c>
      <c r="N15" s="282">
        <v>0.22014331496884162</v>
      </c>
      <c r="O15" s="282">
        <v>8.8308626449130484E-2</v>
      </c>
      <c r="P15" s="282">
        <v>0.12355165866356431</v>
      </c>
      <c r="Q15" s="282">
        <v>3.6909967239171525E-2</v>
      </c>
      <c r="R15" s="282">
        <v>1.373193623661185E-3</v>
      </c>
      <c r="S15" s="283"/>
      <c r="T15" s="283"/>
      <c r="U15" s="319"/>
      <c r="V15" s="319"/>
      <c r="W15" s="319"/>
      <c r="X15" s="319"/>
      <c r="Y15" s="319"/>
      <c r="Z15" s="319"/>
      <c r="AA15" s="319"/>
      <c r="AB15" s="319"/>
      <c r="AC15" s="283"/>
      <c r="AE15" s="283"/>
      <c r="AG15" s="283"/>
    </row>
    <row r="16" spans="2:33">
      <c r="B16" s="283" t="s">
        <v>426</v>
      </c>
      <c r="C16" s="284" t="s">
        <v>429</v>
      </c>
      <c r="D16" s="282">
        <v>99102148.89560385</v>
      </c>
      <c r="E16" s="282">
        <v>32083205.19731351</v>
      </c>
      <c r="F16" s="282">
        <v>54719653.329617783</v>
      </c>
      <c r="G16" s="282">
        <v>21957333.92449607</v>
      </c>
      <c r="H16" s="282">
        <v>30749508.564257368</v>
      </c>
      <c r="I16" s="282">
        <v>9151525.656424351</v>
      </c>
      <c r="J16" s="282">
        <v>342457.01054738078</v>
      </c>
      <c r="K16" s="282"/>
      <c r="L16" s="282">
        <v>102175766.24031158</v>
      </c>
      <c r="M16" s="282">
        <v>32955303.492110625</v>
      </c>
      <c r="N16" s="282">
        <v>56159067.685784131</v>
      </c>
      <c r="O16" s="282">
        <v>22527734.402006589</v>
      </c>
      <c r="P16" s="282">
        <v>31518313.252255987</v>
      </c>
      <c r="Q16" s="282">
        <v>9415817.8219406307</v>
      </c>
      <c r="R16" s="282">
        <v>350304.86239289434</v>
      </c>
      <c r="S16" s="283"/>
      <c r="T16" s="283"/>
      <c r="U16" s="319"/>
      <c r="V16" s="319"/>
      <c r="W16" s="319"/>
      <c r="X16" s="319"/>
      <c r="Y16" s="319"/>
      <c r="Z16" s="319"/>
      <c r="AA16" s="319"/>
      <c r="AB16" s="319"/>
      <c r="AC16" s="283"/>
      <c r="AE16" s="283"/>
      <c r="AG16" s="283"/>
    </row>
    <row r="17" spans="2:33">
      <c r="B17" s="283" t="s">
        <v>426</v>
      </c>
      <c r="C17" s="281"/>
      <c r="D17" s="282">
        <v>7.3780172913019815</v>
      </c>
      <c r="E17" s="282">
        <v>14.45393800164535</v>
      </c>
      <c r="F17" s="282">
        <v>23.355992639488488</v>
      </c>
      <c r="G17" s="282">
        <v>28.287414617912013</v>
      </c>
      <c r="H17" s="282">
        <v>37.734606935642468</v>
      </c>
      <c r="I17" s="282">
        <v>13.013773945936052</v>
      </c>
      <c r="J17" s="282">
        <v>16.96590993084661</v>
      </c>
      <c r="K17" s="282"/>
      <c r="L17" s="282">
        <v>7.6068438320865601</v>
      </c>
      <c r="M17" s="282">
        <v>14.846830625895798</v>
      </c>
      <c r="N17" s="282">
        <v>23.970377948278422</v>
      </c>
      <c r="O17" s="282">
        <v>29.022255872368426</v>
      </c>
      <c r="P17" s="282">
        <v>38.678054296802195</v>
      </c>
      <c r="Q17" s="282">
        <v>13.389606198047623</v>
      </c>
      <c r="R17" s="282">
        <v>17.354706023380363</v>
      </c>
      <c r="S17" s="283"/>
      <c r="T17" s="283"/>
      <c r="U17" s="319"/>
      <c r="V17" s="319"/>
      <c r="W17" s="319"/>
      <c r="X17" s="319"/>
      <c r="Y17" s="319"/>
      <c r="Z17" s="319"/>
      <c r="AA17" s="319"/>
      <c r="AB17" s="319"/>
      <c r="AC17" s="283"/>
      <c r="AE17" s="283"/>
      <c r="AG17" s="283"/>
    </row>
    <row r="18" spans="2:33">
      <c r="B18" s="283" t="s">
        <v>426</v>
      </c>
      <c r="C18" s="281"/>
      <c r="D18" s="282">
        <v>6.0744196073346919E-2</v>
      </c>
      <c r="E18" s="282">
        <v>5.8571132451161599E-2</v>
      </c>
      <c r="F18" s="282">
        <v>5.8674499928357049E-2</v>
      </c>
      <c r="G18" s="282">
        <v>5.828917931499588E-2</v>
      </c>
      <c r="H18" s="282">
        <v>5.6507322410199845E-2</v>
      </c>
      <c r="I18" s="282">
        <v>5.9875926530998859E-2</v>
      </c>
      <c r="J18" s="282">
        <v>4.925369358694321E-2</v>
      </c>
      <c r="K18" s="282"/>
      <c r="L18" s="282">
        <v>6.2628155369103905E-2</v>
      </c>
      <c r="M18" s="282">
        <v>6.0163235996329556E-2</v>
      </c>
      <c r="N18" s="282">
        <v>6.0217947527138618E-2</v>
      </c>
      <c r="O18" s="282">
        <v>5.9803396652551487E-2</v>
      </c>
      <c r="P18" s="282">
        <v>5.7920128546090695E-2</v>
      </c>
      <c r="Q18" s="282">
        <v>6.1605117802408613E-2</v>
      </c>
      <c r="R18" s="282">
        <v>5.0382406617220543E-2</v>
      </c>
      <c r="S18" s="283"/>
      <c r="T18" s="283"/>
      <c r="U18" s="319"/>
      <c r="V18" s="319"/>
      <c r="W18" s="319"/>
      <c r="X18" s="319"/>
      <c r="Y18" s="319"/>
      <c r="Z18" s="319"/>
      <c r="AA18" s="319"/>
      <c r="AB18" s="319"/>
      <c r="AC18" s="283"/>
      <c r="AE18" s="283"/>
      <c r="AG18" s="283"/>
    </row>
    <row r="19" spans="2:33">
      <c r="B19" s="287" t="s">
        <v>426</v>
      </c>
      <c r="C19" s="285"/>
      <c r="D19" s="286">
        <v>894.89462392947883</v>
      </c>
      <c r="E19" s="286">
        <v>1541.4068789760067</v>
      </c>
      <c r="F19" s="286">
        <v>51112.661223031369</v>
      </c>
      <c r="G19" s="286">
        <v>330461.54735863657</v>
      </c>
      <c r="H19" s="286">
        <v>30749508.564257368</v>
      </c>
      <c r="I19" s="286">
        <v>1780.1534122509006</v>
      </c>
      <c r="J19" s="286">
        <v>127.18962523224606</v>
      </c>
      <c r="K19" s="286"/>
      <c r="L19" s="286">
        <v>922.64945738614631</v>
      </c>
      <c r="M19" s="286">
        <v>1583.3060066496996</v>
      </c>
      <c r="N19" s="286">
        <v>52457.192737204474</v>
      </c>
      <c r="O19" s="286">
        <v>339046.16992986511</v>
      </c>
      <c r="P19" s="286">
        <v>31518313.252255987</v>
      </c>
      <c r="Q19" s="286">
        <v>1831.5634850560518</v>
      </c>
      <c r="R19" s="286">
        <v>130.10434242116739</v>
      </c>
      <c r="S19" s="287"/>
      <c r="T19" s="287"/>
      <c r="U19" s="302"/>
      <c r="V19" s="302"/>
      <c r="W19" s="302"/>
      <c r="X19" s="302"/>
      <c r="Y19" s="302"/>
      <c r="Z19" s="302"/>
      <c r="AA19" s="302"/>
      <c r="AB19" s="302"/>
      <c r="AC19" s="287"/>
      <c r="AE19" s="283"/>
      <c r="AG19" s="283"/>
    </row>
    <row r="20" spans="2:33">
      <c r="B20" s="274"/>
      <c r="C20" s="288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74"/>
      <c r="T20" s="274"/>
      <c r="U20" s="301"/>
      <c r="V20" s="301"/>
      <c r="W20" s="301"/>
      <c r="X20" s="301"/>
      <c r="Y20" s="301"/>
      <c r="Z20" s="301"/>
      <c r="AA20" s="301"/>
      <c r="AB20" s="301"/>
      <c r="AC20" s="274"/>
      <c r="AE20" s="283"/>
      <c r="AG20" s="283"/>
    </row>
    <row r="21" spans="2:33">
      <c r="B21" s="283" t="s">
        <v>426</v>
      </c>
      <c r="C21" s="281"/>
      <c r="D21" s="282">
        <v>0.44889731064364491</v>
      </c>
      <c r="E21" s="282">
        <v>0.12081710740416875</v>
      </c>
      <c r="F21" s="282">
        <v>0.2048411887386708</v>
      </c>
      <c r="G21" s="282">
        <v>8.0592939665443314E-2</v>
      </c>
      <c r="H21" s="282">
        <v>0.10624545589953294</v>
      </c>
      <c r="I21" s="282">
        <v>3.8371572105538529E-2</v>
      </c>
      <c r="J21" s="282">
        <v>2.3442554300087939E-4</v>
      </c>
      <c r="K21" s="282"/>
      <c r="L21" s="282">
        <v>0.44988415013694588</v>
      </c>
      <c r="M21" s="282">
        <v>0.1209604709955462</v>
      </c>
      <c r="N21" s="282">
        <v>0.20421962017001744</v>
      </c>
      <c r="O21" s="282">
        <v>8.0349428304894235E-2</v>
      </c>
      <c r="P21" s="282">
        <v>0.10592245024851728</v>
      </c>
      <c r="Q21" s="282">
        <v>3.8357065822521026E-2</v>
      </c>
      <c r="R21" s="282">
        <v>3.0681432155793537E-4</v>
      </c>
      <c r="S21" s="283"/>
      <c r="T21" s="283"/>
      <c r="U21" s="319"/>
      <c r="V21" s="319"/>
      <c r="W21" s="319"/>
      <c r="X21" s="319"/>
      <c r="Y21" s="319"/>
      <c r="Z21" s="319"/>
      <c r="AA21" s="319"/>
      <c r="AB21" s="319"/>
      <c r="AC21" s="283"/>
      <c r="AE21" s="283"/>
      <c r="AG21" s="283"/>
    </row>
    <row r="22" spans="2:33">
      <c r="B22" s="283" t="s">
        <v>426</v>
      </c>
      <c r="C22" s="220" t="s">
        <v>439</v>
      </c>
      <c r="D22" s="282">
        <v>19429677.200133171</v>
      </c>
      <c r="E22" s="282">
        <v>5229341.6366228145</v>
      </c>
      <c r="F22" s="282">
        <v>8866166.2258062214</v>
      </c>
      <c r="G22" s="282">
        <v>3488314.0646668985</v>
      </c>
      <c r="H22" s="282">
        <v>4598635.0623242129</v>
      </c>
      <c r="I22" s="282">
        <v>1660841.4485781966</v>
      </c>
      <c r="J22" s="282">
        <v>10146.669449728208</v>
      </c>
      <c r="K22" s="282"/>
      <c r="L22" s="282">
        <v>21799060.518397648</v>
      </c>
      <c r="M22" s="282">
        <v>5861119.1942706555</v>
      </c>
      <c r="N22" s="282">
        <v>9895427.2067047767</v>
      </c>
      <c r="O22" s="282">
        <v>3893317.9790927698</v>
      </c>
      <c r="P22" s="282">
        <v>5132454.4385960773</v>
      </c>
      <c r="Q22" s="282">
        <v>1858585.1466844792</v>
      </c>
      <c r="R22" s="282">
        <v>14866.636136251131</v>
      </c>
      <c r="S22" s="283"/>
      <c r="T22" s="283"/>
      <c r="U22" s="319">
        <f>U$10*L22/L$10</f>
        <v>23211317.190911658</v>
      </c>
      <c r="V22" s="319">
        <f t="shared" ref="V22:AA22" si="3">V$10*M22/M$10</f>
        <v>6240833.0210900651</v>
      </c>
      <c r="W22" s="319">
        <f t="shared" si="3"/>
        <v>10536504.517731607</v>
      </c>
      <c r="X22" s="319">
        <f t="shared" si="3"/>
        <v>4145547.3946472658</v>
      </c>
      <c r="Y22" s="319">
        <f t="shared" si="3"/>
        <v>5464961.5675690947</v>
      </c>
      <c r="Z22" s="319">
        <f t="shared" si="3"/>
        <v>1978993.9722219533</v>
      </c>
      <c r="AA22" s="319">
        <f t="shared" si="3"/>
        <v>15829.774252388708</v>
      </c>
      <c r="AB22" s="319"/>
      <c r="AC22" s="283"/>
      <c r="AE22" s="283"/>
      <c r="AG22" s="283"/>
    </row>
    <row r="23" spans="2:33">
      <c r="B23" s="283" t="s">
        <v>426</v>
      </c>
      <c r="C23" s="281"/>
      <c r="D23" s="282">
        <v>1.4465124716721203</v>
      </c>
      <c r="E23" s="282">
        <v>2.355892415995203</v>
      </c>
      <c r="F23" s="282">
        <v>3.7843462176747309</v>
      </c>
      <c r="G23" s="282">
        <v>4.4939602687666067</v>
      </c>
      <c r="H23" s="282">
        <v>5.6432669860282934</v>
      </c>
      <c r="I23" s="282">
        <v>2.3617717944837726</v>
      </c>
      <c r="J23" s="282">
        <v>0.50268347465570185</v>
      </c>
      <c r="K23" s="282"/>
      <c r="L23" s="282">
        <v>1.6229097676610598</v>
      </c>
      <c r="M23" s="282">
        <v>2.6405171470004913</v>
      </c>
      <c r="N23" s="282">
        <v>4.2236657387464716</v>
      </c>
      <c r="O23" s="282">
        <v>5.015722778215026</v>
      </c>
      <c r="P23" s="282">
        <v>6.298349466327279</v>
      </c>
      <c r="Q23" s="282">
        <v>2.6429699119345029</v>
      </c>
      <c r="R23" s="282">
        <v>0.73651875094964459</v>
      </c>
      <c r="S23" s="283"/>
      <c r="T23" s="283"/>
      <c r="U23" s="319"/>
      <c r="V23" s="319"/>
      <c r="W23" s="319"/>
      <c r="X23" s="319"/>
      <c r="Y23" s="319"/>
      <c r="Z23" s="319"/>
      <c r="AA23" s="319"/>
      <c r="AB23" s="319"/>
      <c r="AC23" s="283"/>
      <c r="AE23" s="283"/>
      <c r="AG23" s="283"/>
    </row>
    <row r="24" spans="2:33">
      <c r="B24" s="283" t="s">
        <v>426</v>
      </c>
      <c r="C24" s="281"/>
      <c r="D24" s="282">
        <v>1.1909329259146697E-2</v>
      </c>
      <c r="E24" s="282">
        <v>9.5466914775914E-3</v>
      </c>
      <c r="F24" s="282">
        <v>9.5069657413069455E-3</v>
      </c>
      <c r="G24" s="282">
        <v>9.2602756200537914E-3</v>
      </c>
      <c r="H24" s="282">
        <v>8.4507547029761629E-3</v>
      </c>
      <c r="I24" s="282">
        <v>1.0866430832207312E-2</v>
      </c>
      <c r="J24" s="282">
        <v>1.4593392239396605E-3</v>
      </c>
      <c r="K24" s="282"/>
      <c r="L24" s="282">
        <v>1.3361631620513145E-2</v>
      </c>
      <c r="M24" s="282">
        <v>1.0700065237509927E-2</v>
      </c>
      <c r="N24" s="282">
        <v>1.0610616252142791E-2</v>
      </c>
      <c r="O24" s="282">
        <v>1.033542189566369E-2</v>
      </c>
      <c r="P24" s="282">
        <v>9.4317363515371705E-3</v>
      </c>
      <c r="Q24" s="282">
        <v>1.2160213703423772E-2</v>
      </c>
      <c r="R24" s="282">
        <v>2.1381858696748204E-3</v>
      </c>
      <c r="S24" s="283"/>
      <c r="T24" s="283"/>
      <c r="U24" s="319"/>
      <c r="V24" s="319"/>
      <c r="W24" s="319"/>
      <c r="X24" s="319"/>
      <c r="Y24" s="319"/>
      <c r="Z24" s="319"/>
      <c r="AA24" s="319"/>
      <c r="AB24" s="319"/>
      <c r="AC24" s="283"/>
      <c r="AE24" s="283"/>
      <c r="AG24" s="283"/>
    </row>
    <row r="25" spans="2:33">
      <c r="B25" s="287" t="s">
        <v>426</v>
      </c>
      <c r="C25" s="285"/>
      <c r="D25" s="286">
        <v>175.45042024669607</v>
      </c>
      <c r="E25" s="286">
        <v>251.23871264212113</v>
      </c>
      <c r="F25" s="286">
        <v>8281.7291973125411</v>
      </c>
      <c r="G25" s="286">
        <v>52499.71000334798</v>
      </c>
      <c r="H25" s="286">
        <v>4598635.0623242129</v>
      </c>
      <c r="I25" s="286">
        <v>323.06663204497625</v>
      </c>
      <c r="J25" s="286">
        <v>3.7685053741595294</v>
      </c>
      <c r="K25" s="286"/>
      <c r="L25" s="286">
        <v>196.84600467319208</v>
      </c>
      <c r="M25" s="286">
        <v>281.59186056957901</v>
      </c>
      <c r="N25" s="286">
        <v>9243.1436914770693</v>
      </c>
      <c r="O25" s="286">
        <v>58595.086641864444</v>
      </c>
      <c r="P25" s="286">
        <v>5132454.4385960773</v>
      </c>
      <c r="Q25" s="286">
        <v>361.53170684787511</v>
      </c>
      <c r="R25" s="286">
        <v>5.5215160455076573</v>
      </c>
      <c r="S25" s="287"/>
      <c r="T25" s="287"/>
      <c r="U25" s="302"/>
      <c r="V25" s="302"/>
      <c r="W25" s="302"/>
      <c r="X25" s="302"/>
      <c r="Y25" s="302"/>
      <c r="Z25" s="302"/>
      <c r="AA25" s="302"/>
      <c r="AB25" s="302"/>
      <c r="AC25" s="287"/>
      <c r="AE25" s="283"/>
      <c r="AG25" s="283"/>
    </row>
    <row r="26" spans="2:33">
      <c r="B26" s="274"/>
      <c r="C26" s="288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74"/>
      <c r="T26" s="274"/>
      <c r="U26" s="301"/>
      <c r="V26" s="301"/>
      <c r="W26" s="301"/>
      <c r="X26" s="301"/>
      <c r="Y26" s="301"/>
      <c r="Z26" s="301"/>
      <c r="AA26" s="301"/>
      <c r="AB26" s="301"/>
      <c r="AC26" s="274"/>
      <c r="AE26" s="283"/>
      <c r="AG26" s="283"/>
    </row>
    <row r="27" spans="2:33">
      <c r="B27" s="283" t="s">
        <v>426</v>
      </c>
      <c r="C27" s="281"/>
      <c r="D27" s="282">
        <v>0.3889826064218232</v>
      </c>
      <c r="E27" s="282">
        <v>0.131107842119668</v>
      </c>
      <c r="F27" s="282">
        <v>0.22386915514990927</v>
      </c>
      <c r="G27" s="282">
        <v>9.0170761999105647E-2</v>
      </c>
      <c r="H27" s="282">
        <v>0.12767565406870182</v>
      </c>
      <c r="I27" s="282">
        <v>3.6571551064562134E-2</v>
      </c>
      <c r="J27" s="282">
        <v>1.622429176229994E-3</v>
      </c>
      <c r="K27" s="282"/>
      <c r="L27" s="282">
        <v>0.38895566028679868</v>
      </c>
      <c r="M27" s="282">
        <v>0.13111306626523456</v>
      </c>
      <c r="N27" s="282">
        <v>0.22387711300421401</v>
      </c>
      <c r="O27" s="282">
        <v>9.0174904267786168E-2</v>
      </c>
      <c r="P27" s="282">
        <v>0.12768536661117785</v>
      </c>
      <c r="Q27" s="282">
        <v>3.6570650647402933E-2</v>
      </c>
      <c r="R27" s="282">
        <v>1.6232389173859072E-3</v>
      </c>
      <c r="S27" s="283"/>
      <c r="T27" s="283"/>
      <c r="U27" s="319"/>
      <c r="V27" s="319"/>
      <c r="W27" s="319"/>
      <c r="X27" s="319"/>
      <c r="Y27" s="319"/>
      <c r="Z27" s="319"/>
      <c r="AA27" s="319"/>
      <c r="AB27" s="319"/>
      <c r="AC27" s="283"/>
      <c r="AE27" s="283"/>
      <c r="AG27" s="283"/>
    </row>
    <row r="28" spans="2:33">
      <c r="B28" s="283" t="s">
        <v>426</v>
      </c>
      <c r="C28" s="220" t="s">
        <v>440</v>
      </c>
      <c r="D28" s="282">
        <v>79672471.695470676</v>
      </c>
      <c r="E28" s="282">
        <v>26853863.560690694</v>
      </c>
      <c r="F28" s="282">
        <v>45853487.103811562</v>
      </c>
      <c r="G28" s="282">
        <v>18469019.859829172</v>
      </c>
      <c r="H28" s="282">
        <v>26150873.501933157</v>
      </c>
      <c r="I28" s="282">
        <v>7490684.2078461535</v>
      </c>
      <c r="J28" s="282">
        <v>332310.34109765256</v>
      </c>
      <c r="K28" s="282"/>
      <c r="L28" s="282">
        <v>80376705.721913934</v>
      </c>
      <c r="M28" s="282">
        <v>27094184.297839969</v>
      </c>
      <c r="N28" s="282">
        <v>46263640.479079358</v>
      </c>
      <c r="O28" s="282">
        <v>18634416.42291382</v>
      </c>
      <c r="P28" s="282">
        <v>26385858.81365991</v>
      </c>
      <c r="Q28" s="282">
        <v>7557232.6752561517</v>
      </c>
      <c r="R28" s="282">
        <v>335438.22625664319</v>
      </c>
      <c r="S28" s="283"/>
      <c r="T28" s="283"/>
      <c r="U28" s="319">
        <f>U$10*L28/L$10</f>
        <v>85583927.330141842</v>
      </c>
      <c r="V28" s="319">
        <f t="shared" ref="V28" si="4">V$10*M28/M$10</f>
        <v>28849486.666428532</v>
      </c>
      <c r="W28" s="319">
        <f t="shared" ref="W28" si="5">W$10*N28/N$10</f>
        <v>49260840.055924773</v>
      </c>
      <c r="X28" s="319">
        <f t="shared" ref="X28" si="6">X$10*O28/O$10</f>
        <v>19841650.969074853</v>
      </c>
      <c r="Y28" s="319">
        <f>Y$10*P28/P$10</f>
        <v>28095272.168338869</v>
      </c>
      <c r="Z28" s="319">
        <f t="shared" ref="Z28" si="7">Z$10*Q28/Q$10</f>
        <v>8046829.5669370554</v>
      </c>
      <c r="AA28" s="319">
        <f t="shared" ref="AA28" si="8">AA$10*R28/R$10</f>
        <v>357169.66155622416</v>
      </c>
      <c r="AB28" s="319"/>
      <c r="AC28" s="283"/>
      <c r="AE28" s="283"/>
      <c r="AG28" s="283"/>
    </row>
    <row r="29" spans="2:33">
      <c r="B29" s="283" t="s">
        <v>426</v>
      </c>
      <c r="C29" s="281"/>
      <c r="D29" s="282">
        <v>5.9315048196298612</v>
      </c>
      <c r="E29" s="282">
        <v>12.098045585650146</v>
      </c>
      <c r="F29" s="282">
        <v>19.571646421813757</v>
      </c>
      <c r="G29" s="282">
        <v>23.793454349145406</v>
      </c>
      <c r="H29" s="282">
        <v>32.091339949614174</v>
      </c>
      <c r="I29" s="282">
        <v>10.652002151452278</v>
      </c>
      <c r="J29" s="282">
        <v>16.46322645619091</v>
      </c>
      <c r="K29" s="282"/>
      <c r="L29" s="282">
        <v>5.983934064425501</v>
      </c>
      <c r="M29" s="282">
        <v>12.206313478895307</v>
      </c>
      <c r="N29" s="282">
        <v>19.746712209531953</v>
      </c>
      <c r="O29" s="282">
        <v>24.006533094153401</v>
      </c>
      <c r="P29" s="282">
        <v>32.379704830474914</v>
      </c>
      <c r="Q29" s="282">
        <v>10.746636286113119</v>
      </c>
      <c r="R29" s="282">
        <v>16.618187272430717</v>
      </c>
      <c r="S29" s="283"/>
      <c r="T29" s="283"/>
      <c r="U29" s="319"/>
      <c r="V29" s="319"/>
      <c r="W29" s="319"/>
      <c r="X29" s="319"/>
      <c r="Y29" s="319"/>
      <c r="Z29" s="319"/>
      <c r="AA29" s="319"/>
      <c r="AB29" s="319"/>
      <c r="AC29" s="283"/>
      <c r="AE29" s="283"/>
      <c r="AG29" s="283"/>
    </row>
    <row r="30" spans="2:33">
      <c r="B30" s="283" t="s">
        <v>426</v>
      </c>
      <c r="C30" s="281"/>
      <c r="D30" s="282">
        <v>4.8834866814200219E-2</v>
      </c>
      <c r="E30" s="282">
        <v>4.9024440973570192E-2</v>
      </c>
      <c r="F30" s="282">
        <v>4.9167534187050103E-2</v>
      </c>
      <c r="G30" s="282">
        <v>4.9028903694942089E-2</v>
      </c>
      <c r="H30" s="282">
        <v>4.8056567707223684E-2</v>
      </c>
      <c r="I30" s="282">
        <v>4.9009495698791546E-2</v>
      </c>
      <c r="J30" s="282">
        <v>4.7794354363003548E-2</v>
      </c>
      <c r="K30" s="282"/>
      <c r="L30" s="282">
        <v>4.9266523748590765E-2</v>
      </c>
      <c r="M30" s="282">
        <v>4.9463170758819633E-2</v>
      </c>
      <c r="N30" s="282">
        <v>4.9607331274995836E-2</v>
      </c>
      <c r="O30" s="282">
        <v>4.94679747568878E-2</v>
      </c>
      <c r="P30" s="282">
        <v>4.8488392194553524E-2</v>
      </c>
      <c r="Q30" s="282">
        <v>4.9444904098984839E-2</v>
      </c>
      <c r="R30" s="282">
        <v>4.8244220747545724E-2</v>
      </c>
      <c r="S30" s="283"/>
      <c r="T30" s="283"/>
      <c r="U30" s="319"/>
      <c r="V30" s="319"/>
      <c r="W30" s="319"/>
      <c r="X30" s="319"/>
      <c r="Y30" s="319"/>
      <c r="Z30" s="319"/>
      <c r="AA30" s="319"/>
      <c r="AB30" s="319"/>
      <c r="AC30" s="283"/>
      <c r="AE30" s="283"/>
      <c r="AG30" s="283"/>
    </row>
    <row r="31" spans="2:33">
      <c r="B31" s="287" t="s">
        <v>426</v>
      </c>
      <c r="C31" s="285"/>
      <c r="D31" s="286">
        <v>719.4442036827827</v>
      </c>
      <c r="E31" s="286">
        <v>1290.1681663338857</v>
      </c>
      <c r="F31" s="286">
        <v>42830.932025718823</v>
      </c>
      <c r="G31" s="286">
        <v>277961.83735528862</v>
      </c>
      <c r="H31" s="286">
        <v>26150873.501933157</v>
      </c>
      <c r="I31" s="286">
        <v>1457.0867802059242</v>
      </c>
      <c r="J31" s="286">
        <v>123.42111985808653</v>
      </c>
      <c r="K31" s="286"/>
      <c r="L31" s="286">
        <v>725.80345271295425</v>
      </c>
      <c r="M31" s="286">
        <v>1301.7141460801204</v>
      </c>
      <c r="N31" s="286">
        <v>43214.049045727406</v>
      </c>
      <c r="O31" s="286">
        <v>280451.08328800072</v>
      </c>
      <c r="P31" s="286">
        <v>26385858.81365991</v>
      </c>
      <c r="Q31" s="286">
        <v>1470.0317782081768</v>
      </c>
      <c r="R31" s="286">
        <v>124.58282637565972</v>
      </c>
      <c r="S31" s="287"/>
      <c r="T31" s="287"/>
      <c r="U31" s="302"/>
      <c r="V31" s="302"/>
      <c r="W31" s="302"/>
      <c r="X31" s="302"/>
      <c r="Y31" s="302"/>
      <c r="Z31" s="302"/>
      <c r="AA31" s="302"/>
      <c r="AB31" s="302"/>
      <c r="AC31" s="287"/>
      <c r="AE31" s="283"/>
      <c r="AG31" s="283"/>
    </row>
    <row r="32" spans="2:33">
      <c r="B32" s="274"/>
      <c r="C32" s="288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74"/>
      <c r="T32" s="274"/>
      <c r="U32" s="301"/>
      <c r="V32" s="301"/>
      <c r="W32" s="301"/>
      <c r="X32" s="301"/>
      <c r="Y32" s="301"/>
      <c r="Z32" s="301"/>
      <c r="AA32" s="301"/>
      <c r="AB32" s="301"/>
      <c r="AC32" s="274"/>
      <c r="AE32" s="283"/>
      <c r="AG32" s="283"/>
    </row>
    <row r="33" spans="2:33">
      <c r="B33" s="283" t="s">
        <v>426</v>
      </c>
      <c r="C33" s="281"/>
      <c r="D33" s="282">
        <v>0.34605097286651781</v>
      </c>
      <c r="E33" s="282">
        <v>0.12684394942473762</v>
      </c>
      <c r="F33" s="282">
        <v>0.25427815276758325</v>
      </c>
      <c r="G33" s="282">
        <v>0.10263915942336757</v>
      </c>
      <c r="H33" s="282">
        <v>0.1349817773039397</v>
      </c>
      <c r="I33" s="282">
        <v>3.6941665059792309E-2</v>
      </c>
      <c r="J33" s="282">
        <v>-1.7356768459384688E-3</v>
      </c>
      <c r="K33" s="282"/>
      <c r="L33" s="282">
        <v>0.35793078617766189</v>
      </c>
      <c r="M33" s="282">
        <v>0.12741514283843056</v>
      </c>
      <c r="N33" s="282">
        <v>0.24764815817435032</v>
      </c>
      <c r="O33" s="282">
        <v>9.9893220547033201E-2</v>
      </c>
      <c r="P33" s="282">
        <v>0.13135504877641863</v>
      </c>
      <c r="Q33" s="282">
        <v>3.6931563159406412E-2</v>
      </c>
      <c r="R33" s="282">
        <v>-1.1739196733009465E-3</v>
      </c>
      <c r="S33" s="283"/>
      <c r="T33" s="283"/>
      <c r="U33" s="319"/>
      <c r="V33" s="319"/>
      <c r="W33" s="319"/>
      <c r="X33" s="319"/>
      <c r="Y33" s="319"/>
      <c r="Z33" s="319"/>
      <c r="AA33" s="319"/>
      <c r="AB33" s="319"/>
      <c r="AC33" s="283"/>
      <c r="AE33" s="283"/>
      <c r="AG33" s="283"/>
    </row>
    <row r="34" spans="2:33">
      <c r="B34" s="283" t="s">
        <v>426</v>
      </c>
      <c r="C34" s="284" t="s">
        <v>430</v>
      </c>
      <c r="D34" s="282">
        <v>20464795.32596251</v>
      </c>
      <c r="E34" s="282">
        <v>7501309.5377578558</v>
      </c>
      <c r="F34" s="282">
        <v>15037525.567829166</v>
      </c>
      <c r="G34" s="282">
        <v>6069884.36596095</v>
      </c>
      <c r="H34" s="282">
        <v>7982565.1763889352</v>
      </c>
      <c r="I34" s="282">
        <v>2184659.6996579557</v>
      </c>
      <c r="J34" s="282">
        <v>-102644.62229338726</v>
      </c>
      <c r="K34" s="282"/>
      <c r="L34" s="282">
        <v>25396938.2601953</v>
      </c>
      <c r="M34" s="282">
        <v>9040726.9814320859</v>
      </c>
      <c r="N34" s="282">
        <v>17571846.922056064</v>
      </c>
      <c r="O34" s="282">
        <v>7087912.1126670092</v>
      </c>
      <c r="P34" s="282">
        <v>9320282.5595554858</v>
      </c>
      <c r="Q34" s="282">
        <v>2620474.8673012704</v>
      </c>
      <c r="R34" s="282">
        <v>-83295.33702209781</v>
      </c>
      <c r="S34" s="283"/>
      <c r="T34" s="283"/>
      <c r="U34" s="319"/>
      <c r="V34" s="319"/>
      <c r="W34" s="319"/>
      <c r="X34" s="319"/>
      <c r="Y34" s="319"/>
      <c r="Z34" s="319"/>
      <c r="AA34" s="319"/>
      <c r="AB34" s="319"/>
      <c r="AC34" s="283"/>
      <c r="AE34" s="283"/>
      <c r="AG34" s="283"/>
    </row>
    <row r="35" spans="2:33">
      <c r="B35" s="283" t="s">
        <v>426</v>
      </c>
      <c r="C35" s="281"/>
      <c r="D35" s="282">
        <v>1.5235755779318447</v>
      </c>
      <c r="E35" s="282">
        <v>3.3794461096730397</v>
      </c>
      <c r="F35" s="282">
        <v>6.418467864967945</v>
      </c>
      <c r="G35" s="282">
        <v>7.819771577603313</v>
      </c>
      <c r="H35" s="282">
        <v>9.7958950673870291</v>
      </c>
      <c r="I35" s="282">
        <v>3.106658774451112</v>
      </c>
      <c r="J35" s="282">
        <v>-5.0851913176834733</v>
      </c>
      <c r="K35" s="282"/>
      <c r="L35" s="282">
        <v>1.8907667665939167</v>
      </c>
      <c r="M35" s="282">
        <v>4.0729754547829184</v>
      </c>
      <c r="N35" s="282">
        <v>7.5001923879444758</v>
      </c>
      <c r="O35" s="282">
        <v>9.131286584964295</v>
      </c>
      <c r="P35" s="282">
        <v>11.437490071719584</v>
      </c>
      <c r="Q35" s="282">
        <v>3.7264024419934603</v>
      </c>
      <c r="R35" s="282">
        <v>-4.1265944105439862</v>
      </c>
      <c r="S35" s="283"/>
      <c r="T35" s="283"/>
      <c r="U35" s="319"/>
      <c r="V35" s="319"/>
      <c r="W35" s="319"/>
      <c r="X35" s="319"/>
      <c r="Y35" s="319"/>
      <c r="Z35" s="319"/>
      <c r="AA35" s="319"/>
      <c r="AB35" s="319"/>
      <c r="AC35" s="283"/>
      <c r="AE35" s="283"/>
      <c r="AG35" s="283"/>
    </row>
    <row r="36" spans="2:33">
      <c r="B36" s="283" t="s">
        <v>426</v>
      </c>
      <c r="C36" s="281"/>
      <c r="D36" s="282">
        <v>1.2543800046058583E-2</v>
      </c>
      <c r="E36" s="282">
        <v>1.3694398417835355E-2</v>
      </c>
      <c r="F36" s="282">
        <v>1.6124358236288241E-2</v>
      </c>
      <c r="G36" s="282">
        <v>1.6113458011132741E-2</v>
      </c>
      <c r="H36" s="282">
        <v>1.4669287580321277E-2</v>
      </c>
      <c r="I36" s="282">
        <v>1.4293630218927102E-2</v>
      </c>
      <c r="J36" s="282">
        <v>-1.4762807065053623E-2</v>
      </c>
      <c r="K36" s="282"/>
      <c r="L36" s="282">
        <v>1.5566933860991424E-2</v>
      </c>
      <c r="M36" s="282">
        <v>1.6504760488474792E-2</v>
      </c>
      <c r="N36" s="282">
        <v>1.8841846909348488E-2</v>
      </c>
      <c r="O36" s="282">
        <v>1.881597199026341E-2</v>
      </c>
      <c r="P36" s="282">
        <v>1.7127565159176194E-2</v>
      </c>
      <c r="Q36" s="282">
        <v>1.714504952742104E-2</v>
      </c>
      <c r="R36" s="282">
        <v>-1.1979906617621877E-2</v>
      </c>
      <c r="S36" s="283"/>
      <c r="T36" s="283"/>
      <c r="U36" s="319"/>
      <c r="V36" s="319"/>
      <c r="W36" s="319"/>
      <c r="X36" s="319"/>
      <c r="Y36" s="319"/>
      <c r="Z36" s="319"/>
      <c r="AA36" s="319"/>
      <c r="AB36" s="319"/>
      <c r="AC36" s="283"/>
      <c r="AE36" s="283"/>
      <c r="AG36" s="283"/>
    </row>
    <row r="37" spans="2:33">
      <c r="B37" s="287" t="s">
        <v>426</v>
      </c>
      <c r="C37" s="285"/>
      <c r="D37" s="286">
        <v>184.79756010450521</v>
      </c>
      <c r="E37" s="286">
        <v>360.39323539271822</v>
      </c>
      <c r="F37" s="286">
        <v>14046.286904473216</v>
      </c>
      <c r="G37" s="286">
        <v>91352.77473854275</v>
      </c>
      <c r="H37" s="286">
        <v>7982565.1763889352</v>
      </c>
      <c r="I37" s="286">
        <v>424.95968049032865</v>
      </c>
      <c r="J37" s="286">
        <v>-38.122539879483938</v>
      </c>
      <c r="K37" s="286"/>
      <c r="L37" s="286">
        <v>229.33492125644366</v>
      </c>
      <c r="M37" s="286">
        <v>434.35307271887825</v>
      </c>
      <c r="N37" s="286">
        <v>16413.551697409694</v>
      </c>
      <c r="O37" s="286">
        <v>106674.26256522257</v>
      </c>
      <c r="P37" s="286">
        <v>9320282.5595554858</v>
      </c>
      <c r="Q37" s="286">
        <v>509.73438220865063</v>
      </c>
      <c r="R37" s="286">
        <v>-30.936153657652959</v>
      </c>
      <c r="S37" s="287"/>
      <c r="T37" s="287"/>
      <c r="U37" s="302"/>
      <c r="V37" s="302"/>
      <c r="W37" s="302"/>
      <c r="X37" s="302"/>
      <c r="Y37" s="302"/>
      <c r="Z37" s="302"/>
      <c r="AA37" s="302"/>
      <c r="AB37" s="302"/>
      <c r="AC37" s="287"/>
      <c r="AE37" s="283"/>
      <c r="AG37" s="283"/>
    </row>
    <row r="38" spans="2:33">
      <c r="B38" s="274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74"/>
      <c r="T38" s="274"/>
      <c r="U38" s="301"/>
      <c r="V38" s="301"/>
      <c r="W38" s="301"/>
      <c r="X38" s="301"/>
      <c r="Y38" s="301"/>
      <c r="Z38" s="301"/>
      <c r="AA38" s="301"/>
      <c r="AB38" s="301"/>
      <c r="AC38" s="274"/>
      <c r="AE38" s="283"/>
      <c r="AG38" s="283"/>
    </row>
    <row r="39" spans="2:33">
      <c r="B39" s="283" t="s">
        <v>426</v>
      </c>
      <c r="C39" s="281"/>
      <c r="D39" s="282">
        <v>0.34605097160373166</v>
      </c>
      <c r="E39" s="282">
        <v>0.12684394936389737</v>
      </c>
      <c r="F39" s="282">
        <v>0.2542781534722578</v>
      </c>
      <c r="G39" s="282">
        <v>0.10263915971526855</v>
      </c>
      <c r="H39" s="282">
        <v>0.13498177768970543</v>
      </c>
      <c r="I39" s="282">
        <v>3.6941665060760409E-2</v>
      </c>
      <c r="J39" s="282">
        <v>-1.735676905621347E-3</v>
      </c>
      <c r="K39" s="282"/>
      <c r="L39" s="282">
        <v>0.35793078530024341</v>
      </c>
      <c r="M39" s="282">
        <v>0.12741514279613989</v>
      </c>
      <c r="N39" s="282">
        <v>0.24764815866396755</v>
      </c>
      <c r="O39" s="282">
        <v>9.9893220749856335E-2</v>
      </c>
      <c r="P39" s="282">
        <v>0.13135504904449477</v>
      </c>
      <c r="Q39" s="282">
        <v>3.6931563160064428E-2</v>
      </c>
      <c r="R39" s="282">
        <v>-1.1739197147660765E-3</v>
      </c>
      <c r="S39" s="283"/>
      <c r="T39" s="283"/>
      <c r="U39" s="319"/>
      <c r="V39" s="319"/>
      <c r="W39" s="319"/>
      <c r="X39" s="319"/>
      <c r="Y39" s="319"/>
      <c r="Z39" s="319"/>
      <c r="AA39" s="319"/>
      <c r="AB39" s="319"/>
      <c r="AC39" s="283"/>
      <c r="AE39" s="283"/>
      <c r="AG39" s="283"/>
    </row>
    <row r="40" spans="2:33">
      <c r="B40" s="283" t="s">
        <v>426</v>
      </c>
      <c r="C40" s="85" t="s">
        <v>441</v>
      </c>
      <c r="D40" s="282">
        <v>20464794.889449865</v>
      </c>
      <c r="E40" s="282">
        <v>7501309.4015307538</v>
      </c>
      <c r="F40" s="282">
        <v>15037525.343626849</v>
      </c>
      <c r="G40" s="282">
        <v>6069884.2759030284</v>
      </c>
      <c r="H40" s="282">
        <v>7982565.0580642764</v>
      </c>
      <c r="I40" s="282">
        <v>2184659.6610886841</v>
      </c>
      <c r="J40" s="282">
        <v>-102644.62400808027</v>
      </c>
      <c r="K40" s="282"/>
      <c r="L40" s="282">
        <v>25396937.823682655</v>
      </c>
      <c r="M40" s="282">
        <v>9040726.8452049829</v>
      </c>
      <c r="N40" s="282">
        <v>17571846.697853748</v>
      </c>
      <c r="O40" s="282">
        <v>7087912.0226090876</v>
      </c>
      <c r="P40" s="282">
        <v>9320282.4412308261</v>
      </c>
      <c r="Q40" s="282">
        <v>2620474.8287319988</v>
      </c>
      <c r="R40" s="282">
        <v>-83295.338736790814</v>
      </c>
      <c r="S40" s="283"/>
      <c r="T40" s="283"/>
      <c r="U40" s="319">
        <f>U$10*L40/L$10</f>
        <v>27042283.726211287</v>
      </c>
      <c r="V40" s="319">
        <f t="shared" ref="V40" si="9">V$10*M40/M$10</f>
        <v>9626432.2154314499</v>
      </c>
      <c r="W40" s="319">
        <f t="shared" ref="W40" si="10">W$10*N40/N$10</f>
        <v>18710242.443234306</v>
      </c>
      <c r="X40" s="319">
        <f t="shared" ref="X40" si="11">X$10*O40/O$10</f>
        <v>7547103.8781330399</v>
      </c>
      <c r="Y40" s="319">
        <f t="shared" ref="Y40" si="12">Y$10*P40/P$10</f>
        <v>9924098.8789270557</v>
      </c>
      <c r="Z40" s="319">
        <f t="shared" ref="Z40" si="13">Z$10*Q40/Q$10</f>
        <v>2790242.8358857217</v>
      </c>
      <c r="AA40" s="319">
        <f t="shared" ref="AA40" si="14">AA$10*R40/R$10</f>
        <v>-88691.644592314638</v>
      </c>
      <c r="AB40" s="319"/>
      <c r="AC40" s="283"/>
      <c r="AE40" s="283"/>
      <c r="AG40" s="283"/>
    </row>
    <row r="41" spans="2:33">
      <c r="B41" s="283" t="s">
        <v>426</v>
      </c>
      <c r="C41" s="281"/>
      <c r="D41" s="282">
        <v>1.5235755454340849</v>
      </c>
      <c r="E41" s="282">
        <v>3.3794460483008022</v>
      </c>
      <c r="F41" s="282">
        <v>6.4184677692716576</v>
      </c>
      <c r="G41" s="282">
        <v>7.8197714615825893</v>
      </c>
      <c r="H41" s="282">
        <v>9.7958949221835869</v>
      </c>
      <c r="I41" s="282">
        <v>3.1066587196043249</v>
      </c>
      <c r="J41" s="282">
        <v>-5.0851914026323168</v>
      </c>
      <c r="K41" s="282"/>
      <c r="L41" s="282">
        <v>1.8907667340961567</v>
      </c>
      <c r="M41" s="282">
        <v>4.0729753934106805</v>
      </c>
      <c r="N41" s="282">
        <v>7.5001922922481885</v>
      </c>
      <c r="O41" s="282">
        <v>9.1312864689435713</v>
      </c>
      <c r="P41" s="282">
        <v>11.43748992651614</v>
      </c>
      <c r="Q41" s="282">
        <v>3.7264023871466732</v>
      </c>
      <c r="R41" s="282">
        <v>-4.1265944954928306</v>
      </c>
      <c r="S41" s="283"/>
      <c r="T41" s="283"/>
      <c r="U41" s="319"/>
      <c r="V41" s="319"/>
      <c r="W41" s="319"/>
      <c r="X41" s="319"/>
      <c r="Y41" s="319"/>
      <c r="Z41" s="319"/>
      <c r="AA41" s="319"/>
      <c r="AB41" s="319"/>
      <c r="AC41" s="283"/>
      <c r="AE41" s="283"/>
      <c r="AG41" s="283"/>
    </row>
    <row r="42" spans="2:33">
      <c r="B42" s="283" t="s">
        <v>426</v>
      </c>
      <c r="C42" s="281"/>
      <c r="D42" s="282">
        <v>1.2543799778500212E-2</v>
      </c>
      <c r="E42" s="282">
        <v>1.3694398169139017E-2</v>
      </c>
      <c r="F42" s="282">
        <v>1.6124357995881768E-2</v>
      </c>
      <c r="G42" s="282">
        <v>1.6113457772059893E-2</v>
      </c>
      <c r="H42" s="282">
        <v>1.466928736288009E-2</v>
      </c>
      <c r="I42" s="282">
        <v>1.429362996657892E-2</v>
      </c>
      <c r="J42" s="282">
        <v>-1.4762807311668413E-2</v>
      </c>
      <c r="K42" s="282"/>
      <c r="L42" s="282">
        <v>1.5566933593433051E-2</v>
      </c>
      <c r="M42" s="282">
        <v>1.6504760239778451E-2</v>
      </c>
      <c r="N42" s="282">
        <v>1.8841846668942019E-2</v>
      </c>
      <c r="O42" s="282">
        <v>1.8815971751190562E-2</v>
      </c>
      <c r="P42" s="282">
        <v>1.7127564941735004E-2</v>
      </c>
      <c r="Q42" s="282">
        <v>1.7145049275072859E-2</v>
      </c>
      <c r="R42" s="282">
        <v>-1.1979906864236669E-2</v>
      </c>
      <c r="S42" s="283"/>
      <c r="T42" s="283"/>
      <c r="U42" s="319"/>
      <c r="V42" s="319"/>
      <c r="W42" s="319"/>
      <c r="X42" s="319"/>
      <c r="Y42" s="319"/>
      <c r="Z42" s="319"/>
      <c r="AA42" s="319"/>
      <c r="AB42" s="319"/>
      <c r="AC42" s="283"/>
      <c r="AE42" s="283"/>
      <c r="AG42" s="283"/>
    </row>
    <row r="43" spans="2:33">
      <c r="B43" s="287" t="s">
        <v>426</v>
      </c>
      <c r="C43" s="285"/>
      <c r="D43" s="286">
        <v>184.79755616278624</v>
      </c>
      <c r="E43" s="286">
        <v>360.39322884781757</v>
      </c>
      <c r="F43" s="286">
        <v>14046.286695049796</v>
      </c>
      <c r="G43" s="286">
        <v>91352.773383155974</v>
      </c>
      <c r="H43" s="286">
        <v>7982565.0580642764</v>
      </c>
      <c r="I43" s="286">
        <v>424.95967298783967</v>
      </c>
      <c r="J43" s="286">
        <v>-38.122540516326389</v>
      </c>
      <c r="K43" s="286"/>
      <c r="L43" s="286">
        <v>229.33491731472472</v>
      </c>
      <c r="M43" s="286">
        <v>434.35306617397748</v>
      </c>
      <c r="N43" s="286">
        <v>16413.551487986275</v>
      </c>
      <c r="O43" s="286">
        <v>106674.26120983579</v>
      </c>
      <c r="P43" s="286">
        <v>9320282.4412308261</v>
      </c>
      <c r="Q43" s="286">
        <v>509.73437470616165</v>
      </c>
      <c r="R43" s="286">
        <v>-30.936154294495406</v>
      </c>
      <c r="S43" s="287"/>
      <c r="T43" s="287"/>
      <c r="U43" s="302"/>
      <c r="V43" s="302"/>
      <c r="W43" s="302"/>
      <c r="X43" s="302"/>
      <c r="Y43" s="302"/>
      <c r="Z43" s="302"/>
      <c r="AA43" s="302"/>
      <c r="AB43" s="302"/>
      <c r="AC43" s="287"/>
      <c r="AE43" s="283"/>
      <c r="AG43" s="283"/>
    </row>
    <row r="44" spans="2:33">
      <c r="B44" s="274"/>
      <c r="C44" s="288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74"/>
      <c r="T44" s="274"/>
      <c r="U44" s="301"/>
      <c r="V44" s="301"/>
      <c r="W44" s="301"/>
      <c r="X44" s="301"/>
      <c r="Y44" s="301"/>
      <c r="Z44" s="301"/>
      <c r="AA44" s="301"/>
      <c r="AB44" s="301"/>
      <c r="AC44" s="274"/>
      <c r="AE44" s="283"/>
      <c r="AG44" s="283"/>
    </row>
    <row r="45" spans="2:33">
      <c r="B45" s="283" t="s">
        <v>426</v>
      </c>
      <c r="C45" s="281"/>
      <c r="D45" s="282">
        <v>0.4174723128176997</v>
      </c>
      <c r="E45" s="282">
        <v>0.13028498549618814</v>
      </c>
      <c r="F45" s="282">
        <v>0.21442279204883308</v>
      </c>
      <c r="G45" s="282">
        <v>8.6129667064164056E-2</v>
      </c>
      <c r="H45" s="282">
        <v>0.11316343231756731</v>
      </c>
      <c r="I45" s="282">
        <v>3.6886910784375254E-2</v>
      </c>
      <c r="J45" s="282">
        <v>1.6398994711726289E-3</v>
      </c>
      <c r="K45" s="282"/>
      <c r="L45" s="282">
        <v>0.4174723128176997</v>
      </c>
      <c r="M45" s="282">
        <v>0.13028498549618814</v>
      </c>
      <c r="N45" s="282">
        <v>0.21442279204883308</v>
      </c>
      <c r="O45" s="282">
        <v>8.6129667064164056E-2</v>
      </c>
      <c r="P45" s="282">
        <v>0.11316343231756731</v>
      </c>
      <c r="Q45" s="282">
        <v>3.6886910784375254E-2</v>
      </c>
      <c r="R45" s="282">
        <v>1.6398994711726289E-3</v>
      </c>
      <c r="S45" s="283"/>
      <c r="T45" s="283"/>
      <c r="U45" s="319"/>
      <c r="V45" s="319"/>
      <c r="W45" s="319"/>
      <c r="X45" s="319"/>
      <c r="Y45" s="319"/>
      <c r="Z45" s="319"/>
      <c r="AA45" s="319"/>
      <c r="AB45" s="319"/>
      <c r="AC45" s="283"/>
      <c r="AE45" s="283"/>
      <c r="AG45" s="283"/>
    </row>
    <row r="46" spans="2:33">
      <c r="B46" s="283" t="s">
        <v>426</v>
      </c>
      <c r="C46" s="85" t="s">
        <v>442</v>
      </c>
      <c r="D46" s="282">
        <v>0.43651264379727783</v>
      </c>
      <c r="E46" s="282">
        <v>0.13622710230095025</v>
      </c>
      <c r="F46" s="282">
        <v>0.22420231707318566</v>
      </c>
      <c r="G46" s="282">
        <v>9.0057921268601987E-2</v>
      </c>
      <c r="H46" s="282">
        <v>0.11832465891860533</v>
      </c>
      <c r="I46" s="282">
        <v>3.8569271431020992E-2</v>
      </c>
      <c r="J46" s="282">
        <v>1.7146930029726573E-3</v>
      </c>
      <c r="K46" s="282"/>
      <c r="L46" s="282">
        <v>0.43651264379727783</v>
      </c>
      <c r="M46" s="282">
        <v>0.13622710230095025</v>
      </c>
      <c r="N46" s="282">
        <v>0.22420231707318566</v>
      </c>
      <c r="O46" s="282">
        <v>9.0057921268601987E-2</v>
      </c>
      <c r="P46" s="282">
        <v>0.11832465891860533</v>
      </c>
      <c r="Q46" s="282">
        <v>3.8569271431020992E-2</v>
      </c>
      <c r="R46" s="282">
        <v>1.7146930029726573E-3</v>
      </c>
      <c r="S46" s="283"/>
      <c r="T46" s="319"/>
      <c r="U46" s="319">
        <f>U$10*L46/L$10</f>
        <v>0.46479220627287904</v>
      </c>
      <c r="V46" s="319">
        <f t="shared" ref="V46" si="15">V$10*M46/M$10</f>
        <v>0.145052603475159</v>
      </c>
      <c r="W46" s="319">
        <f t="shared" ref="W46" si="16">W$10*N46/N$10</f>
        <v>0.23872731084585228</v>
      </c>
      <c r="X46" s="319">
        <f t="shared" ref="X46" si="17">X$10*O46/O$10</f>
        <v>9.5892342440880698E-2</v>
      </c>
      <c r="Y46" s="319">
        <f t="shared" ref="Y46" si="18">Y$10*P46/P$10</f>
        <v>0.12599034657242481</v>
      </c>
      <c r="Z46" s="319">
        <f t="shared" ref="Z46" si="19">Z$10*Q46/Q$10</f>
        <v>4.1067989707732636E-2</v>
      </c>
      <c r="AA46" s="319">
        <f t="shared" ref="AA46" si="20">AA$10*R46/R$10</f>
        <v>1.8257797460328679E-3</v>
      </c>
      <c r="AB46" s="319"/>
      <c r="AC46" s="283"/>
      <c r="AE46" s="283"/>
      <c r="AG46" s="283"/>
    </row>
    <row r="47" spans="2:33">
      <c r="B47" s="283" t="s">
        <v>426</v>
      </c>
      <c r="C47" s="281"/>
      <c r="D47" s="282">
        <v>3.2497759833653046E-8</v>
      </c>
      <c r="E47" s="282">
        <v>6.1372237552082524E-8</v>
      </c>
      <c r="F47" s="282">
        <v>9.5696287324307244E-8</v>
      </c>
      <c r="G47" s="282">
        <v>1.160207230673925E-7</v>
      </c>
      <c r="H47" s="282">
        <v>1.4520344238208369E-7</v>
      </c>
      <c r="I47" s="282">
        <v>5.4846787137661763E-8</v>
      </c>
      <c r="J47" s="282">
        <v>8.4948843654821493E-8</v>
      </c>
      <c r="K47" s="282"/>
      <c r="L47" s="282">
        <v>3.2497759833653046E-8</v>
      </c>
      <c r="M47" s="282">
        <v>6.1372237552082524E-8</v>
      </c>
      <c r="N47" s="282">
        <v>9.5696287324307244E-8</v>
      </c>
      <c r="O47" s="282">
        <v>1.160207230673925E-7</v>
      </c>
      <c r="P47" s="282">
        <v>1.4520344238208369E-7</v>
      </c>
      <c r="Q47" s="282">
        <v>5.4846787137661763E-8</v>
      </c>
      <c r="R47" s="282">
        <v>8.4948843654821493E-8</v>
      </c>
      <c r="S47" s="283"/>
      <c r="T47" s="283"/>
      <c r="U47" s="319"/>
      <c r="V47" s="319"/>
      <c r="W47" s="319"/>
      <c r="X47" s="319"/>
      <c r="Y47" s="319"/>
      <c r="Z47" s="319"/>
      <c r="AA47" s="319"/>
      <c r="AB47" s="319"/>
      <c r="AC47" s="283"/>
      <c r="AE47" s="283"/>
      <c r="AG47" s="283"/>
    </row>
    <row r="48" spans="2:33">
      <c r="B48" s="283" t="s">
        <v>426</v>
      </c>
      <c r="C48" s="281"/>
      <c r="D48" s="282">
        <v>2.6755837203135673E-10</v>
      </c>
      <c r="E48" s="282">
        <v>2.4869633826283098E-10</v>
      </c>
      <c r="F48" s="282">
        <v>2.4040647256673699E-10</v>
      </c>
      <c r="G48" s="282">
        <v>2.3907284643993036E-10</v>
      </c>
      <c r="H48" s="282">
        <v>2.1744118728331419E-10</v>
      </c>
      <c r="I48" s="282">
        <v>2.5234818206916058E-10</v>
      </c>
      <c r="J48" s="282">
        <v>2.466147900698501E-10</v>
      </c>
      <c r="K48" s="282"/>
      <c r="L48" s="282">
        <v>2.6755837203135673E-10</v>
      </c>
      <c r="M48" s="282">
        <v>2.4869633826283098E-10</v>
      </c>
      <c r="N48" s="282">
        <v>2.4040647256673699E-10</v>
      </c>
      <c r="O48" s="282">
        <v>2.3907284643993036E-10</v>
      </c>
      <c r="P48" s="282">
        <v>2.1744118728331419E-10</v>
      </c>
      <c r="Q48" s="282">
        <v>2.5234818206916058E-10</v>
      </c>
      <c r="R48" s="282">
        <v>2.466147900698501E-10</v>
      </c>
      <c r="S48" s="283"/>
      <c r="T48" s="283"/>
      <c r="U48" s="319"/>
      <c r="V48" s="319"/>
      <c r="W48" s="319"/>
      <c r="X48" s="319"/>
      <c r="Y48" s="319"/>
      <c r="Z48" s="319"/>
      <c r="AA48" s="319"/>
      <c r="AB48" s="319"/>
      <c r="AC48" s="283"/>
      <c r="AE48" s="283"/>
      <c r="AG48" s="283"/>
    </row>
    <row r="49" spans="2:33">
      <c r="B49" s="287" t="s">
        <v>426</v>
      </c>
      <c r="C49" s="285"/>
      <c r="D49" s="286">
        <v>3.9417189492321479E-6</v>
      </c>
      <c r="E49" s="286">
        <v>6.5449007135744571E-6</v>
      </c>
      <c r="F49" s="286">
        <v>2.0942342249412137E-4</v>
      </c>
      <c r="G49" s="286">
        <v>1.3553867749455152E-3</v>
      </c>
      <c r="H49" s="286">
        <v>0.11832465891860533</v>
      </c>
      <c r="I49" s="286">
        <v>7.5024889536057385E-6</v>
      </c>
      <c r="J49" s="286">
        <v>6.3684244655366098E-7</v>
      </c>
      <c r="K49" s="286"/>
      <c r="L49" s="286">
        <v>3.9417189492321479E-6</v>
      </c>
      <c r="M49" s="286">
        <v>6.5449007135744571E-6</v>
      </c>
      <c r="N49" s="286">
        <v>2.0942342249412137E-4</v>
      </c>
      <c r="O49" s="286">
        <v>1.3553867749455152E-3</v>
      </c>
      <c r="P49" s="286">
        <v>0.11832465891860533</v>
      </c>
      <c r="Q49" s="286">
        <v>7.5024889536057385E-6</v>
      </c>
      <c r="R49" s="286">
        <v>6.3684244655366098E-7</v>
      </c>
      <c r="S49" s="287"/>
      <c r="T49" s="287"/>
      <c r="U49" s="302"/>
      <c r="V49" s="302"/>
      <c r="W49" s="302"/>
      <c r="X49" s="302"/>
      <c r="Y49" s="302"/>
      <c r="Z49" s="302"/>
      <c r="AA49" s="302"/>
      <c r="AB49" s="302"/>
      <c r="AC49" s="287"/>
      <c r="AE49" s="283"/>
      <c r="AG49" s="283"/>
    </row>
    <row r="50" spans="2:33">
      <c r="B50" s="274"/>
      <c r="C50" s="288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74"/>
      <c r="T50" s="274"/>
      <c r="U50" s="301"/>
      <c r="V50" s="301"/>
      <c r="W50" s="301"/>
      <c r="X50" s="301"/>
      <c r="Y50" s="301"/>
      <c r="Z50" s="301"/>
      <c r="AA50" s="301"/>
      <c r="AB50" s="301"/>
      <c r="AC50" s="274"/>
      <c r="AE50" s="283"/>
      <c r="AG50" s="283"/>
    </row>
    <row r="51" spans="2:33">
      <c r="B51" s="283" t="s">
        <v>426</v>
      </c>
      <c r="C51" s="281"/>
      <c r="D51" s="282">
        <v>0.60331365291373718</v>
      </c>
      <c r="E51" s="282">
        <v>0.15560957469871359</v>
      </c>
      <c r="F51" s="282">
        <v>0.1227376216333614</v>
      </c>
      <c r="G51" s="282">
        <v>4.4873790610499883E-2</v>
      </c>
      <c r="H51" s="282">
        <v>2.2678793348974668E-2</v>
      </c>
      <c r="I51" s="282">
        <v>4.3642474838757259E-2</v>
      </c>
      <c r="J51" s="282">
        <v>7.1440919559559507E-3</v>
      </c>
      <c r="K51" s="282"/>
      <c r="L51" s="282">
        <v>0.60473574565992527</v>
      </c>
      <c r="M51" s="282">
        <v>0.15607308324038774</v>
      </c>
      <c r="N51" s="282">
        <v>0.12175754603694129</v>
      </c>
      <c r="O51" s="282">
        <v>4.4332686567930504E-2</v>
      </c>
      <c r="P51" s="282">
        <v>2.1854545890256587E-2</v>
      </c>
      <c r="Q51" s="282">
        <v>4.4127111270854801E-2</v>
      </c>
      <c r="R51" s="282">
        <v>7.1192813337038223E-3</v>
      </c>
      <c r="S51" s="283"/>
      <c r="T51" s="283"/>
      <c r="U51" s="319"/>
      <c r="V51" s="319"/>
      <c r="W51" s="319"/>
      <c r="X51" s="319"/>
      <c r="Y51" s="319"/>
      <c r="Z51" s="319"/>
      <c r="AA51" s="319"/>
      <c r="AB51" s="319"/>
      <c r="AC51" s="283"/>
      <c r="AE51" s="283"/>
      <c r="AG51" s="283"/>
    </row>
    <row r="52" spans="2:33">
      <c r="B52" s="283" t="s">
        <v>426</v>
      </c>
      <c r="C52" s="284" t="s">
        <v>431</v>
      </c>
      <c r="D52" s="282">
        <v>42754382.143567115</v>
      </c>
      <c r="E52" s="282">
        <v>11027416.982419936</v>
      </c>
      <c r="F52" s="282">
        <v>8697915.5093902536</v>
      </c>
      <c r="G52" s="282">
        <v>3180022.8334399113</v>
      </c>
      <c r="H52" s="282">
        <v>1607153.7461720407</v>
      </c>
      <c r="I52" s="282">
        <v>3092764.498094378</v>
      </c>
      <c r="J52" s="282">
        <v>506272.70919293619</v>
      </c>
      <c r="K52" s="282"/>
      <c r="L52" s="282">
        <v>47209925.564774543</v>
      </c>
      <c r="M52" s="282">
        <v>12184162.578983869</v>
      </c>
      <c r="N52" s="282">
        <v>9505250.3950810023</v>
      </c>
      <c r="O52" s="282">
        <v>3460921.3164247973</v>
      </c>
      <c r="P52" s="282">
        <v>1706119.5607100283</v>
      </c>
      <c r="Q52" s="282">
        <v>3444872.6628723107</v>
      </c>
      <c r="R52" s="282">
        <v>555781.1726046924</v>
      </c>
      <c r="S52" s="283"/>
      <c r="T52" s="283"/>
      <c r="U52" s="319"/>
      <c r="V52" s="319"/>
      <c r="W52" s="319"/>
      <c r="X52" s="319"/>
      <c r="Y52" s="319"/>
      <c r="Z52" s="319"/>
      <c r="AA52" s="319"/>
      <c r="AB52" s="319"/>
      <c r="AC52" s="283"/>
      <c r="AE52" s="283"/>
      <c r="AG52" s="283"/>
    </row>
    <row r="53" spans="2:33">
      <c r="B53" s="283" t="s">
        <v>426</v>
      </c>
      <c r="C53" s="281"/>
      <c r="D53" s="282">
        <v>3.1830043470244451</v>
      </c>
      <c r="E53" s="282">
        <v>4.9680074170250084</v>
      </c>
      <c r="F53" s="282">
        <v>3.7125317551354913</v>
      </c>
      <c r="G53" s="282">
        <v>4.0967917459043983</v>
      </c>
      <c r="H53" s="282">
        <v>1.9722368821022458</v>
      </c>
      <c r="I53" s="282">
        <v>4.3980140096052969</v>
      </c>
      <c r="J53" s="282">
        <v>25.081621692847978</v>
      </c>
      <c r="K53" s="282"/>
      <c r="L53" s="282">
        <v>3.5147133641361155</v>
      </c>
      <c r="M53" s="282">
        <v>5.4891376792162481</v>
      </c>
      <c r="N53" s="282">
        <v>4.0571265487868846</v>
      </c>
      <c r="O53" s="282">
        <v>4.4586704640155874</v>
      </c>
      <c r="P53" s="282">
        <v>2.0936838998278393</v>
      </c>
      <c r="Q53" s="282">
        <v>4.8987235342211939</v>
      </c>
      <c r="R53" s="282">
        <v>27.534356211892838</v>
      </c>
      <c r="S53" s="283"/>
      <c r="T53" s="283"/>
      <c r="U53" s="319"/>
      <c r="V53" s="319"/>
      <c r="W53" s="319"/>
      <c r="X53" s="319"/>
      <c r="Y53" s="319"/>
      <c r="Z53" s="319"/>
      <c r="AA53" s="319"/>
      <c r="AB53" s="319"/>
      <c r="AC53" s="283"/>
      <c r="AE53" s="283"/>
      <c r="AG53" s="283"/>
    </row>
    <row r="54" spans="2:33">
      <c r="B54" s="283" t="s">
        <v>426</v>
      </c>
      <c r="C54" s="281"/>
      <c r="D54" s="282">
        <v>2.6206097454652157E-2</v>
      </c>
      <c r="E54" s="282">
        <v>2.0131663800398294E-2</v>
      </c>
      <c r="F54" s="282">
        <v>9.3265547546212656E-3</v>
      </c>
      <c r="G54" s="282">
        <v>8.4418682979251706E-3</v>
      </c>
      <c r="H54" s="282">
        <v>2.95341158730799E-3</v>
      </c>
      <c r="I54" s="282">
        <v>2.0235111260993196E-2</v>
      </c>
      <c r="J54" s="282">
        <v>7.281439749229629E-2</v>
      </c>
      <c r="K54" s="282"/>
      <c r="L54" s="282">
        <v>2.8937101839594821E-2</v>
      </c>
      <c r="M54" s="282">
        <v>2.2243419752834035E-2</v>
      </c>
      <c r="N54" s="282">
        <v>1.0192239528011128E-2</v>
      </c>
      <c r="O54" s="282">
        <v>9.1875572827681759E-3</v>
      </c>
      <c r="P54" s="282">
        <v>3.1352776869888964E-3</v>
      </c>
      <c r="Q54" s="282">
        <v>2.2538858570099879E-2</v>
      </c>
      <c r="R54" s="282">
        <v>7.9934925359269687E-2</v>
      </c>
      <c r="S54" s="283"/>
      <c r="T54" s="283"/>
      <c r="U54" s="319"/>
      <c r="V54" s="319"/>
      <c r="W54" s="319"/>
      <c r="X54" s="319"/>
      <c r="Y54" s="319"/>
      <c r="Z54" s="319"/>
      <c r="AA54" s="319"/>
      <c r="AB54" s="319"/>
      <c r="AC54" s="283"/>
      <c r="AE54" s="283"/>
      <c r="AG54" s="283"/>
    </row>
    <row r="55" spans="2:33">
      <c r="B55" s="287" t="s">
        <v>426</v>
      </c>
      <c r="C55" s="285"/>
      <c r="D55" s="286">
        <v>386.07302824491984</v>
      </c>
      <c r="E55" s="286">
        <v>529.8016918665669</v>
      </c>
      <c r="F55" s="286">
        <v>8124.5691762703946</v>
      </c>
      <c r="G55" s="286">
        <v>47859.875419664226</v>
      </c>
      <c r="H55" s="286">
        <v>1607153.7461720407</v>
      </c>
      <c r="I55" s="286">
        <v>601.60409108466354</v>
      </c>
      <c r="J55" s="286">
        <v>188.03129783980398</v>
      </c>
      <c r="K55" s="286"/>
      <c r="L55" s="286">
        <v>426.30668512074726</v>
      </c>
      <c r="M55" s="286">
        <v>585.37642664768384</v>
      </c>
      <c r="N55" s="286">
        <v>8878.6864265620861</v>
      </c>
      <c r="O55" s="286">
        <v>52087.444561577227</v>
      </c>
      <c r="P55" s="286">
        <v>1706119.5607100283</v>
      </c>
      <c r="Q55" s="286">
        <v>670.09611903093526</v>
      </c>
      <c r="R55" s="286">
        <v>206.41889894950421</v>
      </c>
      <c r="S55" s="287"/>
      <c r="T55" s="287"/>
      <c r="U55" s="302"/>
      <c r="V55" s="302"/>
      <c r="W55" s="302"/>
      <c r="X55" s="302"/>
      <c r="Y55" s="302"/>
      <c r="Z55" s="302"/>
      <c r="AA55" s="302"/>
      <c r="AB55" s="302"/>
      <c r="AC55" s="287"/>
      <c r="AE55" s="283"/>
      <c r="AG55" s="283"/>
    </row>
    <row r="56" spans="2:33">
      <c r="B56" s="274"/>
      <c r="C56" s="288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74"/>
      <c r="T56" s="274"/>
      <c r="U56" s="301"/>
      <c r="V56" s="301"/>
      <c r="W56" s="301"/>
      <c r="X56" s="301"/>
      <c r="Y56" s="301"/>
      <c r="Z56" s="301"/>
      <c r="AA56" s="301"/>
      <c r="AB56" s="301"/>
      <c r="AC56" s="274"/>
      <c r="AE56" s="283"/>
      <c r="AG56" s="283"/>
    </row>
    <row r="57" spans="2:33">
      <c r="B57" s="283" t="s">
        <v>426</v>
      </c>
      <c r="C57" s="281"/>
      <c r="D57" s="282">
        <v>0.5375335307302751</v>
      </c>
      <c r="E57" s="282">
        <v>0.13292055457148846</v>
      </c>
      <c r="F57" s="282">
        <v>0.15941198026241213</v>
      </c>
      <c r="G57" s="282">
        <v>6.1535602726269255E-2</v>
      </c>
      <c r="H57" s="282">
        <v>6.1450104205398919E-2</v>
      </c>
      <c r="I57" s="282">
        <v>4.491091978668945E-2</v>
      </c>
      <c r="J57" s="282">
        <v>2.237307717466375E-3</v>
      </c>
      <c r="K57" s="282"/>
      <c r="L57" s="282">
        <v>0.53586540693955809</v>
      </c>
      <c r="M57" s="282">
        <v>0.13187477872559633</v>
      </c>
      <c r="N57" s="282">
        <v>0.16092983671732575</v>
      </c>
      <c r="O57" s="282">
        <v>6.211637160092167E-2</v>
      </c>
      <c r="P57" s="282">
        <v>6.2053212908860955E-2</v>
      </c>
      <c r="Q57" s="282">
        <v>4.5256093876679844E-2</v>
      </c>
      <c r="R57" s="282">
        <v>1.9042992310570983E-3</v>
      </c>
      <c r="S57" s="283"/>
      <c r="T57" s="283"/>
      <c r="U57" s="319"/>
      <c r="V57" s="319"/>
      <c r="W57" s="319"/>
      <c r="X57" s="319"/>
      <c r="Y57" s="319"/>
      <c r="Z57" s="319"/>
      <c r="AA57" s="319"/>
      <c r="AB57" s="319"/>
      <c r="AC57" s="283"/>
      <c r="AE57" s="283"/>
      <c r="AG57" s="283"/>
    </row>
    <row r="58" spans="2:33">
      <c r="B58" s="283" t="s">
        <v>426</v>
      </c>
      <c r="C58" s="85" t="s">
        <v>434</v>
      </c>
      <c r="D58" s="282">
        <v>6694072.0700953817</v>
      </c>
      <c r="E58" s="282">
        <v>1655300.964555206</v>
      </c>
      <c r="F58" s="282">
        <v>1985206.9195822298</v>
      </c>
      <c r="G58" s="282">
        <v>766321.97988984676</v>
      </c>
      <c r="H58" s="282">
        <v>765257.24024501932</v>
      </c>
      <c r="I58" s="282">
        <v>559289.63794674643</v>
      </c>
      <c r="J58" s="282">
        <v>27861.888138129103</v>
      </c>
      <c r="K58" s="282"/>
      <c r="L58" s="282">
        <v>7460395.6265739836</v>
      </c>
      <c r="M58" s="282">
        <v>1835979.7249812412</v>
      </c>
      <c r="N58" s="282">
        <v>2240488.4407226192</v>
      </c>
      <c r="O58" s="282">
        <v>864793.10108261975</v>
      </c>
      <c r="P58" s="282">
        <v>863913.79664548323</v>
      </c>
      <c r="Q58" s="282">
        <v>630061.87833932356</v>
      </c>
      <c r="R58" s="282">
        <v>26511.929061076724</v>
      </c>
      <c r="S58" s="283"/>
      <c r="T58" s="283"/>
      <c r="U58" s="319">
        <f>U$10*L58/L$10</f>
        <v>7943718.9099022467</v>
      </c>
      <c r="V58" s="319">
        <f t="shared" ref="V58" si="21">V$10*M58/M$10</f>
        <v>1954924.0535690212</v>
      </c>
      <c r="W58" s="319">
        <f t="shared" ref="W58" si="22">W$10*N58/N$10</f>
        <v>2385638.9506462282</v>
      </c>
      <c r="X58" s="319">
        <f t="shared" ref="X58" si="23">X$10*O58/O$10</f>
        <v>920818.90211736015</v>
      </c>
      <c r="Y58" s="319">
        <f t="shared" ref="Y58" si="24">Y$10*P58/P$10</f>
        <v>919882.63175926264</v>
      </c>
      <c r="Z58" s="319">
        <f t="shared" ref="Z58" si="25">Z$10*Q58/Q$10</f>
        <v>670880.5682562791</v>
      </c>
      <c r="AA58" s="319">
        <f t="shared" ref="AA58" si="26">AA$10*R58/R$10</f>
        <v>28229.509902972375</v>
      </c>
      <c r="AB58" s="319"/>
      <c r="AC58" s="283"/>
      <c r="AE58" s="283"/>
      <c r="AG58" s="283"/>
    </row>
    <row r="59" spans="2:33">
      <c r="B59" s="283" t="s">
        <v>426</v>
      </c>
      <c r="C59" s="281"/>
      <c r="D59" s="282">
        <v>0.4983643647769202</v>
      </c>
      <c r="E59" s="282">
        <v>0.74573651131801844</v>
      </c>
      <c r="F59" s="282">
        <v>0.84734597864361227</v>
      </c>
      <c r="G59" s="282">
        <v>0.98724497475441242</v>
      </c>
      <c r="H59" s="282">
        <v>0.93909407055909866</v>
      </c>
      <c r="I59" s="282">
        <v>0.79532847219129055</v>
      </c>
      <c r="J59" s="282">
        <v>1.3803259098105718</v>
      </c>
      <c r="K59" s="282"/>
      <c r="L59" s="282">
        <v>0.55541608881559001</v>
      </c>
      <c r="M59" s="282">
        <v>0.82713484996127595</v>
      </c>
      <c r="N59" s="282">
        <v>0.95630780434884111</v>
      </c>
      <c r="O59" s="282">
        <v>1.1141043394955514</v>
      </c>
      <c r="P59" s="282">
        <v>1.0601615786662955</v>
      </c>
      <c r="Q59" s="282">
        <v>0.89596895255424436</v>
      </c>
      <c r="R59" s="282">
        <v>1.3134466128296425</v>
      </c>
      <c r="S59" s="283"/>
      <c r="T59" s="283"/>
      <c r="U59" s="319"/>
      <c r="V59" s="319"/>
      <c r="W59" s="319"/>
      <c r="X59" s="319"/>
      <c r="Y59" s="319"/>
      <c r="Z59" s="319"/>
      <c r="AA59" s="319"/>
      <c r="AB59" s="319"/>
      <c r="AC59" s="283"/>
      <c r="AE59" s="283"/>
      <c r="AG59" s="283"/>
    </row>
    <row r="60" spans="2:33">
      <c r="B60" s="283" t="s">
        <v>426</v>
      </c>
      <c r="C60" s="281"/>
      <c r="D60" s="282">
        <v>4.103099992143833E-3</v>
      </c>
      <c r="E60" s="282">
        <v>3.0219191457098206E-3</v>
      </c>
      <c r="F60" s="282">
        <v>2.1286871566811348E-3</v>
      </c>
      <c r="G60" s="282">
        <v>2.0343216281366954E-3</v>
      </c>
      <c r="H60" s="282">
        <v>1.4062871122281762E-3</v>
      </c>
      <c r="I60" s="282">
        <v>3.6592789583384765E-3</v>
      </c>
      <c r="J60" s="282">
        <v>4.0072209323897988E-3</v>
      </c>
      <c r="K60" s="282"/>
      <c r="L60" s="282">
        <v>4.5728144119532074E-3</v>
      </c>
      <c r="M60" s="282">
        <v>3.351766476827197E-3</v>
      </c>
      <c r="N60" s="282">
        <v>2.402419073505164E-3</v>
      </c>
      <c r="O60" s="282">
        <v>2.2957286304754808E-3</v>
      </c>
      <c r="P60" s="282">
        <v>1.5875848987847113E-3</v>
      </c>
      <c r="Q60" s="282">
        <v>4.1223223486179308E-3</v>
      </c>
      <c r="R60" s="282">
        <v>3.813063801163977E-3</v>
      </c>
      <c r="S60" s="283"/>
      <c r="T60" s="283"/>
      <c r="U60" s="319"/>
      <c r="V60" s="319"/>
      <c r="W60" s="319"/>
      <c r="X60" s="319"/>
      <c r="Y60" s="319"/>
      <c r="Z60" s="319"/>
      <c r="AA60" s="319"/>
      <c r="AB60" s="319"/>
      <c r="AC60" s="283"/>
      <c r="AE60" s="283"/>
      <c r="AG60" s="283"/>
    </row>
    <row r="61" spans="2:33">
      <c r="B61" s="287" t="s">
        <v>426</v>
      </c>
      <c r="C61" s="285"/>
      <c r="D61" s="286">
        <v>60.447620707350488</v>
      </c>
      <c r="E61" s="286">
        <v>79.527350146258556</v>
      </c>
      <c r="F61" s="286">
        <v>1854.3467029478154</v>
      </c>
      <c r="G61" s="286">
        <v>11533.273944830473</v>
      </c>
      <c r="H61" s="286">
        <v>765257.24024501932</v>
      </c>
      <c r="I61" s="286">
        <v>108.79293735340701</v>
      </c>
      <c r="J61" s="286">
        <v>10.347994058837077</v>
      </c>
      <c r="K61" s="286"/>
      <c r="L61" s="286">
        <v>67.367539584242166</v>
      </c>
      <c r="M61" s="286">
        <v>88.207888218834569</v>
      </c>
      <c r="N61" s="286">
        <v>2092.8006607598318</v>
      </c>
      <c r="O61" s="286">
        <v>13015.280785524381</v>
      </c>
      <c r="P61" s="286">
        <v>863913.79664548323</v>
      </c>
      <c r="Q61" s="286">
        <v>122.55954304926121</v>
      </c>
      <c r="R61" s="286">
        <v>9.84661495488848</v>
      </c>
      <c r="S61" s="287"/>
      <c r="T61" s="287"/>
      <c r="U61" s="302"/>
      <c r="V61" s="302"/>
      <c r="W61" s="302"/>
      <c r="X61" s="302"/>
      <c r="Y61" s="302"/>
      <c r="Z61" s="302"/>
      <c r="AA61" s="302"/>
      <c r="AB61" s="302"/>
      <c r="AC61" s="287"/>
      <c r="AE61" s="283"/>
      <c r="AG61" s="283"/>
    </row>
    <row r="62" spans="2:33">
      <c r="B62" s="274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74"/>
      <c r="T62" s="274"/>
      <c r="U62" s="301"/>
      <c r="V62" s="301"/>
      <c r="W62" s="301"/>
      <c r="X62" s="301"/>
      <c r="Y62" s="301"/>
      <c r="Z62" s="301"/>
      <c r="AA62" s="301"/>
      <c r="AB62" s="301"/>
      <c r="AC62" s="274"/>
      <c r="AE62" s="283"/>
      <c r="AG62" s="283"/>
    </row>
    <row r="63" spans="2:33">
      <c r="B63" s="283" t="s">
        <v>426</v>
      </c>
      <c r="C63" s="281"/>
      <c r="D63" s="282">
        <v>0.60651117570962965</v>
      </c>
      <c r="E63" s="282">
        <v>0.14315023726833001</v>
      </c>
      <c r="F63" s="282">
        <v>0.13315067465569128</v>
      </c>
      <c r="G63" s="282">
        <v>5.1076201850419639E-2</v>
      </c>
      <c r="H63" s="282">
        <v>1.9058871052506275E-2</v>
      </c>
      <c r="I63" s="282">
        <v>3.6753700731141065E-2</v>
      </c>
      <c r="J63" s="282">
        <v>1.0299138732282194E-2</v>
      </c>
      <c r="K63" s="282"/>
      <c r="L63" s="282">
        <v>0.60890040362423681</v>
      </c>
      <c r="M63" s="282">
        <v>0.14205965257140804</v>
      </c>
      <c r="N63" s="282">
        <v>0.1328586748357676</v>
      </c>
      <c r="O63" s="282">
        <v>5.1019366236861242E-2</v>
      </c>
      <c r="P63" s="282">
        <v>1.7788383370164074E-2</v>
      </c>
      <c r="Q63" s="282">
        <v>3.6599170820698378E-2</v>
      </c>
      <c r="R63" s="282">
        <v>1.0774348540863921E-2</v>
      </c>
      <c r="S63" s="283"/>
      <c r="T63" s="283"/>
      <c r="U63" s="319"/>
      <c r="V63" s="319"/>
      <c r="W63" s="319"/>
      <c r="X63" s="319"/>
      <c r="Y63" s="319"/>
      <c r="Z63" s="319"/>
      <c r="AA63" s="319"/>
      <c r="AB63" s="319"/>
      <c r="AC63" s="283"/>
      <c r="AE63" s="283"/>
      <c r="AG63" s="283"/>
    </row>
    <row r="64" spans="2:33">
      <c r="B64" s="283" t="s">
        <v>426</v>
      </c>
      <c r="C64" s="85" t="s">
        <v>435</v>
      </c>
      <c r="D64" s="282">
        <v>25876267.187623437</v>
      </c>
      <c r="E64" s="282">
        <v>6107379.2798508946</v>
      </c>
      <c r="F64" s="282">
        <v>5680756.7141227936</v>
      </c>
      <c r="G64" s="282">
        <v>2179121.3401205279</v>
      </c>
      <c r="H64" s="282">
        <v>813130.01210916368</v>
      </c>
      <c r="I64" s="282">
        <v>1568064.3957470562</v>
      </c>
      <c r="J64" s="282">
        <v>439403.7180388663</v>
      </c>
      <c r="K64" s="282"/>
      <c r="L64" s="282">
        <v>27983621.693723455</v>
      </c>
      <c r="M64" s="282">
        <v>6528725.4727348238</v>
      </c>
      <c r="N64" s="282">
        <v>6105870.3085174793</v>
      </c>
      <c r="O64" s="282">
        <v>2344729.343794154</v>
      </c>
      <c r="P64" s="282">
        <v>817512.00657896721</v>
      </c>
      <c r="Q64" s="282">
        <v>1682011.2853504093</v>
      </c>
      <c r="R64" s="282">
        <v>495163.56331719813</v>
      </c>
      <c r="S64" s="283"/>
      <c r="T64" s="283"/>
      <c r="U64" s="319">
        <f>U$10*L64/L$10</f>
        <v>29796546.449114416</v>
      </c>
      <c r="V64" s="319">
        <f t="shared" ref="V64" si="27">V$10*M64/M$10</f>
        <v>6951690.3112470331</v>
      </c>
      <c r="W64" s="319">
        <f t="shared" ref="W64" si="28">W$10*N64/N$10</f>
        <v>6501440.3872110741</v>
      </c>
      <c r="X64" s="319">
        <f t="shared" ref="X64" si="29">X$10*O64/O$10</f>
        <v>2496633.1223179125</v>
      </c>
      <c r="Y64" s="319">
        <f t="shared" ref="Y64" si="30">Y$10*P64/P$10</f>
        <v>870474.69206612743</v>
      </c>
      <c r="Z64" s="319">
        <f t="shared" ref="Z64" si="31">Z$10*Q64/Q$10</f>
        <v>1790980.7365327298</v>
      </c>
      <c r="AA64" s="319">
        <f t="shared" ref="AA64" si="32">AA$10*R64/R$10</f>
        <v>527242.83782035136</v>
      </c>
      <c r="AB64" s="319"/>
      <c r="AC64" s="283"/>
      <c r="AE64" s="283"/>
      <c r="AG64" s="283"/>
    </row>
    <row r="65" spans="2:33">
      <c r="B65" s="283" t="s">
        <v>426</v>
      </c>
      <c r="C65" s="281"/>
      <c r="D65" s="282">
        <v>1.9264521392543164</v>
      </c>
      <c r="E65" s="282">
        <v>2.7514608007709289</v>
      </c>
      <c r="F65" s="282">
        <v>2.4247177006503806</v>
      </c>
      <c r="G65" s="282">
        <v>2.8073403202180494</v>
      </c>
      <c r="H65" s="282">
        <v>0.99784168356365144</v>
      </c>
      <c r="I65" s="282">
        <v>2.2298397387541309</v>
      </c>
      <c r="J65" s="282">
        <v>21.768816738809623</v>
      </c>
      <c r="K65" s="282"/>
      <c r="L65" s="282">
        <v>2.0833417542442771</v>
      </c>
      <c r="M65" s="282">
        <v>2.9412832238025146</v>
      </c>
      <c r="N65" s="282">
        <v>2.6061689595211051</v>
      </c>
      <c r="O65" s="282">
        <v>3.0206914620310492</v>
      </c>
      <c r="P65" s="282">
        <v>1.0032190975983069</v>
      </c>
      <c r="Q65" s="282">
        <v>2.3918760066740692</v>
      </c>
      <c r="R65" s="282">
        <v>24.531255478895609</v>
      </c>
      <c r="S65" s="283"/>
      <c r="T65" s="283"/>
      <c r="U65" s="319"/>
      <c r="V65" s="319"/>
      <c r="W65" s="319"/>
      <c r="X65" s="319"/>
      <c r="Y65" s="319"/>
      <c r="Z65" s="319"/>
      <c r="AA65" s="319"/>
      <c r="AB65" s="319"/>
      <c r="AC65" s="283"/>
      <c r="AE65" s="283"/>
      <c r="AG65" s="283"/>
    </row>
    <row r="66" spans="2:33">
      <c r="B66" s="283" t="s">
        <v>426</v>
      </c>
      <c r="C66" s="281"/>
      <c r="D66" s="282">
        <v>1.5860736272702937E-2</v>
      </c>
      <c r="E66" s="282">
        <v>1.1149637903371951E-2</v>
      </c>
      <c r="F66" s="282">
        <v>6.0913317087007189E-3</v>
      </c>
      <c r="G66" s="282">
        <v>5.7848186387380231E-3</v>
      </c>
      <c r="H66" s="282">
        <v>1.4942612711889337E-3</v>
      </c>
      <c r="I66" s="282">
        <v>1.0259415979423691E-2</v>
      </c>
      <c r="J66" s="282">
        <v>6.3197001149595644E-2</v>
      </c>
      <c r="K66" s="282"/>
      <c r="L66" s="282">
        <v>1.7152429306013833E-2</v>
      </c>
      <c r="M66" s="282">
        <v>1.1918847947051246E-2</v>
      </c>
      <c r="N66" s="282">
        <v>6.5471702611418709E-3</v>
      </c>
      <c r="O66" s="282">
        <v>6.2244510028184926E-3</v>
      </c>
      <c r="P66" s="282">
        <v>1.5023139128689611E-3</v>
      </c>
      <c r="Q66" s="282">
        <v>1.1004939277556686E-2</v>
      </c>
      <c r="R66" s="282">
        <v>7.1216630619012927E-2</v>
      </c>
      <c r="S66" s="283"/>
      <c r="T66" s="283"/>
      <c r="U66" s="319"/>
      <c r="V66" s="319"/>
      <c r="W66" s="319"/>
      <c r="X66" s="319"/>
      <c r="Y66" s="319"/>
      <c r="Z66" s="319"/>
      <c r="AA66" s="319"/>
      <c r="AB66" s="319"/>
      <c r="AC66" s="283"/>
      <c r="AE66" s="283"/>
      <c r="AG66" s="283"/>
    </row>
    <row r="67" spans="2:33">
      <c r="B67" s="287" t="s">
        <v>426</v>
      </c>
      <c r="C67" s="285"/>
      <c r="D67" s="286">
        <v>233.66327220573729</v>
      </c>
      <c r="E67" s="286">
        <v>293.42319062516793</v>
      </c>
      <c r="F67" s="286">
        <v>5306.2944618886777</v>
      </c>
      <c r="G67" s="286">
        <v>32796.140570375843</v>
      </c>
      <c r="H67" s="286">
        <v>813130.01210916368</v>
      </c>
      <c r="I67" s="286">
        <v>305.01965349992929</v>
      </c>
      <c r="J67" s="286">
        <v>163.19594139331124</v>
      </c>
      <c r="K67" s="286"/>
      <c r="L67" s="286">
        <v>252.69273059022771</v>
      </c>
      <c r="M67" s="286">
        <v>313.66636508817396</v>
      </c>
      <c r="N67" s="286">
        <v>5703.3855582213328</v>
      </c>
      <c r="O67" s="286">
        <v>35288.568719310017</v>
      </c>
      <c r="P67" s="286">
        <v>817512.00657896721</v>
      </c>
      <c r="Q67" s="286">
        <v>327.18458555149283</v>
      </c>
      <c r="R67" s="286">
        <v>183.90532565331844</v>
      </c>
      <c r="S67" s="287"/>
      <c r="T67" s="287"/>
      <c r="U67" s="302"/>
      <c r="V67" s="302"/>
      <c r="W67" s="302"/>
      <c r="X67" s="302"/>
      <c r="Y67" s="302"/>
      <c r="Z67" s="302"/>
      <c r="AA67" s="302"/>
      <c r="AB67" s="302"/>
      <c r="AC67" s="287"/>
      <c r="AE67" s="283"/>
      <c r="AG67" s="283"/>
    </row>
    <row r="68" spans="2:33">
      <c r="B68" s="274"/>
      <c r="C68" s="288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74"/>
      <c r="T68" s="274"/>
      <c r="U68" s="301"/>
      <c r="V68" s="301"/>
      <c r="W68" s="301"/>
      <c r="X68" s="301"/>
      <c r="Y68" s="301"/>
      <c r="Z68" s="301"/>
      <c r="AA68" s="301"/>
      <c r="AB68" s="301"/>
      <c r="AC68" s="274"/>
      <c r="AE68" s="283"/>
      <c r="AG68" s="283"/>
    </row>
    <row r="69" spans="2:33">
      <c r="B69" s="283" t="s">
        <v>426</v>
      </c>
      <c r="C69" s="281"/>
      <c r="D69" s="282">
        <v>0.60448354780888358</v>
      </c>
      <c r="E69" s="282">
        <v>0.21011482461969438</v>
      </c>
      <c r="F69" s="282">
        <v>6.9591864789793942E-2</v>
      </c>
      <c r="G69" s="282">
        <v>1.3877839438095108E-2</v>
      </c>
      <c r="H69" s="282">
        <v>1.2399712048999445E-3</v>
      </c>
      <c r="I69" s="282">
        <v>9.8893464519030055E-2</v>
      </c>
      <c r="J69" s="282">
        <v>1.798487619602942E-3</v>
      </c>
      <c r="K69" s="282"/>
      <c r="L69" s="282">
        <v>0.60224783496251899</v>
      </c>
      <c r="M69" s="282">
        <v>0.21267150943543356</v>
      </c>
      <c r="N69" s="282">
        <v>6.8055190828168938E-2</v>
      </c>
      <c r="O69" s="282">
        <v>1.2658363491664016E-2</v>
      </c>
      <c r="P69" s="282">
        <v>7.6602833785843294E-4</v>
      </c>
      <c r="Q69" s="282">
        <v>0.10225467287651155</v>
      </c>
      <c r="R69" s="282">
        <v>1.3464000678440936E-3</v>
      </c>
      <c r="S69" s="283"/>
      <c r="T69" s="283"/>
      <c r="U69" s="319"/>
      <c r="V69" s="319"/>
      <c r="W69" s="319"/>
      <c r="X69" s="319"/>
      <c r="Y69" s="319"/>
      <c r="Z69" s="319"/>
      <c r="AA69" s="319"/>
      <c r="AB69" s="319"/>
      <c r="AC69" s="283"/>
      <c r="AE69" s="283"/>
      <c r="AG69" s="283"/>
    </row>
    <row r="70" spans="2:33">
      <c r="B70" s="283" t="s">
        <v>426</v>
      </c>
      <c r="C70" s="85" t="s">
        <v>436</v>
      </c>
      <c r="D70" s="282">
        <v>5161833.1229186235</v>
      </c>
      <c r="E70" s="282">
        <v>1794221.9689345148</v>
      </c>
      <c r="F70" s="282">
        <v>594261.98456472449</v>
      </c>
      <c r="G70" s="282">
        <v>118506.27125546552</v>
      </c>
      <c r="H70" s="282">
        <v>10588.417931502529</v>
      </c>
      <c r="I70" s="282">
        <v>844475.52401525434</v>
      </c>
      <c r="J70" s="282">
        <v>15357.726442144045</v>
      </c>
      <c r="K70" s="282"/>
      <c r="L70" s="282">
        <v>5945731.2377856281</v>
      </c>
      <c r="M70" s="282">
        <v>2099613.420969747</v>
      </c>
      <c r="N70" s="282">
        <v>671879.33357317711</v>
      </c>
      <c r="O70" s="282">
        <v>124970.52353258507</v>
      </c>
      <c r="P70" s="282">
        <v>7562.6649910951419</v>
      </c>
      <c r="Q70" s="282">
        <v>1009515.9624264372</v>
      </c>
      <c r="R70" s="282">
        <v>13292.422948163075</v>
      </c>
      <c r="S70" s="283"/>
      <c r="T70" s="283"/>
      <c r="U70" s="319">
        <f>U$10*L70/L$10</f>
        <v>6330926.6734536486</v>
      </c>
      <c r="V70" s="319">
        <f t="shared" ref="V70" si="33">V$10*M70/M$10</f>
        <v>2235637.3134196978</v>
      </c>
      <c r="W70" s="319">
        <f t="shared" ref="W70" si="34">W$10*N70/N$10</f>
        <v>715407.17603052408</v>
      </c>
      <c r="X70" s="319">
        <f t="shared" ref="X70" si="35">X$10*O70/O$10</f>
        <v>133066.76490856137</v>
      </c>
      <c r="Y70" s="319">
        <f t="shared" ref="Y70" si="36">Y$10*P70/P$10</f>
        <v>8052.6138164882514</v>
      </c>
      <c r="Z70" s="319">
        <f t="shared" ref="Z70" si="37">Z$10*Q70/Q$10</f>
        <v>1074917.6641531195</v>
      </c>
      <c r="AA70" s="319">
        <f t="shared" ref="AA70" si="38">AA$10*R70/R$10</f>
        <v>14153.57533528446</v>
      </c>
      <c r="AB70" s="319"/>
      <c r="AC70" s="283"/>
      <c r="AE70" s="283"/>
      <c r="AG70" s="283"/>
    </row>
    <row r="71" spans="2:33">
      <c r="B71" s="283" t="s">
        <v>426</v>
      </c>
      <c r="C71" s="281"/>
      <c r="D71" s="282">
        <v>0.38429130407482326</v>
      </c>
      <c r="E71" s="282">
        <v>0.80832238988207683</v>
      </c>
      <c r="F71" s="282">
        <v>0.25364887554777343</v>
      </c>
      <c r="G71" s="282">
        <v>0.15267044903326243</v>
      </c>
      <c r="H71" s="282">
        <v>1.299369672463596E-2</v>
      </c>
      <c r="I71" s="282">
        <v>1.2008722900422169</v>
      </c>
      <c r="J71" s="282">
        <v>0.76084821024257487</v>
      </c>
      <c r="K71" s="282"/>
      <c r="L71" s="282">
        <v>0.44265142956716108</v>
      </c>
      <c r="M71" s="282">
        <v>0.94590556110211788</v>
      </c>
      <c r="N71" s="282">
        <v>0.28677829289290868</v>
      </c>
      <c r="O71" s="282">
        <v>0.16099828086323079</v>
      </c>
      <c r="P71" s="282">
        <v>9.28060980970059E-3</v>
      </c>
      <c r="Q71" s="282">
        <v>1.4355652842003619</v>
      </c>
      <c r="R71" s="282">
        <v>0.65852951919654645</v>
      </c>
      <c r="S71" s="283"/>
      <c r="T71" s="283"/>
      <c r="U71" s="319"/>
      <c r="V71" s="319"/>
      <c r="W71" s="319"/>
      <c r="X71" s="319"/>
      <c r="Y71" s="319"/>
      <c r="Z71" s="319"/>
      <c r="AA71" s="319"/>
      <c r="AB71" s="319"/>
      <c r="AC71" s="283"/>
      <c r="AE71" s="283"/>
      <c r="AG71" s="283"/>
    </row>
    <row r="72" spans="2:33">
      <c r="B72" s="283" t="s">
        <v>426</v>
      </c>
      <c r="C72" s="281"/>
      <c r="D72" s="282">
        <v>3.1639213358205451E-3</v>
      </c>
      <c r="E72" s="282">
        <v>3.2755334743813907E-3</v>
      </c>
      <c r="F72" s="282">
        <v>6.3721209198332835E-4</v>
      </c>
      <c r="G72" s="282">
        <v>3.145934437630002E-4</v>
      </c>
      <c r="H72" s="282">
        <v>1.9457974250841653E-5</v>
      </c>
      <c r="I72" s="282">
        <v>5.5251721222754251E-3</v>
      </c>
      <c r="J72" s="282">
        <v>2.2088166662565748E-3</v>
      </c>
      <c r="K72" s="282"/>
      <c r="L72" s="282">
        <v>3.6444079985383164E-3</v>
      </c>
      <c r="M72" s="282">
        <v>3.8330564237438794E-3</v>
      </c>
      <c r="N72" s="282">
        <v>7.204392117057904E-4</v>
      </c>
      <c r="O72" s="282">
        <v>3.3175381311449192E-4</v>
      </c>
      <c r="P72" s="282">
        <v>1.3897651340967541E-5</v>
      </c>
      <c r="Q72" s="282">
        <v>6.6049865199998871E-3</v>
      </c>
      <c r="R72" s="282">
        <v>1.9117755126998488E-3</v>
      </c>
      <c r="S72" s="283"/>
      <c r="T72" s="283"/>
      <c r="U72" s="319"/>
      <c r="V72" s="319"/>
      <c r="W72" s="319"/>
      <c r="X72" s="319"/>
      <c r="Y72" s="319"/>
      <c r="Z72" s="319"/>
      <c r="AA72" s="319"/>
      <c r="AB72" s="319"/>
      <c r="AC72" s="283"/>
      <c r="AE72" s="283"/>
      <c r="AG72" s="283"/>
    </row>
    <row r="73" spans="2:33">
      <c r="B73" s="287" t="s">
        <v>426</v>
      </c>
      <c r="C73" s="285"/>
      <c r="D73" s="286">
        <v>46.611468699705462</v>
      </c>
      <c r="E73" s="286">
        <v>86.201676806191301</v>
      </c>
      <c r="F73" s="286">
        <v>555.08961856566691</v>
      </c>
      <c r="G73" s="286">
        <v>1783.539199496973</v>
      </c>
      <c r="H73" s="286">
        <v>10588.417931502529</v>
      </c>
      <c r="I73" s="286">
        <v>164.26725357894964</v>
      </c>
      <c r="J73" s="286">
        <v>5.7039085503708824</v>
      </c>
      <c r="K73" s="286"/>
      <c r="L73" s="286">
        <v>53.690086232428349</v>
      </c>
      <c r="M73" s="286">
        <v>100.87391675393178</v>
      </c>
      <c r="N73" s="286">
        <v>627.59061269662766</v>
      </c>
      <c r="O73" s="286">
        <v>1880.827277246264</v>
      </c>
      <c r="P73" s="286">
        <v>7562.6649910951419</v>
      </c>
      <c r="Q73" s="286">
        <v>196.37089516037346</v>
      </c>
      <c r="R73" s="286">
        <v>4.9368482499541564</v>
      </c>
      <c r="S73" s="287"/>
      <c r="T73" s="287"/>
      <c r="U73" s="302"/>
      <c r="V73" s="302"/>
      <c r="W73" s="302"/>
      <c r="X73" s="302"/>
      <c r="Y73" s="302"/>
      <c r="Z73" s="302"/>
      <c r="AA73" s="302"/>
      <c r="AB73" s="302"/>
      <c r="AC73" s="287"/>
      <c r="AE73" s="283"/>
      <c r="AG73" s="283"/>
    </row>
    <row r="74" spans="2:33">
      <c r="B74" s="274"/>
      <c r="C74" s="288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74"/>
      <c r="T74" s="274"/>
      <c r="U74" s="301"/>
      <c r="V74" s="301"/>
      <c r="W74" s="301"/>
      <c r="X74" s="301"/>
      <c r="Y74" s="301"/>
      <c r="Z74" s="301"/>
      <c r="AA74" s="301"/>
      <c r="AB74" s="301"/>
      <c r="AC74" s="274"/>
      <c r="AE74" s="283"/>
      <c r="AG74" s="283"/>
    </row>
    <row r="75" spans="2:33">
      <c r="B75" s="283" t="s">
        <v>426</v>
      </c>
      <c r="C75" s="281"/>
      <c r="D75" s="282">
        <v>0.6688326098687839</v>
      </c>
      <c r="E75" s="282">
        <v>0.17049016132484024</v>
      </c>
      <c r="F75" s="282">
        <v>7.7893603824068208E-2</v>
      </c>
      <c r="G75" s="282">
        <v>1.3554187110436397E-2</v>
      </c>
      <c r="H75" s="282">
        <v>6.5211028934720359E-3</v>
      </c>
      <c r="I75" s="282">
        <v>5.1416660004687954E-2</v>
      </c>
      <c r="J75" s="282">
        <v>1.1291674973711188E-2</v>
      </c>
      <c r="K75" s="282"/>
      <c r="L75" s="282">
        <v>0.67069318217732699</v>
      </c>
      <c r="M75" s="282">
        <v>0.17056123754337996</v>
      </c>
      <c r="N75" s="282">
        <v>7.7466619135832374E-2</v>
      </c>
      <c r="O75" s="282">
        <v>1.3043965250543131E-2</v>
      </c>
      <c r="P75" s="282">
        <v>6.4212122497328133E-3</v>
      </c>
      <c r="Q75" s="282">
        <v>5.1714778364699718E-2</v>
      </c>
      <c r="R75" s="282">
        <v>1.0099005278485023E-2</v>
      </c>
      <c r="S75" s="283"/>
      <c r="T75" s="283"/>
      <c r="U75" s="319"/>
      <c r="V75" s="319"/>
      <c r="W75" s="319"/>
      <c r="X75" s="319"/>
      <c r="Y75" s="319"/>
      <c r="Z75" s="319"/>
      <c r="AA75" s="319"/>
      <c r="AB75" s="319"/>
      <c r="AC75" s="283"/>
      <c r="AE75" s="283"/>
      <c r="AG75" s="283"/>
    </row>
    <row r="76" spans="2:33">
      <c r="B76" s="283" t="s">
        <v>426</v>
      </c>
      <c r="C76" s="85" t="s">
        <v>437</v>
      </c>
      <c r="D76" s="282">
        <v>1112822.3810328245</v>
      </c>
      <c r="E76" s="282">
        <v>283666.2932828599</v>
      </c>
      <c r="F76" s="282">
        <v>129601.55410444613</v>
      </c>
      <c r="G76" s="282">
        <v>22551.835168682061</v>
      </c>
      <c r="H76" s="282">
        <v>10849.993169886387</v>
      </c>
      <c r="I76" s="282">
        <v>85548.475308937734</v>
      </c>
      <c r="J76" s="282">
        <v>18787.404269297291</v>
      </c>
      <c r="K76" s="282"/>
      <c r="L76" s="282">
        <v>1215969.415377781</v>
      </c>
      <c r="M76" s="282">
        <v>309228.20421171369</v>
      </c>
      <c r="N76" s="282">
        <v>140447.28958790313</v>
      </c>
      <c r="O76" s="282">
        <v>23648.761045132345</v>
      </c>
      <c r="P76" s="282">
        <v>11641.683429636936</v>
      </c>
      <c r="Q76" s="282">
        <v>93759.099519054624</v>
      </c>
      <c r="R76" s="282">
        <v>18309.536865293172</v>
      </c>
      <c r="S76" s="283"/>
      <c r="T76" s="283"/>
      <c r="U76" s="319">
        <f>U$10*L76/L$10</f>
        <v>1294746.2470210954</v>
      </c>
      <c r="V76" s="319">
        <f t="shared" ref="V76" si="39">V$10*M76/M$10</f>
        <v>329261.61777827312</v>
      </c>
      <c r="W76" s="319">
        <f t="shared" ref="W76" si="40">W$10*N76/N$10</f>
        <v>149546.19647380424</v>
      </c>
      <c r="X76" s="319">
        <f t="shared" ref="X76" si="41">X$10*O76/O$10</f>
        <v>25180.85095123131</v>
      </c>
      <c r="Y76" s="319">
        <f t="shared" ref="Y76" si="42">Y$10*P76/P$10</f>
        <v>12395.892313498003</v>
      </c>
      <c r="Z76" s="319">
        <f t="shared" ref="Z76" si="43">Z$10*Q76/Q$10</f>
        <v>99833.302294579698</v>
      </c>
      <c r="AA76" s="319">
        <f t="shared" ref="AA76" si="44">AA$10*R76/R$10</f>
        <v>19495.724021699683</v>
      </c>
      <c r="AB76" s="319"/>
      <c r="AC76" s="283"/>
      <c r="AE76" s="283"/>
      <c r="AG76" s="283"/>
    </row>
    <row r="77" spans="2:33">
      <c r="B77" s="283" t="s">
        <v>426</v>
      </c>
      <c r="C77" s="281"/>
      <c r="D77" s="282">
        <v>8.2848080096194904E-2</v>
      </c>
      <c r="E77" s="282">
        <v>0.12779567973496381</v>
      </c>
      <c r="F77" s="282">
        <v>5.5317838464654913E-2</v>
      </c>
      <c r="G77" s="282">
        <v>2.905330465005259E-2</v>
      </c>
      <c r="H77" s="282">
        <v>1.3314691734487438E-2</v>
      </c>
      <c r="I77" s="282">
        <v>0.12165277800521353</v>
      </c>
      <c r="J77" s="282">
        <v>0.93076035487730446</v>
      </c>
      <c r="K77" s="282"/>
      <c r="L77" s="282">
        <v>9.0527233489178169E-2</v>
      </c>
      <c r="M77" s="282">
        <v>0.13931168237550332</v>
      </c>
      <c r="N77" s="282">
        <v>5.9947124337421061E-2</v>
      </c>
      <c r="O77" s="282">
        <v>3.046646333220247E-2</v>
      </c>
      <c r="P77" s="282">
        <v>1.4286223383653004E-2</v>
      </c>
      <c r="Q77" s="282">
        <v>0.13332855879160968</v>
      </c>
      <c r="R77" s="282">
        <v>0.90708598091059112</v>
      </c>
      <c r="S77" s="283"/>
      <c r="T77" s="283"/>
      <c r="U77" s="319"/>
      <c r="V77" s="319"/>
      <c r="W77" s="319"/>
      <c r="X77" s="319"/>
      <c r="Y77" s="319"/>
      <c r="Z77" s="319"/>
      <c r="AA77" s="319"/>
      <c r="AB77" s="319"/>
      <c r="AC77" s="283"/>
      <c r="AE77" s="283"/>
      <c r="AG77" s="283"/>
    </row>
    <row r="78" spans="2:33">
      <c r="B78" s="283" t="s">
        <v>426</v>
      </c>
      <c r="C78" s="281"/>
      <c r="D78" s="282">
        <v>6.8209924468414103E-4</v>
      </c>
      <c r="E78" s="282">
        <v>5.1786147716910988E-4</v>
      </c>
      <c r="F78" s="282">
        <v>1.3896846771323292E-4</v>
      </c>
      <c r="G78" s="282">
        <v>5.986737590955993E-5</v>
      </c>
      <c r="H78" s="282">
        <v>1.9938662138877125E-5</v>
      </c>
      <c r="I78" s="282">
        <v>5.5972024935985252E-4</v>
      </c>
      <c r="J78" s="282">
        <v>2.7020882174230462E-3</v>
      </c>
      <c r="K78" s="282"/>
      <c r="L78" s="282">
        <v>7.4532273426996805E-4</v>
      </c>
      <c r="M78" s="282">
        <v>5.6452732808739839E-4</v>
      </c>
      <c r="N78" s="282">
        <v>1.505980754889575E-4</v>
      </c>
      <c r="O78" s="282">
        <v>6.2779337321976127E-5</v>
      </c>
      <c r="P78" s="282">
        <v>2.1393524308893715E-5</v>
      </c>
      <c r="Q78" s="282">
        <v>6.1344011536202932E-4</v>
      </c>
      <c r="R78" s="282">
        <v>2.633359197525378E-3</v>
      </c>
      <c r="S78" s="283"/>
      <c r="T78" s="283"/>
      <c r="U78" s="319"/>
      <c r="V78" s="319"/>
      <c r="W78" s="319"/>
      <c r="X78" s="319"/>
      <c r="Y78" s="319"/>
      <c r="Z78" s="319"/>
      <c r="AA78" s="319"/>
      <c r="AB78" s="319"/>
      <c r="AC78" s="283"/>
      <c r="AE78" s="283"/>
      <c r="AG78" s="283"/>
    </row>
    <row r="79" spans="2:33">
      <c r="B79" s="287" t="s">
        <v>426</v>
      </c>
      <c r="C79" s="285"/>
      <c r="D79" s="286">
        <v>10.048811022490883</v>
      </c>
      <c r="E79" s="286">
        <v>13.628475493977094</v>
      </c>
      <c r="F79" s="286">
        <v>121.05852149712798</v>
      </c>
      <c r="G79" s="286">
        <v>339.40889049855951</v>
      </c>
      <c r="H79" s="286">
        <v>10849.993169886387</v>
      </c>
      <c r="I79" s="286">
        <v>16.640876718425698</v>
      </c>
      <c r="J79" s="286">
        <v>6.977701826804954</v>
      </c>
      <c r="K79" s="286"/>
      <c r="L79" s="286">
        <v>10.980231052613616</v>
      </c>
      <c r="M79" s="286">
        <v>14.856573032960091</v>
      </c>
      <c r="N79" s="286">
        <v>131.18933135700141</v>
      </c>
      <c r="O79" s="286">
        <v>355.9178083715571</v>
      </c>
      <c r="P79" s="286">
        <v>11641.683429636936</v>
      </c>
      <c r="Q79" s="286">
        <v>18.238006121006666</v>
      </c>
      <c r="R79" s="286">
        <v>6.8002203498486482</v>
      </c>
      <c r="S79" s="287"/>
      <c r="T79" s="287"/>
      <c r="U79" s="302"/>
      <c r="V79" s="302"/>
      <c r="W79" s="302"/>
      <c r="X79" s="302"/>
      <c r="Y79" s="302"/>
      <c r="Z79" s="302"/>
      <c r="AA79" s="302"/>
      <c r="AB79" s="302"/>
      <c r="AC79" s="287"/>
      <c r="AE79" s="283"/>
      <c r="AG79" s="283"/>
    </row>
    <row r="80" spans="2:33">
      <c r="B80" s="274"/>
      <c r="C80" s="288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74"/>
      <c r="T80" s="274"/>
      <c r="U80" s="301"/>
      <c r="V80" s="301"/>
      <c r="W80" s="301"/>
      <c r="X80" s="301"/>
      <c r="Y80" s="301"/>
      <c r="Z80" s="301"/>
      <c r="AA80" s="301"/>
      <c r="AB80" s="301"/>
      <c r="AC80" s="274"/>
      <c r="AE80" s="283"/>
      <c r="AG80" s="283"/>
    </row>
    <row r="81" spans="2:33">
      <c r="B81" s="283" t="s">
        <v>426</v>
      </c>
      <c r="C81" s="281"/>
      <c r="D81" s="282">
        <v>0.70497561700845923</v>
      </c>
      <c r="E81" s="282">
        <v>0.21402310765995008</v>
      </c>
      <c r="F81" s="282">
        <v>5.5557238069260419E-2</v>
      </c>
      <c r="G81" s="282">
        <v>1.6864614622850067E-2</v>
      </c>
      <c r="H81" s="282">
        <v>1.3214652654925851E-3</v>
      </c>
      <c r="I81" s="282">
        <v>6.381203143615643E-3</v>
      </c>
      <c r="J81" s="282">
        <v>8.7675423037240831E-4</v>
      </c>
      <c r="K81" s="282"/>
      <c r="L81" s="282">
        <v>0.70815599654648409</v>
      </c>
      <c r="M81" s="282">
        <v>0.21696154803708045</v>
      </c>
      <c r="N81" s="282">
        <v>5.3303873497580458E-2</v>
      </c>
      <c r="O81" s="282">
        <v>1.5808144917902382E-2</v>
      </c>
      <c r="P81" s="282">
        <v>8.4430553350830812E-4</v>
      </c>
      <c r="Q81" s="282">
        <v>4.5410435692665061E-3</v>
      </c>
      <c r="R81" s="282">
        <v>3.8508789817805227E-4</v>
      </c>
      <c r="S81" s="283"/>
      <c r="T81" s="283"/>
      <c r="U81" s="319"/>
      <c r="V81" s="319"/>
      <c r="W81" s="319"/>
      <c r="X81" s="319"/>
      <c r="Y81" s="319"/>
      <c r="Z81" s="319"/>
      <c r="AA81" s="319"/>
      <c r="AB81" s="319"/>
      <c r="AC81" s="283"/>
      <c r="AE81" s="283"/>
      <c r="AG81" s="283"/>
    </row>
    <row r="82" spans="2:33">
      <c r="B82" s="283" t="s">
        <v>426</v>
      </c>
      <c r="C82" s="85" t="s">
        <v>438</v>
      </c>
      <c r="D82" s="282">
        <v>3909387.3818968465</v>
      </c>
      <c r="E82" s="282">
        <v>1186848.4757964606</v>
      </c>
      <c r="F82" s="282">
        <v>308088.33701605827</v>
      </c>
      <c r="G82" s="282">
        <v>93521.407005388639</v>
      </c>
      <c r="H82" s="282">
        <v>7328.0827164688853</v>
      </c>
      <c r="I82" s="282">
        <v>35386.465076383123</v>
      </c>
      <c r="J82" s="282">
        <v>4861.972304499498</v>
      </c>
      <c r="K82" s="282"/>
      <c r="L82" s="282">
        <v>4604207.5913136946</v>
      </c>
      <c r="M82" s="282">
        <v>1410615.7560863434</v>
      </c>
      <c r="N82" s="282">
        <v>346565.02267982287</v>
      </c>
      <c r="O82" s="282">
        <v>102779.58697030612</v>
      </c>
      <c r="P82" s="282">
        <v>5489.4090648457022</v>
      </c>
      <c r="Q82" s="282">
        <v>29524.437237086458</v>
      </c>
      <c r="R82" s="282">
        <v>2503.7204129613556</v>
      </c>
      <c r="S82" s="283"/>
      <c r="T82" s="283"/>
      <c r="U82" s="319">
        <f>U$10*L82/L$10</f>
        <v>4902492.1383465677</v>
      </c>
      <c r="V82" s="319">
        <f t="shared" ref="V82" si="45">V$10*M82/M$10</f>
        <v>1502002.7914223399</v>
      </c>
      <c r="W82" s="319">
        <f t="shared" ref="W82" si="46">W$10*N82/N$10</f>
        <v>369017.30980139307</v>
      </c>
      <c r="X82" s="319">
        <f t="shared" ref="X82" si="47">X$10*O82/O$10</f>
        <v>109438.18390270814</v>
      </c>
      <c r="Y82" s="319">
        <f t="shared" ref="Y82" si="48">Y$10*P82/P$10</f>
        <v>5845.041573569848</v>
      </c>
      <c r="Z82" s="319">
        <f t="shared" ref="Z82" si="49">Z$10*Q82/Q$10</f>
        <v>31437.184048129366</v>
      </c>
      <c r="AA82" s="319">
        <f t="shared" ref="AA82" si="50">AA$10*R82/R$10</f>
        <v>2665.9244609903994</v>
      </c>
      <c r="AB82" s="319"/>
      <c r="AC82" s="283"/>
      <c r="AE82" s="283"/>
      <c r="AG82" s="283"/>
    </row>
    <row r="83" spans="2:33">
      <c r="B83" s="283" t="s">
        <v>426</v>
      </c>
      <c r="C83" s="281"/>
      <c r="D83" s="282">
        <v>0.29104845882219016</v>
      </c>
      <c r="E83" s="282">
        <v>0.5346920353190201</v>
      </c>
      <c r="F83" s="282">
        <v>0.13150136182906932</v>
      </c>
      <c r="G83" s="282">
        <v>0.12048269724862073</v>
      </c>
      <c r="H83" s="282">
        <v>8.9927395203724548E-3</v>
      </c>
      <c r="I83" s="282">
        <v>5.0320730612445221E-2</v>
      </c>
      <c r="J83" s="282">
        <v>0.24087047910790713</v>
      </c>
      <c r="K83" s="282"/>
      <c r="L83" s="282">
        <v>0.34277685801990904</v>
      </c>
      <c r="M83" s="282">
        <v>0.63550236197483656</v>
      </c>
      <c r="N83" s="282">
        <v>0.14792436768660799</v>
      </c>
      <c r="O83" s="282">
        <v>0.13240991829355356</v>
      </c>
      <c r="P83" s="282">
        <v>6.7363903698832309E-3</v>
      </c>
      <c r="Q83" s="282">
        <v>4.1984732000909082E-2</v>
      </c>
      <c r="R83" s="282">
        <v>0.12403862006045104</v>
      </c>
      <c r="S83" s="283"/>
      <c r="T83" s="283"/>
      <c r="U83" s="319"/>
      <c r="V83" s="319"/>
      <c r="W83" s="319"/>
      <c r="X83" s="319"/>
      <c r="Y83" s="319"/>
      <c r="Z83" s="319"/>
      <c r="AA83" s="319"/>
      <c r="AB83" s="319"/>
      <c r="AC83" s="283"/>
      <c r="AE83" s="283"/>
      <c r="AG83" s="283"/>
    </row>
    <row r="84" spans="2:33">
      <c r="B84" s="283" t="s">
        <v>426</v>
      </c>
      <c r="C84" s="281"/>
      <c r="D84" s="282">
        <v>2.3962406093006993E-3</v>
      </c>
      <c r="E84" s="282">
        <v>2.1667117997660221E-3</v>
      </c>
      <c r="F84" s="282">
        <v>3.3035532954284928E-4</v>
      </c>
      <c r="G84" s="282">
        <v>2.4826721137789136E-4</v>
      </c>
      <c r="H84" s="282">
        <v>1.346656750116166E-5</v>
      </c>
      <c r="I84" s="282">
        <v>2.3152395159575188E-4</v>
      </c>
      <c r="J84" s="282">
        <v>6.9927052663122647E-4</v>
      </c>
      <c r="K84" s="282"/>
      <c r="L84" s="282">
        <v>2.8221273888194959E-3</v>
      </c>
      <c r="M84" s="282">
        <v>2.575221577124314E-3</v>
      </c>
      <c r="N84" s="282">
        <v>3.7161290616934475E-4</v>
      </c>
      <c r="O84" s="282">
        <v>2.728444990377347E-4</v>
      </c>
      <c r="P84" s="282">
        <v>1.0087699685362473E-5</v>
      </c>
      <c r="Q84" s="282">
        <v>1.9317030856334669E-4</v>
      </c>
      <c r="R84" s="282">
        <v>3.6009622886757015E-4</v>
      </c>
      <c r="S84" s="283"/>
      <c r="T84" s="283"/>
      <c r="U84" s="319"/>
      <c r="V84" s="319"/>
      <c r="W84" s="319"/>
      <c r="X84" s="319"/>
      <c r="Y84" s="319"/>
      <c r="Z84" s="319"/>
      <c r="AA84" s="319"/>
      <c r="AB84" s="319"/>
      <c r="AC84" s="283"/>
      <c r="AE84" s="283"/>
      <c r="AG84" s="283"/>
    </row>
    <row r="85" spans="2:33">
      <c r="B85" s="287" t="s">
        <v>426</v>
      </c>
      <c r="C85" s="285"/>
      <c r="D85" s="286">
        <v>35.30185560963573</v>
      </c>
      <c r="E85" s="286">
        <v>57.020998794972002</v>
      </c>
      <c r="F85" s="286">
        <v>287.77987137110568</v>
      </c>
      <c r="G85" s="286">
        <v>1407.5128144623711</v>
      </c>
      <c r="H85" s="286">
        <v>7328.0827164688853</v>
      </c>
      <c r="I85" s="286">
        <v>6.8833699339518937</v>
      </c>
      <c r="J85" s="286">
        <v>1.8057520104798468</v>
      </c>
      <c r="K85" s="286"/>
      <c r="L85" s="286">
        <v>41.57609766123543</v>
      </c>
      <c r="M85" s="286">
        <v>67.771683553783419</v>
      </c>
      <c r="N85" s="286">
        <v>323.72026352729273</v>
      </c>
      <c r="O85" s="286">
        <v>1546.8499711250088</v>
      </c>
      <c r="P85" s="286">
        <v>5489.4090648457022</v>
      </c>
      <c r="Q85" s="286">
        <v>5.7430891488012596</v>
      </c>
      <c r="R85" s="286">
        <v>0.92988974149448833</v>
      </c>
      <c r="S85" s="287"/>
      <c r="T85" s="287"/>
      <c r="U85" s="302"/>
      <c r="V85" s="302"/>
      <c r="W85" s="302"/>
      <c r="X85" s="302"/>
      <c r="Y85" s="302"/>
      <c r="Z85" s="302"/>
      <c r="AA85" s="302"/>
      <c r="AB85" s="302"/>
      <c r="AC85" s="287"/>
      <c r="AE85" s="283"/>
      <c r="AG85" s="283"/>
    </row>
    <row r="86" spans="2:33">
      <c r="B86" s="274"/>
      <c r="C86" s="274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74"/>
      <c r="T86" s="274"/>
      <c r="U86" s="301"/>
      <c r="V86" s="301"/>
      <c r="W86" s="301"/>
      <c r="X86" s="301"/>
      <c r="Y86" s="301"/>
      <c r="Z86" s="301"/>
      <c r="AA86" s="301"/>
      <c r="AB86" s="301"/>
      <c r="AC86" s="274"/>
      <c r="AE86" s="283"/>
      <c r="AG86" s="283"/>
    </row>
    <row r="87" spans="2:33">
      <c r="B87" s="283" t="s">
        <v>426</v>
      </c>
      <c r="C87" s="283"/>
      <c r="D87" s="282">
        <v>0.80384186230705357</v>
      </c>
      <c r="E87" s="282">
        <v>0.12961162481452657</v>
      </c>
      <c r="F87" s="282">
        <v>1.527602020235129E-2</v>
      </c>
      <c r="G87" s="282">
        <v>8.9980787796645027E-3</v>
      </c>
      <c r="H87" s="282">
        <v>7.0156376805398492E-3</v>
      </c>
      <c r="I87" s="282">
        <v>2.2684514418588066E-2</v>
      </c>
      <c r="J87" s="282">
        <v>1.2572261797276E-2</v>
      </c>
      <c r="K87" s="282"/>
      <c r="L87" s="282">
        <v>0.80411854606470345</v>
      </c>
      <c r="M87" s="282">
        <v>0.12969513756136813</v>
      </c>
      <c r="N87" s="282">
        <v>1.4877364204563827E-2</v>
      </c>
      <c r="O87" s="282">
        <v>8.993013020204282E-3</v>
      </c>
      <c r="P87" s="282">
        <v>7.0029055527828744E-3</v>
      </c>
      <c r="Q87" s="282">
        <v>2.2711931966230899E-2</v>
      </c>
      <c r="R87" s="282">
        <v>1.2601101630146619E-2</v>
      </c>
      <c r="S87" s="283"/>
      <c r="T87" s="283"/>
      <c r="U87" s="319"/>
      <c r="V87" s="319"/>
      <c r="W87" s="319"/>
      <c r="X87" s="319"/>
      <c r="Y87" s="319"/>
      <c r="Z87" s="319"/>
      <c r="AA87" s="319"/>
      <c r="AB87" s="319"/>
      <c r="AC87" s="283"/>
      <c r="AE87" s="283"/>
      <c r="AG87" s="283"/>
    </row>
    <row r="88" spans="2:33">
      <c r="B88" s="283" t="s">
        <v>426</v>
      </c>
      <c r="C88" s="85" t="s">
        <v>432</v>
      </c>
      <c r="D88" s="282">
        <v>7570608.6746200575</v>
      </c>
      <c r="E88" s="282">
        <v>1220686.4772335519</v>
      </c>
      <c r="F88" s="282">
        <v>143870.0526564715</v>
      </c>
      <c r="G88" s="282">
        <v>84744.197159293661</v>
      </c>
      <c r="H88" s="282">
        <v>66073.502728324209</v>
      </c>
      <c r="I88" s="282">
        <v>213643.49095233681</v>
      </c>
      <c r="J88" s="282">
        <v>118405.96849345855</v>
      </c>
      <c r="K88" s="282"/>
      <c r="L88" s="282">
        <v>7591062.5194729362</v>
      </c>
      <c r="M88" s="282">
        <v>1224351.6861017263</v>
      </c>
      <c r="N88" s="282">
        <v>140445.71208375716</v>
      </c>
      <c r="O88" s="282">
        <v>84896.094498623555</v>
      </c>
      <c r="P88" s="282">
        <v>66109.026000329934</v>
      </c>
      <c r="Q88" s="282">
        <v>214405.81906414809</v>
      </c>
      <c r="R88" s="282">
        <v>118957.27409448205</v>
      </c>
      <c r="S88" s="283"/>
      <c r="T88" s="283"/>
      <c r="U88" s="319">
        <f>U$10*L88/L$10</f>
        <v>8082851.0846521063</v>
      </c>
      <c r="V88" s="319">
        <f t="shared" ref="V88" si="51">V$10*M88/M$10</f>
        <v>1303671.5648984131</v>
      </c>
      <c r="W88" s="319">
        <f t="shared" ref="W88" si="52">W$10*N88/N$10</f>
        <v>149544.51677072386</v>
      </c>
      <c r="X88" s="319">
        <f t="shared" ref="X88" si="53">X$10*O88/O$10</f>
        <v>90396.10564932767</v>
      </c>
      <c r="Y88" s="319">
        <f t="shared" ref="Y88" si="54">Y$10*P88/P$10</f>
        <v>70391.913008399526</v>
      </c>
      <c r="Z88" s="319">
        <f t="shared" ref="Z88" si="55">Z$10*Q88/Q$10</f>
        <v>228296.14467444792</v>
      </c>
      <c r="AA88" s="319">
        <f t="shared" ref="AA88" si="56">AA$10*R88/R$10</f>
        <v>126663.94585413084</v>
      </c>
      <c r="AB88" s="319"/>
      <c r="AC88" s="283"/>
      <c r="AE88" s="283"/>
      <c r="AG88" s="283"/>
    </row>
    <row r="89" spans="2:33">
      <c r="B89" s="283" t="s">
        <v>426</v>
      </c>
      <c r="C89" s="283"/>
      <c r="D89" s="282">
        <v>0.56362129711099862</v>
      </c>
      <c r="E89" s="282">
        <v>0.54993653386158647</v>
      </c>
      <c r="F89" s="282">
        <v>6.1408062486181705E-2</v>
      </c>
      <c r="G89" s="282">
        <v>0.10917510521769951</v>
      </c>
      <c r="H89" s="282">
        <v>8.1082845571474549E-2</v>
      </c>
      <c r="I89" s="282">
        <v>0.30380815184871118</v>
      </c>
      <c r="J89" s="282">
        <v>5.8660355456695843</v>
      </c>
      <c r="K89" s="282"/>
      <c r="L89" s="282">
        <v>0.56514405744142415</v>
      </c>
      <c r="M89" s="282">
        <v>0.5515877623288753</v>
      </c>
      <c r="N89" s="282">
        <v>5.9946451011239694E-2</v>
      </c>
      <c r="O89" s="282">
        <v>0.10937079304718543</v>
      </c>
      <c r="P89" s="282">
        <v>8.1126438356165814E-2</v>
      </c>
      <c r="Q89" s="282">
        <v>0.30489220778563358</v>
      </c>
      <c r="R89" s="282">
        <v>5.8933481743594909</v>
      </c>
      <c r="S89" s="283"/>
      <c r="T89" s="283"/>
      <c r="U89" s="319"/>
      <c r="V89" s="319"/>
      <c r="W89" s="319"/>
      <c r="X89" s="319"/>
      <c r="Y89" s="319"/>
      <c r="Z89" s="319"/>
      <c r="AA89" s="319"/>
      <c r="AB89" s="319"/>
      <c r="AC89" s="283"/>
      <c r="AE89" s="283"/>
      <c r="AG89" s="283"/>
    </row>
    <row r="90" spans="2:33">
      <c r="B90" s="283" t="s">
        <v>426</v>
      </c>
      <c r="C90" s="283"/>
      <c r="D90" s="282">
        <v>4.6403689814046153E-3</v>
      </c>
      <c r="E90" s="282">
        <v>2.2284864900398117E-3</v>
      </c>
      <c r="F90" s="282">
        <v>1.5426821773587113E-4</v>
      </c>
      <c r="G90" s="282">
        <v>2.2496673417224993E-4</v>
      </c>
      <c r="H90" s="282">
        <v>1.2142102088033179E-4</v>
      </c>
      <c r="I90" s="282">
        <v>1.3978108621821119E-3</v>
      </c>
      <c r="J90" s="282">
        <v>1.7029674123827523E-2</v>
      </c>
      <c r="K90" s="282"/>
      <c r="L90" s="282">
        <v>4.6529060694096994E-3</v>
      </c>
      <c r="M90" s="282">
        <v>2.2351776991244008E-3</v>
      </c>
      <c r="N90" s="282">
        <v>1.5059638397117061E-4</v>
      </c>
      <c r="O90" s="282">
        <v>2.2536996943205501E-4</v>
      </c>
      <c r="P90" s="282">
        <v>1.2148630078489021E-4</v>
      </c>
      <c r="Q90" s="282">
        <v>1.4027985662796558E-3</v>
      </c>
      <c r="R90" s="282">
        <v>1.7108965352534374E-2</v>
      </c>
      <c r="S90" s="283"/>
      <c r="T90" s="283"/>
      <c r="U90" s="319"/>
      <c r="V90" s="319"/>
      <c r="W90" s="319"/>
      <c r="X90" s="319"/>
      <c r="Y90" s="319"/>
      <c r="Z90" s="319"/>
      <c r="AA90" s="319"/>
      <c r="AB90" s="319"/>
      <c r="AC90" s="283"/>
      <c r="AE90" s="283"/>
      <c r="AG90" s="283"/>
    </row>
    <row r="91" spans="2:33">
      <c r="B91" s="287" t="s">
        <v>426</v>
      </c>
      <c r="C91" s="287"/>
      <c r="D91" s="286">
        <v>68.362765876330045</v>
      </c>
      <c r="E91" s="286">
        <v>58.646713179340928</v>
      </c>
      <c r="F91" s="286">
        <v>134.38647385563172</v>
      </c>
      <c r="G91" s="286">
        <v>1275.4143385177979</v>
      </c>
      <c r="H91" s="286">
        <v>66073.502728324209</v>
      </c>
      <c r="I91" s="286">
        <v>41.557900147175381</v>
      </c>
      <c r="J91" s="286">
        <v>43.976354094408279</v>
      </c>
      <c r="K91" s="286"/>
      <c r="L91" s="286">
        <v>68.54746455341737</v>
      </c>
      <c r="M91" s="286">
        <v>58.822804630539231</v>
      </c>
      <c r="N91" s="286">
        <v>131.18785783825479</v>
      </c>
      <c r="O91" s="286">
        <v>1277.7004188756057</v>
      </c>
      <c r="P91" s="286">
        <v>66109.026000329934</v>
      </c>
      <c r="Q91" s="286">
        <v>41.70618809832623</v>
      </c>
      <c r="R91" s="286">
        <v>44.181110751807516</v>
      </c>
      <c r="S91" s="287"/>
      <c r="T91" s="287"/>
      <c r="U91" s="302"/>
      <c r="V91" s="302"/>
      <c r="W91" s="302"/>
      <c r="X91" s="302"/>
      <c r="Y91" s="302"/>
      <c r="Z91" s="302"/>
      <c r="AA91" s="302"/>
      <c r="AB91" s="302"/>
      <c r="AC91" s="287"/>
      <c r="AE91" s="283"/>
      <c r="AG91" s="283"/>
    </row>
    <row r="92" spans="2:33">
      <c r="B92" s="274"/>
      <c r="C92" s="274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3"/>
      <c r="T92" s="283"/>
      <c r="U92" s="319"/>
      <c r="V92" s="319"/>
      <c r="W92" s="319"/>
      <c r="X92" s="319"/>
      <c r="Y92" s="319"/>
      <c r="Z92" s="319"/>
      <c r="AA92" s="319"/>
      <c r="AB92" s="319"/>
      <c r="AC92" s="283"/>
      <c r="AE92" s="283"/>
      <c r="AG92" s="283"/>
    </row>
    <row r="93" spans="2:33">
      <c r="B93" s="283" t="s">
        <v>426</v>
      </c>
      <c r="C93" s="283"/>
      <c r="D93" s="282">
        <v>0.48121763572264181</v>
      </c>
      <c r="E93" s="282">
        <v>0.14024764294922648</v>
      </c>
      <c r="F93" s="282">
        <v>0.18210869264283511</v>
      </c>
      <c r="G93" s="282">
        <v>7.0229964703878281E-2</v>
      </c>
      <c r="H93" s="282">
        <v>8.1939710394762333E-2</v>
      </c>
      <c r="I93" s="282">
        <v>4.0734467862890866E-2</v>
      </c>
      <c r="J93" s="282">
        <v>3.5218857237652736E-3</v>
      </c>
      <c r="K93" s="282"/>
      <c r="L93" s="282">
        <v>0.48119129889263723</v>
      </c>
      <c r="M93" s="282">
        <v>0.14023784922801971</v>
      </c>
      <c r="N93" s="282">
        <v>0.1821235368186454</v>
      </c>
      <c r="O93" s="282">
        <v>7.0237062926984256E-2</v>
      </c>
      <c r="P93" s="282">
        <v>8.1957264840298194E-2</v>
      </c>
      <c r="Q93" s="282">
        <v>4.073260868613432E-2</v>
      </c>
      <c r="R93" s="282">
        <v>3.5203786072808547E-3</v>
      </c>
      <c r="S93" s="283"/>
      <c r="T93" s="283"/>
      <c r="U93" s="319"/>
      <c r="V93" s="319"/>
      <c r="W93" s="319"/>
      <c r="X93" s="319"/>
      <c r="Y93" s="319"/>
      <c r="Z93" s="319"/>
      <c r="AA93" s="319"/>
      <c r="AB93" s="319"/>
      <c r="AC93" s="283"/>
      <c r="AE93" s="283"/>
      <c r="AG93" s="283"/>
    </row>
    <row r="94" spans="2:33">
      <c r="B94" s="283" t="s">
        <v>426</v>
      </c>
      <c r="C94" s="85" t="s">
        <v>433</v>
      </c>
      <c r="D94" s="282">
        <v>8229236.6390650328</v>
      </c>
      <c r="E94" s="282">
        <v>2398355.6632689354</v>
      </c>
      <c r="F94" s="282">
        <v>3114215.7197505636</v>
      </c>
      <c r="G94" s="282">
        <v>1200992.9724074046</v>
      </c>
      <c r="H94" s="282">
        <v>1401239.7238151128</v>
      </c>
      <c r="I94" s="282">
        <v>696594.53545739304</v>
      </c>
      <c r="J94" s="282">
        <v>60227.283634537867</v>
      </c>
      <c r="K94" s="282"/>
      <c r="L94" s="282">
        <v>8578435.2651642244</v>
      </c>
      <c r="M94" s="282">
        <v>2500089.4947538204</v>
      </c>
      <c r="N94" s="282">
        <v>3246806.3625774099</v>
      </c>
      <c r="O94" s="282">
        <v>1252150.8575092398</v>
      </c>
      <c r="P94" s="282">
        <v>1461092.6934056741</v>
      </c>
      <c r="Q94" s="282">
        <v>726160.35992211883</v>
      </c>
      <c r="R94" s="282">
        <v>62759.530483874871</v>
      </c>
      <c r="S94" s="283"/>
      <c r="T94" s="283"/>
      <c r="U94" s="319">
        <f>U$10*L94/L$10</f>
        <v>9134190.9791654348</v>
      </c>
      <c r="V94" s="319">
        <f t="shared" ref="V94" si="57">V$10*M94/M$10</f>
        <v>2662058.3129911209</v>
      </c>
      <c r="W94" s="319">
        <f t="shared" ref="W94" si="58">W$10*N94/N$10</f>
        <v>3457151.3885036898</v>
      </c>
      <c r="X94" s="319">
        <f t="shared" ref="X94" si="59">X$10*O94/O$10</f>
        <v>1333271.7114111374</v>
      </c>
      <c r="Y94" s="319">
        <f t="shared" ref="Y94" si="60">Y$10*P94/P$10</f>
        <v>1555749.8876311849</v>
      </c>
      <c r="Z94" s="319">
        <f t="shared" ref="Z94" si="61">Z$10*Q94/Q$10</f>
        <v>773204.80996847199</v>
      </c>
      <c r="AA94" s="319">
        <f t="shared" ref="AA94" si="62">AA$10*R94/R$10</f>
        <v>66825.419727812507</v>
      </c>
      <c r="AB94" s="319"/>
      <c r="AC94" s="283"/>
      <c r="AE94" s="283"/>
      <c r="AG94" s="283"/>
    </row>
    <row r="95" spans="2:33">
      <c r="B95" s="283" t="s">
        <v>426</v>
      </c>
      <c r="C95" s="283"/>
      <c r="D95" s="282">
        <v>0.61265523395659627</v>
      </c>
      <c r="E95" s="282">
        <v>1.0804931692325721</v>
      </c>
      <c r="F95" s="282">
        <v>1.329240866898993</v>
      </c>
      <c r="G95" s="282">
        <v>1.547227285448614</v>
      </c>
      <c r="H95" s="282">
        <v>1.719547162527099</v>
      </c>
      <c r="I95" s="282">
        <v>0.99058060445397011</v>
      </c>
      <c r="J95" s="282">
        <v>2.9837633281031883</v>
      </c>
      <c r="K95" s="282"/>
      <c r="L95" s="282">
        <v>0.63865258648800061</v>
      </c>
      <c r="M95" s="282">
        <v>1.1263257001131055</v>
      </c>
      <c r="N95" s="282">
        <v>1.3858345382673876</v>
      </c>
      <c r="O95" s="282">
        <v>1.6131334793347794</v>
      </c>
      <c r="P95" s="282">
        <v>1.7929964105601575</v>
      </c>
      <c r="Q95" s="282">
        <v>1.0326241904694957</v>
      </c>
      <c r="R95" s="282">
        <v>3.1092151969373285</v>
      </c>
      <c r="S95" s="283"/>
      <c r="T95" s="283"/>
      <c r="U95" s="319"/>
      <c r="V95" s="319"/>
      <c r="W95" s="319"/>
      <c r="X95" s="319"/>
      <c r="Y95" s="319"/>
      <c r="Z95" s="319"/>
      <c r="AA95" s="319"/>
      <c r="AB95" s="319"/>
      <c r="AC95" s="283"/>
      <c r="AE95" s="283"/>
      <c r="AG95" s="283"/>
    </row>
    <row r="96" spans="2:33">
      <c r="B96" s="283" t="s">
        <v>426</v>
      </c>
      <c r="C96" s="283"/>
      <c r="D96" s="282">
        <v>5.0440718945854385E-3</v>
      </c>
      <c r="E96" s="282">
        <v>4.378440568964131E-3</v>
      </c>
      <c r="F96" s="282">
        <v>3.3392947306281695E-3</v>
      </c>
      <c r="G96" s="282">
        <v>3.1882238055598432E-3</v>
      </c>
      <c r="H96" s="282">
        <v>2.5750104162522332E-3</v>
      </c>
      <c r="I96" s="282">
        <v>4.5576273064002557E-3</v>
      </c>
      <c r="J96" s="282">
        <v>8.6621563651681395E-3</v>
      </c>
      <c r="K96" s="282"/>
      <c r="L96" s="282">
        <v>5.2581115501196245E-3</v>
      </c>
      <c r="M96" s="282">
        <v>4.5641659565000469E-3</v>
      </c>
      <c r="N96" s="282">
        <v>3.4814683225583244E-3</v>
      </c>
      <c r="O96" s="282">
        <v>3.3240304179805841E-3</v>
      </c>
      <c r="P96" s="282">
        <v>2.68500017569161E-3</v>
      </c>
      <c r="Q96" s="282">
        <v>4.7510684002615398E-3</v>
      </c>
      <c r="R96" s="282">
        <v>9.0263553932575097E-3</v>
      </c>
      <c r="S96" s="283"/>
      <c r="T96" s="283"/>
      <c r="U96" s="319"/>
      <c r="V96" s="319"/>
      <c r="W96" s="319"/>
      <c r="X96" s="319"/>
      <c r="Y96" s="319"/>
      <c r="Z96" s="319"/>
      <c r="AA96" s="319"/>
      <c r="AB96" s="319"/>
      <c r="AC96" s="283"/>
      <c r="AE96" s="283"/>
      <c r="AG96" s="283"/>
    </row>
    <row r="97" spans="2:33">
      <c r="B97" s="287" t="s">
        <v>426</v>
      </c>
      <c r="C97" s="287"/>
      <c r="D97" s="282">
        <v>74.310191145304927</v>
      </c>
      <c r="E97" s="282">
        <v>115.22670178549853</v>
      </c>
      <c r="F97" s="282">
        <v>2908.9338724463955</v>
      </c>
      <c r="G97" s="282">
        <v>18075.145069676662</v>
      </c>
      <c r="H97" s="282">
        <v>1401239.7238151128</v>
      </c>
      <c r="I97" s="282">
        <v>135.50146563587464</v>
      </c>
      <c r="J97" s="282">
        <v>22.368605104590831</v>
      </c>
      <c r="K97" s="282"/>
      <c r="L97" s="282">
        <v>77.463462559317506</v>
      </c>
      <c r="M97" s="282">
        <v>120.1144063247108</v>
      </c>
      <c r="N97" s="282">
        <v>3032.7844488988667</v>
      </c>
      <c r="O97" s="282">
        <v>18845.079795289566</v>
      </c>
      <c r="P97" s="282">
        <v>1461092.6934056741</v>
      </c>
      <c r="Q97" s="282">
        <v>141.25260542205285</v>
      </c>
      <c r="R97" s="282">
        <v>23.309089655477688</v>
      </c>
      <c r="S97" s="283"/>
      <c r="T97" s="283"/>
      <c r="U97" s="319"/>
      <c r="V97" s="319"/>
      <c r="W97" s="319"/>
      <c r="X97" s="319"/>
      <c r="Y97" s="319"/>
      <c r="Z97" s="319"/>
      <c r="AA97" s="319"/>
      <c r="AB97" s="319"/>
      <c r="AC97" s="283"/>
      <c r="AE97" s="283"/>
      <c r="AG97" s="283"/>
    </row>
    <row r="98" spans="2:33">
      <c r="B98" s="274"/>
      <c r="C98" s="274"/>
      <c r="D98" s="290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E98" s="283"/>
      <c r="AG98" s="283"/>
    </row>
    <row r="99" spans="2:33">
      <c r="B99" s="283" t="s">
        <v>426</v>
      </c>
      <c r="C99" s="220" t="s">
        <v>439</v>
      </c>
      <c r="D99" s="291">
        <f>SUMIFS(D$8:D$97,$C$8:$C$97,$C99)</f>
        <v>19429677.200133171</v>
      </c>
      <c r="E99" s="291">
        <f t="shared" ref="E99:R109" si="63">SUMIFS(E$8:E$97,$C$8:$C$97,$C99)</f>
        <v>5229341.6366228145</v>
      </c>
      <c r="F99" s="291">
        <f t="shared" si="63"/>
        <v>8866166.2258062214</v>
      </c>
      <c r="G99" s="291">
        <f t="shared" si="63"/>
        <v>3488314.0646668985</v>
      </c>
      <c r="H99" s="291">
        <f t="shared" si="63"/>
        <v>4598635.0623242129</v>
      </c>
      <c r="I99" s="291">
        <f t="shared" si="63"/>
        <v>1660841.4485781966</v>
      </c>
      <c r="J99" s="291">
        <f t="shared" si="63"/>
        <v>10146.669449728208</v>
      </c>
      <c r="K99" s="291"/>
      <c r="L99" s="291">
        <f t="shared" si="63"/>
        <v>21799060.518397648</v>
      </c>
      <c r="M99" s="291">
        <f t="shared" si="63"/>
        <v>5861119.1942706555</v>
      </c>
      <c r="N99" s="291">
        <f t="shared" si="63"/>
        <v>9895427.2067047767</v>
      </c>
      <c r="O99" s="291">
        <f t="shared" si="63"/>
        <v>3893317.9790927698</v>
      </c>
      <c r="P99" s="291">
        <f t="shared" si="63"/>
        <v>5132454.4385960773</v>
      </c>
      <c r="Q99" s="291">
        <f t="shared" si="63"/>
        <v>1858585.1466844792</v>
      </c>
      <c r="R99" s="291">
        <f t="shared" si="63"/>
        <v>14866.636136251131</v>
      </c>
      <c r="S99" s="291"/>
      <c r="T99" s="291"/>
      <c r="U99" s="283">
        <f t="shared" ref="U99:AA109" si="64">SUMIFS(U$8:U$97,$C$8:$C$97,$C99)</f>
        <v>23211317.190911658</v>
      </c>
      <c r="V99" s="291">
        <f t="shared" si="64"/>
        <v>6240833.0210900651</v>
      </c>
      <c r="W99" s="291">
        <f t="shared" si="64"/>
        <v>10536504.517731607</v>
      </c>
      <c r="X99" s="291">
        <f t="shared" si="64"/>
        <v>4145547.3946472658</v>
      </c>
      <c r="Y99" s="291">
        <f t="shared" si="64"/>
        <v>5464961.5675690947</v>
      </c>
      <c r="Z99" s="291">
        <f t="shared" si="64"/>
        <v>1978993.9722219533</v>
      </c>
      <c r="AA99" s="291">
        <f t="shared" si="64"/>
        <v>15829.774252388708</v>
      </c>
      <c r="AB99" s="291"/>
      <c r="AC99" s="291"/>
      <c r="AE99" s="283"/>
      <c r="AG99" s="283"/>
    </row>
    <row r="100" spans="2:33">
      <c r="B100" s="283" t="s">
        <v>426</v>
      </c>
      <c r="C100" s="220" t="s">
        <v>440</v>
      </c>
      <c r="D100" s="291">
        <f t="shared" ref="D100:D109" si="65">SUMIFS(D$8:D$97,$C$8:$C$97,$C100)</f>
        <v>79672471.695470676</v>
      </c>
      <c r="E100" s="291">
        <f t="shared" si="63"/>
        <v>26853863.560690694</v>
      </c>
      <c r="F100" s="291">
        <f t="shared" si="63"/>
        <v>45853487.103811562</v>
      </c>
      <c r="G100" s="291">
        <f t="shared" si="63"/>
        <v>18469019.859829172</v>
      </c>
      <c r="H100" s="291">
        <f t="shared" si="63"/>
        <v>26150873.501933157</v>
      </c>
      <c r="I100" s="291">
        <f t="shared" si="63"/>
        <v>7490684.2078461535</v>
      </c>
      <c r="J100" s="291">
        <f t="shared" si="63"/>
        <v>332310.34109765256</v>
      </c>
      <c r="K100" s="291"/>
      <c r="L100" s="291">
        <f t="shared" si="63"/>
        <v>80376705.721913934</v>
      </c>
      <c r="M100" s="291">
        <f t="shared" si="63"/>
        <v>27094184.297839969</v>
      </c>
      <c r="N100" s="291">
        <f t="shared" si="63"/>
        <v>46263640.479079358</v>
      </c>
      <c r="O100" s="291">
        <f t="shared" si="63"/>
        <v>18634416.42291382</v>
      </c>
      <c r="P100" s="291">
        <f t="shared" si="63"/>
        <v>26385858.81365991</v>
      </c>
      <c r="Q100" s="291">
        <f t="shared" si="63"/>
        <v>7557232.6752561517</v>
      </c>
      <c r="R100" s="291">
        <f t="shared" si="63"/>
        <v>335438.22625664319</v>
      </c>
      <c r="S100" s="291"/>
      <c r="T100" s="291"/>
      <c r="U100" s="283">
        <f t="shared" si="64"/>
        <v>85583927.330141842</v>
      </c>
      <c r="V100" s="291">
        <f t="shared" si="64"/>
        <v>28849486.666428532</v>
      </c>
      <c r="W100" s="291">
        <f t="shared" si="64"/>
        <v>49260840.055924773</v>
      </c>
      <c r="X100" s="291">
        <f t="shared" si="64"/>
        <v>19841650.969074853</v>
      </c>
      <c r="Y100" s="291">
        <f t="shared" si="64"/>
        <v>28095272.168338869</v>
      </c>
      <c r="Z100" s="291">
        <f t="shared" si="64"/>
        <v>8046829.5669370554</v>
      </c>
      <c r="AA100" s="291">
        <f t="shared" si="64"/>
        <v>357169.66155622416</v>
      </c>
      <c r="AB100" s="291"/>
      <c r="AC100" s="291"/>
      <c r="AE100" s="283"/>
      <c r="AG100" s="283"/>
    </row>
    <row r="101" spans="2:33">
      <c r="B101" s="283" t="s">
        <v>426</v>
      </c>
      <c r="C101" s="85" t="s">
        <v>441</v>
      </c>
      <c r="D101" s="291">
        <f t="shared" si="65"/>
        <v>20464794.889449865</v>
      </c>
      <c r="E101" s="291">
        <f t="shared" si="63"/>
        <v>7501309.4015307538</v>
      </c>
      <c r="F101" s="291">
        <f t="shared" si="63"/>
        <v>15037525.343626849</v>
      </c>
      <c r="G101" s="291">
        <f t="shared" si="63"/>
        <v>6069884.2759030284</v>
      </c>
      <c r="H101" s="291">
        <f t="shared" si="63"/>
        <v>7982565.0580642764</v>
      </c>
      <c r="I101" s="291">
        <f t="shared" si="63"/>
        <v>2184659.6610886841</v>
      </c>
      <c r="J101" s="291">
        <f t="shared" si="63"/>
        <v>-102644.62400808027</v>
      </c>
      <c r="K101" s="291"/>
      <c r="L101" s="291">
        <f t="shared" si="63"/>
        <v>25396937.823682655</v>
      </c>
      <c r="M101" s="291">
        <f t="shared" si="63"/>
        <v>9040726.8452049829</v>
      </c>
      <c r="N101" s="291">
        <f t="shared" si="63"/>
        <v>17571846.697853748</v>
      </c>
      <c r="O101" s="291">
        <f t="shared" si="63"/>
        <v>7087912.0226090876</v>
      </c>
      <c r="P101" s="291">
        <f t="shared" si="63"/>
        <v>9320282.4412308261</v>
      </c>
      <c r="Q101" s="291">
        <f t="shared" si="63"/>
        <v>2620474.8287319988</v>
      </c>
      <c r="R101" s="291">
        <f t="shared" si="63"/>
        <v>-83295.338736790814</v>
      </c>
      <c r="S101" s="291"/>
      <c r="T101" s="291"/>
      <c r="U101" s="283">
        <f t="shared" si="64"/>
        <v>27042283.726211287</v>
      </c>
      <c r="V101" s="291">
        <f t="shared" si="64"/>
        <v>9626432.2154314499</v>
      </c>
      <c r="W101" s="291">
        <f t="shared" si="64"/>
        <v>18710242.443234306</v>
      </c>
      <c r="X101" s="291">
        <f t="shared" si="64"/>
        <v>7547103.8781330399</v>
      </c>
      <c r="Y101" s="291">
        <f t="shared" si="64"/>
        <v>9924098.8789270557</v>
      </c>
      <c r="Z101" s="291">
        <f t="shared" si="64"/>
        <v>2790242.8358857217</v>
      </c>
      <c r="AA101" s="291">
        <f t="shared" si="64"/>
        <v>-88691.644592314638</v>
      </c>
      <c r="AB101" s="291"/>
      <c r="AC101" s="291"/>
      <c r="AE101" s="283"/>
      <c r="AG101" s="283"/>
    </row>
    <row r="102" spans="2:33">
      <c r="B102" s="283" t="s">
        <v>426</v>
      </c>
      <c r="C102" s="85" t="s">
        <v>442</v>
      </c>
      <c r="D102" s="291">
        <f t="shared" si="65"/>
        <v>0.43651264379727783</v>
      </c>
      <c r="E102" s="291">
        <f t="shared" si="63"/>
        <v>0.13622710230095025</v>
      </c>
      <c r="F102" s="291">
        <f t="shared" si="63"/>
        <v>0.22420231707318566</v>
      </c>
      <c r="G102" s="291">
        <f t="shared" si="63"/>
        <v>9.0057921268601987E-2</v>
      </c>
      <c r="H102" s="291">
        <f t="shared" si="63"/>
        <v>0.11832465891860533</v>
      </c>
      <c r="I102" s="291">
        <f t="shared" si="63"/>
        <v>3.8569271431020992E-2</v>
      </c>
      <c r="J102" s="291">
        <f t="shared" si="63"/>
        <v>1.7146930029726573E-3</v>
      </c>
      <c r="K102" s="291"/>
      <c r="L102" s="291">
        <f t="shared" si="63"/>
        <v>0.43651264379727783</v>
      </c>
      <c r="M102" s="291">
        <f t="shared" si="63"/>
        <v>0.13622710230095025</v>
      </c>
      <c r="N102" s="291">
        <f t="shared" si="63"/>
        <v>0.22420231707318566</v>
      </c>
      <c r="O102" s="291">
        <f t="shared" si="63"/>
        <v>9.0057921268601987E-2</v>
      </c>
      <c r="P102" s="291">
        <f t="shared" si="63"/>
        <v>0.11832465891860533</v>
      </c>
      <c r="Q102" s="291">
        <f t="shared" si="63"/>
        <v>3.8569271431020992E-2</v>
      </c>
      <c r="R102" s="291">
        <f t="shared" si="63"/>
        <v>1.7146930029726573E-3</v>
      </c>
      <c r="S102" s="291"/>
      <c r="T102" s="291"/>
      <c r="U102" s="283">
        <f t="shared" si="64"/>
        <v>0.46479220627287904</v>
      </c>
      <c r="V102" s="291">
        <f t="shared" si="64"/>
        <v>0.145052603475159</v>
      </c>
      <c r="W102" s="291">
        <f t="shared" si="64"/>
        <v>0.23872731084585228</v>
      </c>
      <c r="X102" s="291">
        <f t="shared" si="64"/>
        <v>9.5892342440880698E-2</v>
      </c>
      <c r="Y102" s="291">
        <f t="shared" si="64"/>
        <v>0.12599034657242481</v>
      </c>
      <c r="Z102" s="291">
        <f t="shared" si="64"/>
        <v>4.1067989707732636E-2</v>
      </c>
      <c r="AA102" s="291">
        <f t="shared" si="64"/>
        <v>1.8257797460328679E-3</v>
      </c>
      <c r="AB102" s="291"/>
      <c r="AC102" s="291"/>
      <c r="AE102" s="283"/>
      <c r="AG102" s="283"/>
    </row>
    <row r="103" spans="2:33">
      <c r="B103" s="283" t="s">
        <v>426</v>
      </c>
      <c r="C103" s="85" t="s">
        <v>434</v>
      </c>
      <c r="D103" s="291">
        <f t="shared" si="65"/>
        <v>6694072.0700953817</v>
      </c>
      <c r="E103" s="291">
        <f t="shared" si="63"/>
        <v>1655300.964555206</v>
      </c>
      <c r="F103" s="291">
        <f t="shared" si="63"/>
        <v>1985206.9195822298</v>
      </c>
      <c r="G103" s="291">
        <f t="shared" si="63"/>
        <v>766321.97988984676</v>
      </c>
      <c r="H103" s="291">
        <f t="shared" si="63"/>
        <v>765257.24024501932</v>
      </c>
      <c r="I103" s="291">
        <f t="shared" si="63"/>
        <v>559289.63794674643</v>
      </c>
      <c r="J103" s="291">
        <f t="shared" si="63"/>
        <v>27861.888138129103</v>
      </c>
      <c r="K103" s="291"/>
      <c r="L103" s="291">
        <f t="shared" si="63"/>
        <v>7460395.6265739836</v>
      </c>
      <c r="M103" s="291">
        <f t="shared" si="63"/>
        <v>1835979.7249812412</v>
      </c>
      <c r="N103" s="291">
        <f t="shared" si="63"/>
        <v>2240488.4407226192</v>
      </c>
      <c r="O103" s="291">
        <f t="shared" si="63"/>
        <v>864793.10108261975</v>
      </c>
      <c r="P103" s="291">
        <f t="shared" si="63"/>
        <v>863913.79664548323</v>
      </c>
      <c r="Q103" s="291">
        <f t="shared" si="63"/>
        <v>630061.87833932356</v>
      </c>
      <c r="R103" s="291">
        <f t="shared" si="63"/>
        <v>26511.929061076724</v>
      </c>
      <c r="S103" s="291"/>
      <c r="T103" s="291"/>
      <c r="U103" s="283">
        <f t="shared" si="64"/>
        <v>7943718.9099022467</v>
      </c>
      <c r="V103" s="291">
        <f t="shared" si="64"/>
        <v>1954924.0535690212</v>
      </c>
      <c r="W103" s="291">
        <f t="shared" si="64"/>
        <v>2385638.9506462282</v>
      </c>
      <c r="X103" s="291">
        <f t="shared" si="64"/>
        <v>920818.90211736015</v>
      </c>
      <c r="Y103" s="291">
        <f t="shared" si="64"/>
        <v>919882.63175926264</v>
      </c>
      <c r="Z103" s="291">
        <f t="shared" si="64"/>
        <v>670880.5682562791</v>
      </c>
      <c r="AA103" s="291">
        <f t="shared" si="64"/>
        <v>28229.509902972375</v>
      </c>
      <c r="AB103" s="291"/>
      <c r="AC103" s="291"/>
      <c r="AE103" s="283"/>
      <c r="AG103" s="283"/>
    </row>
    <row r="104" spans="2:33">
      <c r="B104" s="283" t="s">
        <v>426</v>
      </c>
      <c r="C104" s="85" t="s">
        <v>435</v>
      </c>
      <c r="D104" s="291">
        <f t="shared" si="65"/>
        <v>25876267.187623437</v>
      </c>
      <c r="E104" s="291">
        <f t="shared" si="63"/>
        <v>6107379.2798508946</v>
      </c>
      <c r="F104" s="291">
        <f t="shared" si="63"/>
        <v>5680756.7141227936</v>
      </c>
      <c r="G104" s="291">
        <f t="shared" si="63"/>
        <v>2179121.3401205279</v>
      </c>
      <c r="H104" s="291">
        <f t="shared" si="63"/>
        <v>813130.01210916368</v>
      </c>
      <c r="I104" s="291">
        <f t="shared" si="63"/>
        <v>1568064.3957470562</v>
      </c>
      <c r="J104" s="291">
        <f t="shared" si="63"/>
        <v>439403.7180388663</v>
      </c>
      <c r="K104" s="291"/>
      <c r="L104" s="291">
        <f t="shared" si="63"/>
        <v>27983621.693723455</v>
      </c>
      <c r="M104" s="291">
        <f t="shared" si="63"/>
        <v>6528725.4727348238</v>
      </c>
      <c r="N104" s="291">
        <f t="shared" si="63"/>
        <v>6105870.3085174793</v>
      </c>
      <c r="O104" s="291">
        <f t="shared" si="63"/>
        <v>2344729.343794154</v>
      </c>
      <c r="P104" s="291">
        <f t="shared" si="63"/>
        <v>817512.00657896721</v>
      </c>
      <c r="Q104" s="291">
        <f t="shared" si="63"/>
        <v>1682011.2853504093</v>
      </c>
      <c r="R104" s="291">
        <f t="shared" si="63"/>
        <v>495163.56331719813</v>
      </c>
      <c r="S104" s="291"/>
      <c r="T104" s="291"/>
      <c r="U104" s="283">
        <f t="shared" si="64"/>
        <v>29796546.449114416</v>
      </c>
      <c r="V104" s="291">
        <f t="shared" si="64"/>
        <v>6951690.3112470331</v>
      </c>
      <c r="W104" s="291">
        <f t="shared" si="64"/>
        <v>6501440.3872110741</v>
      </c>
      <c r="X104" s="291">
        <f t="shared" si="64"/>
        <v>2496633.1223179125</v>
      </c>
      <c r="Y104" s="291">
        <f t="shared" si="64"/>
        <v>870474.69206612743</v>
      </c>
      <c r="Z104" s="291">
        <f t="shared" si="64"/>
        <v>1790980.7365327298</v>
      </c>
      <c r="AA104" s="291">
        <f t="shared" si="64"/>
        <v>527242.83782035136</v>
      </c>
      <c r="AB104" s="291"/>
      <c r="AC104" s="291"/>
      <c r="AE104" s="283"/>
      <c r="AG104" s="283"/>
    </row>
    <row r="105" spans="2:33">
      <c r="B105" s="283" t="s">
        <v>426</v>
      </c>
      <c r="C105" s="85" t="s">
        <v>436</v>
      </c>
      <c r="D105" s="291">
        <f t="shared" si="65"/>
        <v>5161833.1229186235</v>
      </c>
      <c r="E105" s="291">
        <f t="shared" si="63"/>
        <v>1794221.9689345148</v>
      </c>
      <c r="F105" s="291">
        <f t="shared" si="63"/>
        <v>594261.98456472449</v>
      </c>
      <c r="G105" s="291">
        <f t="shared" si="63"/>
        <v>118506.27125546552</v>
      </c>
      <c r="H105" s="291">
        <f t="shared" si="63"/>
        <v>10588.417931502529</v>
      </c>
      <c r="I105" s="291">
        <f t="shared" si="63"/>
        <v>844475.52401525434</v>
      </c>
      <c r="J105" s="291">
        <f t="shared" si="63"/>
        <v>15357.726442144045</v>
      </c>
      <c r="K105" s="291"/>
      <c r="L105" s="291">
        <f t="shared" si="63"/>
        <v>5945731.2377856281</v>
      </c>
      <c r="M105" s="291">
        <f t="shared" si="63"/>
        <v>2099613.420969747</v>
      </c>
      <c r="N105" s="291">
        <f t="shared" si="63"/>
        <v>671879.33357317711</v>
      </c>
      <c r="O105" s="291">
        <f t="shared" si="63"/>
        <v>124970.52353258507</v>
      </c>
      <c r="P105" s="291">
        <f t="shared" si="63"/>
        <v>7562.6649910951419</v>
      </c>
      <c r="Q105" s="291">
        <f t="shared" si="63"/>
        <v>1009515.9624264372</v>
      </c>
      <c r="R105" s="291">
        <f t="shared" si="63"/>
        <v>13292.422948163075</v>
      </c>
      <c r="S105" s="291"/>
      <c r="T105" s="291"/>
      <c r="U105" s="283">
        <f t="shared" si="64"/>
        <v>6330926.6734536486</v>
      </c>
      <c r="V105" s="291">
        <f t="shared" si="64"/>
        <v>2235637.3134196978</v>
      </c>
      <c r="W105" s="291">
        <f t="shared" si="64"/>
        <v>715407.17603052408</v>
      </c>
      <c r="X105" s="291">
        <f t="shared" si="64"/>
        <v>133066.76490856137</v>
      </c>
      <c r="Y105" s="291">
        <f t="shared" si="64"/>
        <v>8052.6138164882514</v>
      </c>
      <c r="Z105" s="291">
        <f t="shared" si="64"/>
        <v>1074917.6641531195</v>
      </c>
      <c r="AA105" s="291">
        <f t="shared" si="64"/>
        <v>14153.57533528446</v>
      </c>
      <c r="AB105" s="291"/>
      <c r="AC105" s="291"/>
      <c r="AE105" s="283"/>
      <c r="AG105" s="283"/>
    </row>
    <row r="106" spans="2:33">
      <c r="B106" s="283" t="s">
        <v>426</v>
      </c>
      <c r="C106" s="85" t="s">
        <v>437</v>
      </c>
      <c r="D106" s="291">
        <f t="shared" si="65"/>
        <v>1112822.3810328245</v>
      </c>
      <c r="E106" s="291">
        <f t="shared" si="63"/>
        <v>283666.2932828599</v>
      </c>
      <c r="F106" s="291">
        <f t="shared" si="63"/>
        <v>129601.55410444613</v>
      </c>
      <c r="G106" s="291">
        <f t="shared" si="63"/>
        <v>22551.835168682061</v>
      </c>
      <c r="H106" s="291">
        <f t="shared" si="63"/>
        <v>10849.993169886387</v>
      </c>
      <c r="I106" s="291">
        <f t="shared" si="63"/>
        <v>85548.475308937734</v>
      </c>
      <c r="J106" s="291">
        <f t="shared" si="63"/>
        <v>18787.404269297291</v>
      </c>
      <c r="K106" s="291"/>
      <c r="L106" s="291">
        <f t="shared" si="63"/>
        <v>1215969.415377781</v>
      </c>
      <c r="M106" s="291">
        <f t="shared" si="63"/>
        <v>309228.20421171369</v>
      </c>
      <c r="N106" s="291">
        <f t="shared" si="63"/>
        <v>140447.28958790313</v>
      </c>
      <c r="O106" s="291">
        <f t="shared" si="63"/>
        <v>23648.761045132345</v>
      </c>
      <c r="P106" s="291">
        <f t="shared" si="63"/>
        <v>11641.683429636936</v>
      </c>
      <c r="Q106" s="291">
        <f t="shared" si="63"/>
        <v>93759.099519054624</v>
      </c>
      <c r="R106" s="291">
        <f t="shared" si="63"/>
        <v>18309.536865293172</v>
      </c>
      <c r="S106" s="291"/>
      <c r="T106" s="291"/>
      <c r="U106" s="283">
        <f t="shared" si="64"/>
        <v>1294746.2470210954</v>
      </c>
      <c r="V106" s="291">
        <f t="shared" si="64"/>
        <v>329261.61777827312</v>
      </c>
      <c r="W106" s="291">
        <f t="shared" si="64"/>
        <v>149546.19647380424</v>
      </c>
      <c r="X106" s="291">
        <f t="shared" si="64"/>
        <v>25180.85095123131</v>
      </c>
      <c r="Y106" s="291">
        <f t="shared" si="64"/>
        <v>12395.892313498003</v>
      </c>
      <c r="Z106" s="291">
        <f t="shared" si="64"/>
        <v>99833.302294579698</v>
      </c>
      <c r="AA106" s="291">
        <f t="shared" si="64"/>
        <v>19495.724021699683</v>
      </c>
      <c r="AB106" s="291"/>
      <c r="AC106" s="291"/>
      <c r="AE106" s="283"/>
      <c r="AG106" s="283"/>
    </row>
    <row r="107" spans="2:33">
      <c r="B107" s="283" t="s">
        <v>426</v>
      </c>
      <c r="C107" s="85" t="s">
        <v>438</v>
      </c>
      <c r="D107" s="291">
        <f t="shared" si="65"/>
        <v>3909387.3818968465</v>
      </c>
      <c r="E107" s="291">
        <f t="shared" si="63"/>
        <v>1186848.4757964606</v>
      </c>
      <c r="F107" s="291">
        <f t="shared" si="63"/>
        <v>308088.33701605827</v>
      </c>
      <c r="G107" s="291">
        <f t="shared" si="63"/>
        <v>93521.407005388639</v>
      </c>
      <c r="H107" s="291">
        <f t="shared" si="63"/>
        <v>7328.0827164688853</v>
      </c>
      <c r="I107" s="291">
        <f t="shared" si="63"/>
        <v>35386.465076383123</v>
      </c>
      <c r="J107" s="291">
        <f t="shared" si="63"/>
        <v>4861.972304499498</v>
      </c>
      <c r="K107" s="291"/>
      <c r="L107" s="291">
        <f t="shared" si="63"/>
        <v>4604207.5913136946</v>
      </c>
      <c r="M107" s="291">
        <f t="shared" si="63"/>
        <v>1410615.7560863434</v>
      </c>
      <c r="N107" s="291">
        <f t="shared" si="63"/>
        <v>346565.02267982287</v>
      </c>
      <c r="O107" s="291">
        <f t="shared" si="63"/>
        <v>102779.58697030612</v>
      </c>
      <c r="P107" s="291">
        <f t="shared" si="63"/>
        <v>5489.4090648457022</v>
      </c>
      <c r="Q107" s="291">
        <f t="shared" si="63"/>
        <v>29524.437237086458</v>
      </c>
      <c r="R107" s="291">
        <f t="shared" si="63"/>
        <v>2503.7204129613556</v>
      </c>
      <c r="S107" s="291"/>
      <c r="T107" s="291"/>
      <c r="U107" s="283">
        <f t="shared" si="64"/>
        <v>4902492.1383465677</v>
      </c>
      <c r="V107" s="291">
        <f t="shared" si="64"/>
        <v>1502002.7914223399</v>
      </c>
      <c r="W107" s="291">
        <f t="shared" si="64"/>
        <v>369017.30980139307</v>
      </c>
      <c r="X107" s="291">
        <f t="shared" si="64"/>
        <v>109438.18390270814</v>
      </c>
      <c r="Y107" s="291">
        <f t="shared" si="64"/>
        <v>5845.041573569848</v>
      </c>
      <c r="Z107" s="291">
        <f t="shared" si="64"/>
        <v>31437.184048129366</v>
      </c>
      <c r="AA107" s="291">
        <f t="shared" si="64"/>
        <v>2665.9244609903994</v>
      </c>
      <c r="AB107" s="291"/>
      <c r="AC107" s="291"/>
      <c r="AE107" s="283"/>
      <c r="AG107" s="283"/>
    </row>
    <row r="108" spans="2:33">
      <c r="B108" s="283" t="s">
        <v>426</v>
      </c>
      <c r="C108" s="85" t="s">
        <v>432</v>
      </c>
      <c r="D108" s="291">
        <f t="shared" si="65"/>
        <v>7570608.6746200575</v>
      </c>
      <c r="E108" s="291">
        <f t="shared" si="63"/>
        <v>1220686.4772335519</v>
      </c>
      <c r="F108" s="291">
        <f t="shared" si="63"/>
        <v>143870.0526564715</v>
      </c>
      <c r="G108" s="291">
        <f t="shared" si="63"/>
        <v>84744.197159293661</v>
      </c>
      <c r="H108" s="291">
        <f t="shared" si="63"/>
        <v>66073.502728324209</v>
      </c>
      <c r="I108" s="291">
        <f t="shared" si="63"/>
        <v>213643.49095233681</v>
      </c>
      <c r="J108" s="291">
        <f t="shared" si="63"/>
        <v>118405.96849345855</v>
      </c>
      <c r="K108" s="291"/>
      <c r="L108" s="291">
        <f t="shared" si="63"/>
        <v>7591062.5194729362</v>
      </c>
      <c r="M108" s="291">
        <f t="shared" si="63"/>
        <v>1224351.6861017263</v>
      </c>
      <c r="N108" s="291">
        <f t="shared" si="63"/>
        <v>140445.71208375716</v>
      </c>
      <c r="O108" s="291">
        <f t="shared" si="63"/>
        <v>84896.094498623555</v>
      </c>
      <c r="P108" s="291">
        <f t="shared" si="63"/>
        <v>66109.026000329934</v>
      </c>
      <c r="Q108" s="291">
        <f t="shared" si="63"/>
        <v>214405.81906414809</v>
      </c>
      <c r="R108" s="291">
        <f t="shared" si="63"/>
        <v>118957.27409448205</v>
      </c>
      <c r="S108" s="291"/>
      <c r="T108" s="291"/>
      <c r="U108" s="283">
        <f t="shared" si="64"/>
        <v>8082851.0846521063</v>
      </c>
      <c r="V108" s="291">
        <f t="shared" si="64"/>
        <v>1303671.5648984131</v>
      </c>
      <c r="W108" s="291">
        <f t="shared" si="64"/>
        <v>149544.51677072386</v>
      </c>
      <c r="X108" s="291">
        <f t="shared" si="64"/>
        <v>90396.10564932767</v>
      </c>
      <c r="Y108" s="291">
        <f t="shared" si="64"/>
        <v>70391.913008399526</v>
      </c>
      <c r="Z108" s="291">
        <f t="shared" si="64"/>
        <v>228296.14467444792</v>
      </c>
      <c r="AA108" s="291">
        <f t="shared" si="64"/>
        <v>126663.94585413084</v>
      </c>
      <c r="AB108" s="291"/>
      <c r="AC108" s="291"/>
      <c r="AE108" s="283"/>
      <c r="AG108" s="283"/>
    </row>
    <row r="109" spans="2:33">
      <c r="B109" s="287" t="s">
        <v>426</v>
      </c>
      <c r="C109" s="257" t="s">
        <v>433</v>
      </c>
      <c r="D109" s="305">
        <f t="shared" si="65"/>
        <v>8229236.6390650328</v>
      </c>
      <c r="E109" s="305">
        <f t="shared" si="63"/>
        <v>2398355.6632689354</v>
      </c>
      <c r="F109" s="305">
        <f t="shared" si="63"/>
        <v>3114215.7197505636</v>
      </c>
      <c r="G109" s="305">
        <f t="shared" si="63"/>
        <v>1200992.9724074046</v>
      </c>
      <c r="H109" s="305">
        <f t="shared" si="63"/>
        <v>1401239.7238151128</v>
      </c>
      <c r="I109" s="305">
        <f t="shared" si="63"/>
        <v>696594.53545739304</v>
      </c>
      <c r="J109" s="305">
        <f t="shared" si="63"/>
        <v>60227.283634537867</v>
      </c>
      <c r="K109" s="291"/>
      <c r="L109" s="305">
        <f t="shared" si="63"/>
        <v>8578435.2651642244</v>
      </c>
      <c r="M109" s="305">
        <f t="shared" si="63"/>
        <v>2500089.4947538204</v>
      </c>
      <c r="N109" s="305">
        <f t="shared" si="63"/>
        <v>3246806.3625774099</v>
      </c>
      <c r="O109" s="305">
        <f t="shared" si="63"/>
        <v>1252150.8575092398</v>
      </c>
      <c r="P109" s="305">
        <f t="shared" si="63"/>
        <v>1461092.6934056741</v>
      </c>
      <c r="Q109" s="305">
        <f t="shared" si="63"/>
        <v>726160.35992211883</v>
      </c>
      <c r="R109" s="305">
        <f t="shared" si="63"/>
        <v>62759.530483874871</v>
      </c>
      <c r="S109" s="305"/>
      <c r="T109" s="305"/>
      <c r="U109" s="287">
        <f t="shared" si="64"/>
        <v>9134190.9791654348</v>
      </c>
      <c r="V109" s="305">
        <f t="shared" si="64"/>
        <v>2662058.3129911209</v>
      </c>
      <c r="W109" s="305">
        <f t="shared" si="64"/>
        <v>3457151.3885036898</v>
      </c>
      <c r="X109" s="305">
        <f t="shared" si="64"/>
        <v>1333271.7114111374</v>
      </c>
      <c r="Y109" s="305">
        <f t="shared" si="64"/>
        <v>1555749.8876311849</v>
      </c>
      <c r="Z109" s="305">
        <f t="shared" si="64"/>
        <v>773204.80996847199</v>
      </c>
      <c r="AA109" s="305">
        <f t="shared" si="64"/>
        <v>66825.419727812507</v>
      </c>
      <c r="AB109" s="305"/>
      <c r="AC109" s="305"/>
      <c r="AE109" s="283"/>
      <c r="AG109" s="283"/>
    </row>
    <row r="110" spans="2:33">
      <c r="B110" s="283"/>
      <c r="C110" s="283"/>
      <c r="D110" s="290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E110" s="283"/>
      <c r="AG110" s="283"/>
    </row>
    <row r="111" spans="2:33">
      <c r="B111" s="283" t="s">
        <v>426</v>
      </c>
      <c r="C111" s="220" t="s">
        <v>439</v>
      </c>
      <c r="D111" s="291">
        <f>D99</f>
        <v>19429677.200133171</v>
      </c>
      <c r="E111" s="291">
        <f t="shared" ref="E111:J111" si="66">E99</f>
        <v>5229341.6366228145</v>
      </c>
      <c r="F111" s="291">
        <f t="shared" si="66"/>
        <v>8866166.2258062214</v>
      </c>
      <c r="G111" s="291">
        <f t="shared" si="66"/>
        <v>3488314.0646668985</v>
      </c>
      <c r="H111" s="291">
        <f t="shared" si="66"/>
        <v>4598635.0623242129</v>
      </c>
      <c r="I111" s="291">
        <f t="shared" si="66"/>
        <v>1660841.4485781966</v>
      </c>
      <c r="J111" s="291">
        <f t="shared" si="66"/>
        <v>10146.669449728208</v>
      </c>
      <c r="K111" s="283">
        <f>SUMIFS(Sch.47T!F:F,Sch.47T!A:A,"Present",Sch.47T!B:B,"$")*G99/SUM(G$99:G$109)</f>
        <v>35625.002919368875</v>
      </c>
      <c r="L111" s="291">
        <f ca="1">L99*(1-($S111-$K111)/SUM($L99:$R99))</f>
        <v>21796302.154333804</v>
      </c>
      <c r="M111" s="291">
        <f t="shared" ref="M111:R111" ca="1" si="67">M99*(1-($S111-$K111)/SUM($L99:$R99))</f>
        <v>5860377.5521918265</v>
      </c>
      <c r="N111" s="291">
        <f t="shared" ca="1" si="67"/>
        <v>9894175.0797711276</v>
      </c>
      <c r="O111" s="291">
        <f t="shared" ca="1" si="67"/>
        <v>3892825.3345407909</v>
      </c>
      <c r="P111" s="291">
        <f t="shared" ca="1" si="67"/>
        <v>5131804.9987786692</v>
      </c>
      <c r="Q111" s="291">
        <f t="shared" ca="1" si="67"/>
        <v>1858349.9689127638</v>
      </c>
      <c r="R111" s="291">
        <f t="shared" ca="1" si="67"/>
        <v>14864.754972848063</v>
      </c>
      <c r="S111" s="291">
        <f ca="1">S$128*O99/SUM(O$99:O$109)</f>
        <v>41756.27930019523</v>
      </c>
      <c r="T111" s="291"/>
      <c r="U111" s="283">
        <f ca="1">U99*(1-($AB111-$K111)/SUM($U99:$AA99))</f>
        <v>23206873.591732636</v>
      </c>
      <c r="V111" s="291">
        <f t="shared" ref="V111:AA111" ca="1" si="68">V99*(1-($AB111-$K111)/SUM($U99:$AA99))</f>
        <v>6239638.2693979982</v>
      </c>
      <c r="W111" s="291">
        <f t="shared" ca="1" si="68"/>
        <v>10534487.398132591</v>
      </c>
      <c r="X111" s="291">
        <f t="shared" ca="1" si="68"/>
        <v>4144753.7666576114</v>
      </c>
      <c r="Y111" s="291">
        <f t="shared" ca="1" si="68"/>
        <v>5463915.3495309148</v>
      </c>
      <c r="Z111" s="291">
        <f t="shared" ca="1" si="68"/>
        <v>1978615.1115171546</v>
      </c>
      <c r="AA111" s="291">
        <f t="shared" ca="1" si="68"/>
        <v>15826.743783618087</v>
      </c>
      <c r="AB111" s="291">
        <f ca="1">AB$128*X99/SUM(X$99:X$109)</f>
        <v>45502.210590878793</v>
      </c>
      <c r="AC111" s="291"/>
      <c r="AE111" s="283"/>
      <c r="AG111" s="283"/>
    </row>
    <row r="112" spans="2:33">
      <c r="B112" s="283" t="s">
        <v>426</v>
      </c>
      <c r="C112" s="220" t="s">
        <v>440</v>
      </c>
      <c r="D112" s="291">
        <f t="shared" ref="D112:J112" si="69">D100</f>
        <v>79672471.695470676</v>
      </c>
      <c r="E112" s="291">
        <f t="shared" si="69"/>
        <v>26853863.560690694</v>
      </c>
      <c r="F112" s="291">
        <f t="shared" si="69"/>
        <v>45853487.103811562</v>
      </c>
      <c r="G112" s="291">
        <f t="shared" si="69"/>
        <v>18469019.859829172</v>
      </c>
      <c r="H112" s="291">
        <f t="shared" si="69"/>
        <v>26150873.501933157</v>
      </c>
      <c r="I112" s="291">
        <f t="shared" si="69"/>
        <v>7490684.2078461535</v>
      </c>
      <c r="J112" s="291">
        <f t="shared" si="69"/>
        <v>332310.34109765256</v>
      </c>
      <c r="K112" s="283">
        <f>SUMIFS(Sch.47T!F:F,Sch.47T!A:A,"Present",Sch.47T!B:B,"$")*G100/SUM(G$99:G$109)</f>
        <v>188618.01839712649</v>
      </c>
      <c r="L112" s="291">
        <f t="shared" ref="L112:R121" ca="1" si="70">L100*(1-($S112-$K112)/SUM($L100:$R100))</f>
        <v>80372334.551577806</v>
      </c>
      <c r="M112" s="291">
        <f t="shared" ca="1" si="70"/>
        <v>27092710.820000581</v>
      </c>
      <c r="N112" s="291">
        <f t="shared" ca="1" si="70"/>
        <v>46261124.49822288</v>
      </c>
      <c r="O112" s="291">
        <f t="shared" ca="1" si="70"/>
        <v>18633403.017256457</v>
      </c>
      <c r="P112" s="291">
        <f t="shared" ca="1" si="70"/>
        <v>26384423.857072633</v>
      </c>
      <c r="Q112" s="291">
        <f t="shared" ca="1" si="70"/>
        <v>7556821.6861393852</v>
      </c>
      <c r="R112" s="291">
        <f t="shared" ca="1" si="70"/>
        <v>335419.9839361718</v>
      </c>
      <c r="S112" s="291">
        <f t="shared" ref="S112:S121" ca="1" si="71">S$128*O100/SUM(O$99:O$109)</f>
        <v>199856.24111099445</v>
      </c>
      <c r="T112" s="291"/>
      <c r="U112" s="283">
        <f t="shared" ref="U112:AA112" ca="1" si="72">U100*(1-($AB112-$K112)/SUM($U100:$AA100))</f>
        <v>85572582.579215661</v>
      </c>
      <c r="V112" s="291">
        <f t="shared" ca="1" si="72"/>
        <v>28845662.464258935</v>
      </c>
      <c r="W112" s="291">
        <f t="shared" ca="1" si="72"/>
        <v>49254310.185442284</v>
      </c>
      <c r="X112" s="291">
        <f t="shared" ca="1" si="72"/>
        <v>19839020.818820823</v>
      </c>
      <c r="Y112" s="291">
        <f t="shared" ca="1" si="72"/>
        <v>28091547.942600507</v>
      </c>
      <c r="Z112" s="291">
        <f t="shared" ca="1" si="72"/>
        <v>8045762.9031366184</v>
      </c>
      <c r="AA112" s="291">
        <f t="shared" ca="1" si="72"/>
        <v>357122.31620791933</v>
      </c>
      <c r="AB112" s="291">
        <f t="shared" ref="AB112:AB121" ca="1" si="73">AB$128*X100/SUM(X$99:X$109)</f>
        <v>217785.22711652139</v>
      </c>
      <c r="AC112" s="291"/>
      <c r="AE112" s="283"/>
      <c r="AG112" s="283"/>
    </row>
    <row r="113" spans="2:33">
      <c r="B113" s="283" t="s">
        <v>426</v>
      </c>
      <c r="C113" s="85" t="s">
        <v>441</v>
      </c>
      <c r="D113" s="291">
        <f t="shared" ref="D113:J113" si="74">D101</f>
        <v>20464794.889449865</v>
      </c>
      <c r="E113" s="291">
        <f t="shared" si="74"/>
        <v>7501309.4015307538</v>
      </c>
      <c r="F113" s="291">
        <f t="shared" si="74"/>
        <v>15037525.343626849</v>
      </c>
      <c r="G113" s="291">
        <f t="shared" si="74"/>
        <v>6069884.2759030284</v>
      </c>
      <c r="H113" s="291">
        <f t="shared" si="74"/>
        <v>7982565.0580642764</v>
      </c>
      <c r="I113" s="291">
        <f t="shared" si="74"/>
        <v>2184659.6610886841</v>
      </c>
      <c r="J113" s="291">
        <f t="shared" si="74"/>
        <v>-102644.62400808027</v>
      </c>
      <c r="K113" s="283">
        <f>SUMIFS(Sch.47T!F:F,Sch.47T!A:A,"Present",Sch.47T!B:B,"$")*G101/SUM(G$99:G$109)</f>
        <v>61989.729433930865</v>
      </c>
      <c r="L113" s="291">
        <f t="shared" ca="1" si="70"/>
        <v>25391916.435861517</v>
      </c>
      <c r="M113" s="291">
        <f t="shared" ca="1" si="70"/>
        <v>9038939.3464132026</v>
      </c>
      <c r="N113" s="291">
        <f t="shared" ca="1" si="70"/>
        <v>17568372.457864027</v>
      </c>
      <c r="O113" s="291">
        <f t="shared" ca="1" si="70"/>
        <v>7086510.627080434</v>
      </c>
      <c r="P113" s="291">
        <f t="shared" ca="1" si="70"/>
        <v>9318439.669749286</v>
      </c>
      <c r="Q113" s="291">
        <f t="shared" ca="1" si="70"/>
        <v>2619956.7182226949</v>
      </c>
      <c r="R113" s="291">
        <f t="shared" ca="1" si="70"/>
        <v>-83278.86989309029</v>
      </c>
      <c r="S113" s="291">
        <f t="shared" ca="1" si="71"/>
        <v>76018.664712365251</v>
      </c>
      <c r="T113" s="291"/>
      <c r="U113" s="283">
        <f t="shared" ref="U113:AA113" ca="1" si="75">U101*(1-($AB113-$K113)/SUM($U101:$AA101))</f>
        <v>27034821.397271149</v>
      </c>
      <c r="V113" s="291">
        <f t="shared" ca="1" si="75"/>
        <v>9623775.7976363115</v>
      </c>
      <c r="W113" s="291">
        <f t="shared" ca="1" si="75"/>
        <v>18705079.344397139</v>
      </c>
      <c r="X113" s="291">
        <f t="shared" ca="1" si="75"/>
        <v>7545021.2518188497</v>
      </c>
      <c r="Y113" s="291">
        <f t="shared" ca="1" si="75"/>
        <v>9921360.3198978417</v>
      </c>
      <c r="Z113" s="291">
        <f t="shared" ca="1" si="75"/>
        <v>2789472.86726639</v>
      </c>
      <c r="AA113" s="291">
        <f t="shared" ca="1" si="75"/>
        <v>-88667.170097745664</v>
      </c>
      <c r="AB113" s="291">
        <f t="shared" ca="1" si="73"/>
        <v>82838.254474537855</v>
      </c>
      <c r="AC113" s="291"/>
      <c r="AE113" s="283"/>
      <c r="AG113" s="283"/>
    </row>
    <row r="114" spans="2:33">
      <c r="B114" s="283" t="s">
        <v>426</v>
      </c>
      <c r="C114" s="85" t="s">
        <v>442</v>
      </c>
      <c r="D114" s="291">
        <f t="shared" ref="D114:J114" si="76">D102</f>
        <v>0.43651264379727783</v>
      </c>
      <c r="E114" s="291">
        <f t="shared" si="76"/>
        <v>0.13622710230095025</v>
      </c>
      <c r="F114" s="291">
        <f t="shared" si="76"/>
        <v>0.22420231707318566</v>
      </c>
      <c r="G114" s="291">
        <f t="shared" si="76"/>
        <v>9.0057921268601987E-2</v>
      </c>
      <c r="H114" s="291">
        <f t="shared" si="76"/>
        <v>0.11832465891860533</v>
      </c>
      <c r="I114" s="291">
        <f t="shared" si="76"/>
        <v>3.8569271431020992E-2</v>
      </c>
      <c r="J114" s="291">
        <f t="shared" si="76"/>
        <v>1.7146930029726573E-3</v>
      </c>
      <c r="K114" s="283">
        <f>SUMIFS(Sch.47T!F:F,Sch.47T!A:A,"Present",Sch.47T!B:B,"$")*G102/SUM(G$99:G$109)</f>
        <v>9.1973189587578113E-4</v>
      </c>
      <c r="L114" s="291">
        <f t="shared" ca="1" si="70"/>
        <v>0.43649337762559554</v>
      </c>
      <c r="M114" s="291">
        <f t="shared" ca="1" si="70"/>
        <v>0.13622108970365668</v>
      </c>
      <c r="N114" s="291">
        <f t="shared" ca="1" si="70"/>
        <v>0.22419242155150107</v>
      </c>
      <c r="O114" s="291">
        <f t="shared" ca="1" si="70"/>
        <v>9.0053946420685982E-2</v>
      </c>
      <c r="P114" s="291">
        <f t="shared" ca="1" si="70"/>
        <v>0.11831943647379103</v>
      </c>
      <c r="Q114" s="291">
        <f t="shared" ca="1" si="70"/>
        <v>3.8567569115599873E-2</v>
      </c>
      <c r="R114" s="291">
        <f t="shared" ca="1" si="70"/>
        <v>1.7146173223016685E-3</v>
      </c>
      <c r="S114" s="291">
        <f t="shared" ca="1" si="71"/>
        <v>9.6588147535871531E-4</v>
      </c>
      <c r="T114" s="291"/>
      <c r="U114" s="283">
        <f t="shared" ref="U114:AA114" ca="1" si="77">U102*(1-($AB114-$K114)/SUM($U102:$AA102))</f>
        <v>0.46473676668476704</v>
      </c>
      <c r="V114" s="291">
        <f t="shared" ca="1" si="77"/>
        <v>0.14503530185847374</v>
      </c>
      <c r="W114" s="291">
        <f t="shared" ca="1" si="77"/>
        <v>0.23869883587659557</v>
      </c>
      <c r="X114" s="291">
        <f t="shared" ca="1" si="77"/>
        <v>9.5880904572740344E-2</v>
      </c>
      <c r="Y114" s="291">
        <f t="shared" ca="1" si="77"/>
        <v>0.12597531866785627</v>
      </c>
      <c r="Z114" s="291">
        <f t="shared" ca="1" si="77"/>
        <v>4.1063091190926083E-2</v>
      </c>
      <c r="AA114" s="291">
        <f t="shared" ca="1" si="77"/>
        <v>1.8255619702704149E-3</v>
      </c>
      <c r="AB114" s="291">
        <f t="shared" ca="1" si="73"/>
        <v>1.0525301352076043E-3</v>
      </c>
      <c r="AC114" s="291"/>
      <c r="AE114" s="283"/>
      <c r="AG114" s="283"/>
    </row>
    <row r="115" spans="2:33">
      <c r="B115" s="283" t="s">
        <v>426</v>
      </c>
      <c r="C115" s="85" t="s">
        <v>434</v>
      </c>
      <c r="D115" s="291">
        <f t="shared" ref="D115:J115" si="78">D103</f>
        <v>6694072.0700953817</v>
      </c>
      <c r="E115" s="291">
        <f t="shared" si="78"/>
        <v>1655300.964555206</v>
      </c>
      <c r="F115" s="291">
        <f t="shared" si="78"/>
        <v>1985206.9195822298</v>
      </c>
      <c r="G115" s="291">
        <f t="shared" si="78"/>
        <v>766321.97988984676</v>
      </c>
      <c r="H115" s="291">
        <f t="shared" si="78"/>
        <v>765257.24024501932</v>
      </c>
      <c r="I115" s="291">
        <f t="shared" si="78"/>
        <v>559289.63794674643</v>
      </c>
      <c r="J115" s="291">
        <f t="shared" si="78"/>
        <v>27861.888138129103</v>
      </c>
      <c r="K115" s="283">
        <f>SUMIFS(Sch.47T!F:F,Sch.47T!A:A,"Present",Sch.47T!B:B,"$")*G103/SUM(G$99:G$109)</f>
        <v>7826.1940480864496</v>
      </c>
      <c r="L115" s="291">
        <f t="shared" ca="1" si="70"/>
        <v>7459619.2591041932</v>
      </c>
      <c r="M115" s="291">
        <f t="shared" ca="1" si="70"/>
        <v>1835788.6634068934</v>
      </c>
      <c r="N115" s="291">
        <f t="shared" ca="1" si="70"/>
        <v>2240255.2838729178</v>
      </c>
      <c r="O115" s="291">
        <f t="shared" ca="1" si="70"/>
        <v>864703.10622639686</v>
      </c>
      <c r="P115" s="291">
        <f t="shared" ca="1" si="70"/>
        <v>863823.89329424151</v>
      </c>
      <c r="Q115" s="291">
        <f t="shared" ca="1" si="70"/>
        <v>629996.31083181023</v>
      </c>
      <c r="R115" s="291">
        <f t="shared" ca="1" si="70"/>
        <v>26509.170092207689</v>
      </c>
      <c r="S115" s="291">
        <f t="shared" ca="1" si="71"/>
        <v>9275.0046257722825</v>
      </c>
      <c r="T115" s="291"/>
      <c r="U115" s="283">
        <f t="shared" ref="U115:AA115" ca="1" si="79">U103*(1-($AB115-$K115)/SUM($U103:$AA103))</f>
        <v>7942496.6728248149</v>
      </c>
      <c r="V115" s="291">
        <f t="shared" ca="1" si="79"/>
        <v>1954623.2648969979</v>
      </c>
      <c r="W115" s="291">
        <f t="shared" ca="1" si="79"/>
        <v>2385271.8912862586</v>
      </c>
      <c r="X115" s="291">
        <f t="shared" ca="1" si="79"/>
        <v>920677.22301006387</v>
      </c>
      <c r="Y115" s="291">
        <f t="shared" ca="1" si="79"/>
        <v>919741.09670846665</v>
      </c>
      <c r="Z115" s="291">
        <f t="shared" ca="1" si="79"/>
        <v>670777.34517973883</v>
      </c>
      <c r="AA115" s="291">
        <f t="shared" ca="1" si="79"/>
        <v>28225.166451992744</v>
      </c>
      <c r="AB115" s="291">
        <f t="shared" ca="1" si="73"/>
        <v>10107.059843123814</v>
      </c>
      <c r="AC115" s="291"/>
      <c r="AE115" s="283"/>
      <c r="AG115" s="283"/>
    </row>
    <row r="116" spans="2:33">
      <c r="B116" s="283" t="s">
        <v>426</v>
      </c>
      <c r="C116" s="85" t="s">
        <v>435</v>
      </c>
      <c r="D116" s="291">
        <f t="shared" ref="D116:J116" si="80">D104</f>
        <v>25876267.187623437</v>
      </c>
      <c r="E116" s="291">
        <f t="shared" si="80"/>
        <v>6107379.2798508946</v>
      </c>
      <c r="F116" s="291">
        <f t="shared" si="80"/>
        <v>5680756.7141227936</v>
      </c>
      <c r="G116" s="291">
        <f t="shared" si="80"/>
        <v>2179121.3401205279</v>
      </c>
      <c r="H116" s="291">
        <f t="shared" si="80"/>
        <v>813130.01210916368</v>
      </c>
      <c r="I116" s="291">
        <f t="shared" si="80"/>
        <v>1568064.3957470562</v>
      </c>
      <c r="J116" s="291">
        <f t="shared" si="80"/>
        <v>439403.7180388663</v>
      </c>
      <c r="K116" s="283">
        <f>SUMIFS(Sch.47T!F:F,Sch.47T!A:A,"Present",Sch.47T!B:B,"$")*G104/SUM(G$99:G$109)</f>
        <v>22254.648711186474</v>
      </c>
      <c r="L116" s="291">
        <f t="shared" ca="1" si="70"/>
        <v>27981860.241742685</v>
      </c>
      <c r="M116" s="291">
        <f t="shared" ca="1" si="70"/>
        <v>6528314.5167641593</v>
      </c>
      <c r="N116" s="291">
        <f t="shared" ca="1" si="70"/>
        <v>6105485.9695113646</v>
      </c>
      <c r="O116" s="291">
        <f t="shared" ca="1" si="70"/>
        <v>2344581.7528857221</v>
      </c>
      <c r="P116" s="291">
        <f t="shared" ca="1" si="70"/>
        <v>817460.54761632637</v>
      </c>
      <c r="Q116" s="291">
        <f t="shared" ca="1" si="70"/>
        <v>1681905.4097728059</v>
      </c>
      <c r="R116" s="291">
        <f t="shared" ca="1" si="70"/>
        <v>495132.39484126045</v>
      </c>
      <c r="S116" s="291">
        <f t="shared" ca="1" si="71"/>
        <v>25147.489593348535</v>
      </c>
      <c r="T116" s="291"/>
      <c r="U116" s="283">
        <f t="shared" ref="U116:AA116" ca="1" si="81">U104*(1-($AB116-$K116)/SUM($U104:$AA104))</f>
        <v>29793411.33820834</v>
      </c>
      <c r="V116" s="291">
        <f t="shared" ca="1" si="81"/>
        <v>6950958.8734561587</v>
      </c>
      <c r="W116" s="291">
        <f t="shared" ca="1" si="81"/>
        <v>6500756.3234824827</v>
      </c>
      <c r="X116" s="291">
        <f t="shared" ca="1" si="81"/>
        <v>2496370.4334273189</v>
      </c>
      <c r="Y116" s="291">
        <f t="shared" ca="1" si="81"/>
        <v>870383.10310613783</v>
      </c>
      <c r="Z116" s="291">
        <f t="shared" ca="1" si="81"/>
        <v>1790792.2944510523</v>
      </c>
      <c r="AA116" s="291">
        <f t="shared" ca="1" si="81"/>
        <v>527187.36277481809</v>
      </c>
      <c r="AB116" s="291">
        <f t="shared" ca="1" si="73"/>
        <v>27403.456114518514</v>
      </c>
      <c r="AC116" s="291"/>
      <c r="AE116" s="283"/>
      <c r="AG116" s="283"/>
    </row>
    <row r="117" spans="2:33">
      <c r="B117" s="283" t="s">
        <v>426</v>
      </c>
      <c r="C117" s="85" t="s">
        <v>436</v>
      </c>
      <c r="D117" s="291">
        <f t="shared" ref="D117:J117" si="82">D105</f>
        <v>5161833.1229186235</v>
      </c>
      <c r="E117" s="291">
        <f t="shared" si="82"/>
        <v>1794221.9689345148</v>
      </c>
      <c r="F117" s="291">
        <f t="shared" si="82"/>
        <v>594261.98456472449</v>
      </c>
      <c r="G117" s="291">
        <f t="shared" si="82"/>
        <v>118506.27125546552</v>
      </c>
      <c r="H117" s="291">
        <f t="shared" si="82"/>
        <v>10588.417931502529</v>
      </c>
      <c r="I117" s="291">
        <f t="shared" si="82"/>
        <v>844475.52401525434</v>
      </c>
      <c r="J117" s="291">
        <f t="shared" si="82"/>
        <v>15357.726442144045</v>
      </c>
      <c r="K117" s="283">
        <f>SUMIFS(Sch.47T!F:F,Sch.47T!A:A,"Present",Sch.47T!B:B,"$")*G105/SUM(G$99:G$109)</f>
        <v>1210.2655268921781</v>
      </c>
      <c r="L117" s="291">
        <f t="shared" ca="1" si="70"/>
        <v>5945652.9108842285</v>
      </c>
      <c r="M117" s="291">
        <f t="shared" ca="1" si="70"/>
        <v>2099585.7614259794</v>
      </c>
      <c r="N117" s="291">
        <f t="shared" ca="1" si="70"/>
        <v>671870.48247913865</v>
      </c>
      <c r="O117" s="291">
        <f t="shared" ca="1" si="70"/>
        <v>124968.87721634858</v>
      </c>
      <c r="P117" s="291">
        <f t="shared" ca="1" si="70"/>
        <v>7562.5653632964104</v>
      </c>
      <c r="Q117" s="291">
        <f t="shared" ca="1" si="70"/>
        <v>1009502.6634302184</v>
      </c>
      <c r="R117" s="291">
        <f t="shared" ca="1" si="70"/>
        <v>13292.247838616415</v>
      </c>
      <c r="S117" s="291">
        <f t="shared" ca="1" si="71"/>
        <v>1340.3231158977217</v>
      </c>
      <c r="T117" s="291"/>
      <c r="U117" s="283">
        <f t="shared" ref="U117:AA117" ca="1" si="83">U105*(1-($AB117-$K117)/SUM($U105:$AA105))</f>
        <v>6330775.9325137772</v>
      </c>
      <c r="V117" s="291">
        <f t="shared" ca="1" si="83"/>
        <v>2235584.0823388118</v>
      </c>
      <c r="W117" s="291">
        <f t="shared" ca="1" si="83"/>
        <v>715390.14200759691</v>
      </c>
      <c r="X117" s="291">
        <f t="shared" ca="1" si="83"/>
        <v>133063.5965557684</v>
      </c>
      <c r="Y117" s="291">
        <f t="shared" ca="1" si="83"/>
        <v>8052.4220817489741</v>
      </c>
      <c r="Z117" s="291">
        <f t="shared" ca="1" si="83"/>
        <v>1074892.0700959875</v>
      </c>
      <c r="AA117" s="291">
        <f t="shared" ca="1" si="83"/>
        <v>14153.238335132883</v>
      </c>
      <c r="AB117" s="291">
        <f t="shared" ca="1" si="73"/>
        <v>1460.5627153929838</v>
      </c>
      <c r="AC117" s="291"/>
      <c r="AE117" s="283"/>
      <c r="AG117" s="283"/>
    </row>
    <row r="118" spans="2:33">
      <c r="B118" s="283" t="s">
        <v>426</v>
      </c>
      <c r="C118" s="85" t="s">
        <v>437</v>
      </c>
      <c r="D118" s="291">
        <f t="shared" ref="D118:J118" si="84">D106</f>
        <v>1112822.3810328245</v>
      </c>
      <c r="E118" s="291">
        <f t="shared" si="84"/>
        <v>283666.2932828599</v>
      </c>
      <c r="F118" s="291">
        <f t="shared" si="84"/>
        <v>129601.55410444613</v>
      </c>
      <c r="G118" s="291">
        <f t="shared" si="84"/>
        <v>22551.835168682061</v>
      </c>
      <c r="H118" s="291">
        <f t="shared" si="84"/>
        <v>10849.993169886387</v>
      </c>
      <c r="I118" s="291">
        <f t="shared" si="84"/>
        <v>85548.475308937734</v>
      </c>
      <c r="J118" s="291">
        <f t="shared" si="84"/>
        <v>18787.404269297291</v>
      </c>
      <c r="K118" s="283">
        <f>SUMIFS(Sch.47T!F:F,Sch.47T!A:A,"Present",Sch.47T!B:B,"$")*G106/SUM(G$99:G$109)</f>
        <v>230.31446676752779</v>
      </c>
      <c r="L118" s="291">
        <f t="shared" ca="1" si="70"/>
        <v>1215953.7740131537</v>
      </c>
      <c r="M118" s="291">
        <f t="shared" ca="1" si="70"/>
        <v>309224.22652030637</v>
      </c>
      <c r="N118" s="291">
        <f t="shared" ca="1" si="70"/>
        <v>140445.48297398706</v>
      </c>
      <c r="O118" s="291">
        <f t="shared" ca="1" si="70"/>
        <v>23648.456844311331</v>
      </c>
      <c r="P118" s="291">
        <f t="shared" ca="1" si="70"/>
        <v>11641.533679311728</v>
      </c>
      <c r="Q118" s="291">
        <f t="shared" ca="1" si="70"/>
        <v>93757.893468767375</v>
      </c>
      <c r="R118" s="291">
        <f t="shared" ca="1" si="70"/>
        <v>18309.301344449766</v>
      </c>
      <c r="S118" s="291">
        <f t="shared" ca="1" si="71"/>
        <v>253.63565899496061</v>
      </c>
      <c r="T118" s="291"/>
      <c r="U118" s="283">
        <f t="shared" ref="U118:AA118" ca="1" si="85">U106*(1-($AB118-$K118)/SUM($U106:$AA106))</f>
        <v>1294715.3450351255</v>
      </c>
      <c r="V118" s="291">
        <f t="shared" ca="1" si="85"/>
        <v>329253.75922072458</v>
      </c>
      <c r="W118" s="291">
        <f t="shared" ca="1" si="85"/>
        <v>149542.62722270511</v>
      </c>
      <c r="X118" s="291">
        <f t="shared" ca="1" si="85"/>
        <v>25180.249954468745</v>
      </c>
      <c r="Y118" s="291">
        <f t="shared" ca="1" si="85"/>
        <v>12395.596458081363</v>
      </c>
      <c r="Z118" s="291">
        <f t="shared" ca="1" si="85"/>
        <v>99830.919551772808</v>
      </c>
      <c r="AA118" s="291">
        <f t="shared" ca="1" si="85"/>
        <v>19495.258713079111</v>
      </c>
      <c r="AB118" s="291">
        <f t="shared" ca="1" si="73"/>
        <v>276.38916499179226</v>
      </c>
      <c r="AC118" s="291"/>
      <c r="AE118" s="283"/>
      <c r="AG118" s="283"/>
    </row>
    <row r="119" spans="2:33">
      <c r="B119" s="283" t="s">
        <v>426</v>
      </c>
      <c r="C119" s="85" t="s">
        <v>438</v>
      </c>
      <c r="D119" s="291">
        <f t="shared" ref="D119:J119" si="86">D107</f>
        <v>3909387.3818968465</v>
      </c>
      <c r="E119" s="291">
        <f t="shared" si="86"/>
        <v>1186848.4757964606</v>
      </c>
      <c r="F119" s="291">
        <f t="shared" si="86"/>
        <v>308088.33701605827</v>
      </c>
      <c r="G119" s="291">
        <f t="shared" si="86"/>
        <v>93521.407005388639</v>
      </c>
      <c r="H119" s="291">
        <f t="shared" si="86"/>
        <v>7328.0827164688853</v>
      </c>
      <c r="I119" s="291">
        <f t="shared" si="86"/>
        <v>35386.465076383123</v>
      </c>
      <c r="J119" s="291">
        <f t="shared" si="86"/>
        <v>4861.972304499498</v>
      </c>
      <c r="K119" s="283">
        <f>SUMIFS(Sch.47T!F:F,Sch.47T!A:A,"Present",Sch.47T!B:B,"$")*G107/SUM(G$99:G$109)</f>
        <v>955.10333525791691</v>
      </c>
      <c r="L119" s="291">
        <f t="shared" ca="1" si="70"/>
        <v>4604103.3369734976</v>
      </c>
      <c r="M119" s="291">
        <f t="shared" ca="1" si="70"/>
        <v>1410583.8151253844</v>
      </c>
      <c r="N119" s="291">
        <f t="shared" ca="1" si="70"/>
        <v>346557.1753125923</v>
      </c>
      <c r="O119" s="291">
        <f t="shared" ca="1" si="70"/>
        <v>102777.25970381938</v>
      </c>
      <c r="P119" s="291">
        <f t="shared" ca="1" si="70"/>
        <v>5489.2847666448124</v>
      </c>
      <c r="Q119" s="291">
        <f t="shared" ca="1" si="70"/>
        <v>29523.768707124942</v>
      </c>
      <c r="R119" s="291">
        <f t="shared" ca="1" si="70"/>
        <v>2503.6637205306793</v>
      </c>
      <c r="S119" s="291">
        <f t="shared" ca="1" si="71"/>
        <v>1102.3227907243447</v>
      </c>
      <c r="T119" s="291"/>
      <c r="U119" s="283">
        <f t="shared" ref="U119:AA119" ca="1" si="87">U107*(1-($AB119-$K119)/SUM($U107:$AA107))</f>
        <v>4902317.855359151</v>
      </c>
      <c r="V119" s="291">
        <f t="shared" ca="1" si="87"/>
        <v>1501949.395409412</v>
      </c>
      <c r="W119" s="291">
        <f t="shared" ca="1" si="87"/>
        <v>369004.19128180225</v>
      </c>
      <c r="X119" s="291">
        <f t="shared" ca="1" si="87"/>
        <v>109434.29338884504</v>
      </c>
      <c r="Y119" s="291">
        <f t="shared" ca="1" si="87"/>
        <v>5844.8337830669216</v>
      </c>
      <c r="Z119" s="291">
        <f t="shared" ca="1" si="87"/>
        <v>31436.066460135899</v>
      </c>
      <c r="AA119" s="291">
        <f t="shared" ca="1" si="87"/>
        <v>2665.8296877064904</v>
      </c>
      <c r="AB119" s="291">
        <f t="shared" ca="1" si="73"/>
        <v>1201.211520836576</v>
      </c>
      <c r="AC119" s="291"/>
      <c r="AE119" s="283"/>
      <c r="AG119" s="283"/>
    </row>
    <row r="120" spans="2:33">
      <c r="B120" s="283" t="s">
        <v>426</v>
      </c>
      <c r="C120" s="85" t="s">
        <v>432</v>
      </c>
      <c r="D120" s="291">
        <f t="shared" ref="D120:J120" si="88">D108</f>
        <v>7570608.6746200575</v>
      </c>
      <c r="E120" s="291">
        <f t="shared" si="88"/>
        <v>1220686.4772335519</v>
      </c>
      <c r="F120" s="291">
        <f t="shared" si="88"/>
        <v>143870.0526564715</v>
      </c>
      <c r="G120" s="291">
        <f t="shared" si="88"/>
        <v>84744.197159293661</v>
      </c>
      <c r="H120" s="291">
        <f t="shared" si="88"/>
        <v>66073.502728324209</v>
      </c>
      <c r="I120" s="291">
        <f t="shared" si="88"/>
        <v>213643.49095233681</v>
      </c>
      <c r="J120" s="291">
        <f t="shared" si="88"/>
        <v>118405.96849345855</v>
      </c>
      <c r="K120" s="283">
        <f>SUMIFS(Sch.47T!F:F,Sch.47T!A:A,"Present",Sch.47T!B:B,"$")*G108/SUM(G$99:G$109)</f>
        <v>865.46458123680918</v>
      </c>
      <c r="L120" s="291">
        <f t="shared" ca="1" si="70"/>
        <v>7591026.2893381966</v>
      </c>
      <c r="M120" s="291">
        <f t="shared" ca="1" si="70"/>
        <v>1224345.8425947807</v>
      </c>
      <c r="N120" s="291">
        <f t="shared" ca="1" si="70"/>
        <v>140445.04177349963</v>
      </c>
      <c r="O120" s="291">
        <f t="shared" ca="1" si="70"/>
        <v>84895.689312006449</v>
      </c>
      <c r="P120" s="291">
        <f t="shared" ca="1" si="70"/>
        <v>66108.710479424481</v>
      </c>
      <c r="Q120" s="291">
        <f t="shared" ca="1" si="70"/>
        <v>214404.79576185098</v>
      </c>
      <c r="R120" s="291">
        <f t="shared" ca="1" si="70"/>
        <v>118956.70634285867</v>
      </c>
      <c r="S120" s="291">
        <f t="shared" ca="1" si="71"/>
        <v>910.52029462190092</v>
      </c>
      <c r="T120" s="291"/>
      <c r="U120" s="283">
        <f t="shared" ref="U120:AA120" ca="1" si="89">U108*(1-($AB120-$K120)/SUM($U108:$AA108))</f>
        <v>8082749.1723126229</v>
      </c>
      <c r="V120" s="291">
        <f t="shared" ca="1" si="89"/>
        <v>1303655.1276020056</v>
      </c>
      <c r="W120" s="291">
        <f t="shared" ca="1" si="89"/>
        <v>149542.6312440203</v>
      </c>
      <c r="X120" s="291">
        <f t="shared" ca="1" si="89"/>
        <v>90394.965893255154</v>
      </c>
      <c r="Y120" s="291">
        <f t="shared" ca="1" si="89"/>
        <v>70391.025474476133</v>
      </c>
      <c r="Z120" s="291">
        <f t="shared" ca="1" si="89"/>
        <v>228293.26621065399</v>
      </c>
      <c r="AA120" s="291">
        <f t="shared" ca="1" si="89"/>
        <v>126662.34881628925</v>
      </c>
      <c r="AB120" s="291">
        <f t="shared" ca="1" si="73"/>
        <v>992.20253546299637</v>
      </c>
      <c r="AC120" s="291"/>
      <c r="AE120" s="283"/>
      <c r="AG120" s="283"/>
    </row>
    <row r="121" spans="2:33">
      <c r="B121" s="287" t="s">
        <v>426</v>
      </c>
      <c r="C121" s="257" t="s">
        <v>433</v>
      </c>
      <c r="D121" s="291">
        <f t="shared" ref="D121:J121" si="90">D109</f>
        <v>8229236.6390650328</v>
      </c>
      <c r="E121" s="291">
        <f t="shared" si="90"/>
        <v>2398355.6632689354</v>
      </c>
      <c r="F121" s="291">
        <f t="shared" si="90"/>
        <v>3114215.7197505636</v>
      </c>
      <c r="G121" s="291">
        <f t="shared" si="90"/>
        <v>1200992.9724074046</v>
      </c>
      <c r="H121" s="291">
        <f t="shared" si="90"/>
        <v>1401239.7238151128</v>
      </c>
      <c r="I121" s="291">
        <f t="shared" si="90"/>
        <v>696594.53545739304</v>
      </c>
      <c r="J121" s="291">
        <f t="shared" si="90"/>
        <v>60227.283634537867</v>
      </c>
      <c r="K121" s="283">
        <f>SUMIFS(Sch.47T!F:F,Sch.47T!A:A,"Present",Sch.47T!B:B,"$")*G109/SUM(G$99:G$109)</f>
        <v>12265.345767322962</v>
      </c>
      <c r="L121" s="291">
        <f t="shared" ca="1" si="70"/>
        <v>8577875.1031704918</v>
      </c>
      <c r="M121" s="291">
        <f t="shared" ca="1" si="70"/>
        <v>2499926.24177439</v>
      </c>
      <c r="N121" s="291">
        <f t="shared" ca="1" si="70"/>
        <v>3246594.3498420911</v>
      </c>
      <c r="O121" s="291">
        <f t="shared" ca="1" si="70"/>
        <v>1252069.0934929461</v>
      </c>
      <c r="P121" s="291">
        <f t="shared" ca="1" si="70"/>
        <v>1460997.2857268997</v>
      </c>
      <c r="Q121" s="291">
        <f t="shared" ca="1" si="70"/>
        <v>726112.94248264306</v>
      </c>
      <c r="R121" s="291">
        <f t="shared" ca="1" si="70"/>
        <v>62755.432358443497</v>
      </c>
      <c r="S121" s="291">
        <f t="shared" ca="1" si="71"/>
        <v>13429.460735780534</v>
      </c>
      <c r="T121" s="291"/>
      <c r="U121" s="283">
        <f t="shared" ref="U121:AA121" ca="1" si="91">U109*(1-($AB121-$K121)/SUM($U109:$AA109))</f>
        <v>9133051.1024187673</v>
      </c>
      <c r="V121" s="291">
        <f t="shared" ca="1" si="91"/>
        <v>2661726.1085981787</v>
      </c>
      <c r="W121" s="291">
        <f t="shared" ca="1" si="91"/>
        <v>3456719.9626131593</v>
      </c>
      <c r="X121" s="291">
        <f t="shared" ca="1" si="91"/>
        <v>1333105.3293610695</v>
      </c>
      <c r="Y121" s="291">
        <f t="shared" ca="1" si="91"/>
        <v>1555555.7420166926</v>
      </c>
      <c r="Z121" s="291">
        <f t="shared" ca="1" si="91"/>
        <v>773108.31995799334</v>
      </c>
      <c r="AA121" s="291">
        <f t="shared" ca="1" si="91"/>
        <v>66817.0804296516</v>
      </c>
      <c r="AB121" s="291">
        <f t="shared" ca="1" si="73"/>
        <v>14634.209770662372</v>
      </c>
      <c r="AC121" s="291"/>
      <c r="AE121" s="283"/>
      <c r="AG121" s="283"/>
    </row>
    <row r="122" spans="2:33" s="293" customFormat="1">
      <c r="B122" s="274"/>
      <c r="C122" s="256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74"/>
      <c r="AD122" s="273"/>
      <c r="AE122" s="283"/>
      <c r="AG122" s="283"/>
    </row>
    <row r="123" spans="2:33">
      <c r="B123" s="319" t="s">
        <v>483</v>
      </c>
      <c r="C123" s="319" t="s">
        <v>432</v>
      </c>
      <c r="D123" s="283"/>
      <c r="E123" s="283">
        <f t="shared" ref="E123:Q123" si="92">(E118+E119+E120)*(1+E121/SUM(E111:E120))</f>
        <v>2815726.2650152422</v>
      </c>
      <c r="F123" s="283">
        <f t="shared" si="92"/>
        <v>604602.27176872536</v>
      </c>
      <c r="G123" s="283">
        <f t="shared" si="92"/>
        <v>208524.85485531692</v>
      </c>
      <c r="H123" s="283">
        <f t="shared" si="92"/>
        <v>87173.389759696409</v>
      </c>
      <c r="I123" s="283">
        <f t="shared" si="92"/>
        <v>350495.38685628172</v>
      </c>
      <c r="J123" s="283"/>
      <c r="K123" s="283"/>
      <c r="L123" s="283"/>
      <c r="M123" s="283">
        <f t="shared" ca="1" si="92"/>
        <v>3077009.2043812028</v>
      </c>
      <c r="N123" s="283">
        <f t="shared" ca="1" si="92"/>
        <v>651882.13868468441</v>
      </c>
      <c r="O123" s="283">
        <f t="shared" ca="1" si="92"/>
        <v>219300.97319840136</v>
      </c>
      <c r="P123" s="283">
        <f ca="1">(P118+P119+P120)*(1+P121/SUM(P111:P120))</f>
        <v>86093.83513372537</v>
      </c>
      <c r="Q123" s="283">
        <f t="shared" ca="1" si="92"/>
        <v>353309.94985181937</v>
      </c>
      <c r="R123" s="281"/>
      <c r="S123" s="281"/>
      <c r="T123" s="281"/>
      <c r="U123" s="281"/>
      <c r="V123" s="281">
        <f t="shared" ref="V123:Z123" ca="1" si="93">(V118+V119+V120)*(1+V121/SUM(V111:V120))</f>
        <v>3276320.0067990818</v>
      </c>
      <c r="W123" s="281">
        <f t="shared" ca="1" si="93"/>
        <v>694106.91335082683</v>
      </c>
      <c r="X123" s="281">
        <f t="shared" ca="1" si="93"/>
        <v>233506.05590894437</v>
      </c>
      <c r="Y123" s="281">
        <f t="shared" ca="1" si="93"/>
        <v>91670.700245738844</v>
      </c>
      <c r="Z123" s="281">
        <f t="shared" ca="1" si="93"/>
        <v>376195.86785133946</v>
      </c>
      <c r="AA123" s="281"/>
      <c r="AB123" s="281"/>
      <c r="AC123" s="283"/>
      <c r="AE123" s="283"/>
      <c r="AG123" s="283"/>
    </row>
    <row r="124" spans="2:33">
      <c r="B124" s="319" t="s">
        <v>483</v>
      </c>
      <c r="C124" s="319" t="s">
        <v>194</v>
      </c>
      <c r="D124" s="283"/>
      <c r="E124" s="283"/>
      <c r="F124" s="283">
        <f t="shared" ref="F124:Q124" si="94">($AG$128*F111+F113+F115+F116+F117)*(1+F121/SUM(F111:F120))</f>
        <v>25281260.331413727</v>
      </c>
      <c r="G124" s="283">
        <f t="shared" si="94"/>
        <v>9901105.1780963633</v>
      </c>
      <c r="H124" s="283">
        <f t="shared" si="94"/>
        <v>10450871.577094812</v>
      </c>
      <c r="I124" s="283">
        <f t="shared" si="94"/>
        <v>5601959.8127214564</v>
      </c>
      <c r="J124" s="283"/>
      <c r="K124" s="283"/>
      <c r="L124" s="283"/>
      <c r="M124" s="283"/>
      <c r="N124" s="283">
        <f t="shared" ca="1" si="94"/>
        <v>28803906.310936727</v>
      </c>
      <c r="O124" s="283">
        <f t="shared" ca="1" si="94"/>
        <v>11279013.951376786</v>
      </c>
      <c r="P124" s="283">
        <f t="shared" ca="1" si="94"/>
        <v>11995358.642861906</v>
      </c>
      <c r="Q124" s="283">
        <f t="shared" ca="1" si="94"/>
        <v>6439929.5569756301</v>
      </c>
      <c r="R124" s="281"/>
      <c r="S124" s="281"/>
      <c r="T124" s="281"/>
      <c r="U124" s="281"/>
      <c r="V124" s="281"/>
      <c r="W124" s="281">
        <f t="shared" ref="W124:Z124" ca="1" si="95">($AG$128*W111+W113+W115+W116+W117)*(1+W121/SUM(W111:W120))</f>
        <v>30667968.575895347</v>
      </c>
      <c r="X124" s="281">
        <f t="shared" ca="1" si="95"/>
        <v>12008929.539562715</v>
      </c>
      <c r="Y124" s="281">
        <f t="shared" ca="1" si="95"/>
        <v>12771556.334647603</v>
      </c>
      <c r="Z124" s="281">
        <f t="shared" ca="1" si="95"/>
        <v>6856773.6671696687</v>
      </c>
      <c r="AA124" s="281"/>
      <c r="AB124" s="281"/>
      <c r="AC124" s="283"/>
      <c r="AE124" s="283"/>
      <c r="AG124" s="283"/>
    </row>
    <row r="125" spans="2:33">
      <c r="B125" s="319" t="s">
        <v>483</v>
      </c>
      <c r="C125" s="319" t="s">
        <v>481</v>
      </c>
      <c r="D125" s="283"/>
      <c r="E125" s="283"/>
      <c r="F125" s="283">
        <f t="shared" ref="F125:Q125" si="96">((1-$AG$128)*F111)*(1+F121/SUM(F111:F120))</f>
        <v>8157042.3040302023</v>
      </c>
      <c r="G125" s="283">
        <f t="shared" si="96"/>
        <v>3205483.4438167103</v>
      </c>
      <c r="H125" s="283">
        <f t="shared" si="96"/>
        <v>4210720.2586293165</v>
      </c>
      <c r="I125" s="283">
        <f t="shared" si="96"/>
        <v>1539692.8635614589</v>
      </c>
      <c r="J125" s="283"/>
      <c r="K125" s="283"/>
      <c r="L125" s="283"/>
      <c r="M125" s="283"/>
      <c r="N125" s="283">
        <f t="shared" ca="1" si="96"/>
        <v>9096884.8537916373</v>
      </c>
      <c r="O125" s="283">
        <f t="shared" ca="1" si="96"/>
        <v>3575061.7062521083</v>
      </c>
      <c r="P125" s="283">
        <f t="shared" ca="1" si="96"/>
        <v>4697146.8986344337</v>
      </c>
      <c r="Q125" s="283">
        <f t="shared" ca="1" si="96"/>
        <v>1720645.031188362</v>
      </c>
      <c r="R125" s="281"/>
      <c r="S125" s="281"/>
      <c r="T125" s="281"/>
      <c r="U125" s="281"/>
      <c r="V125" s="281"/>
      <c r="W125" s="281">
        <f t="shared" ref="W125:Z125" ca="1" si="97">((1-$AG$128)*W111)*(1+W121/SUM(W111:W120))</f>
        <v>9685604.2711726557</v>
      </c>
      <c r="X125" s="281">
        <f t="shared" ca="1" si="97"/>
        <v>3806427.5439030989</v>
      </c>
      <c r="Y125" s="281">
        <f t="shared" ca="1" si="97"/>
        <v>5001130.4780246047</v>
      </c>
      <c r="Z125" s="281">
        <f t="shared" ca="1" si="97"/>
        <v>1831998.9595941918</v>
      </c>
      <c r="AA125" s="281"/>
      <c r="AB125" s="281"/>
      <c r="AC125" s="283"/>
      <c r="AE125" s="283"/>
      <c r="AG125" s="283"/>
    </row>
    <row r="126" spans="2:33">
      <c r="B126" s="302" t="s">
        <v>483</v>
      </c>
      <c r="C126" s="302" t="s">
        <v>482</v>
      </c>
      <c r="D126" s="287"/>
      <c r="E126" s="287"/>
      <c r="F126" s="287">
        <f t="shared" ref="F126:Q126" si="98">(F112+F114)*(1+F121/SUM(F111:F120))</f>
        <v>47670275.272031583</v>
      </c>
      <c r="G126" s="287">
        <f t="shared" si="98"/>
        <v>19177864.816695236</v>
      </c>
      <c r="H126" s="287">
        <f t="shared" si="98"/>
        <v>27057775.487877965</v>
      </c>
      <c r="I126" s="287">
        <f t="shared" si="98"/>
        <v>7847039.8174472172</v>
      </c>
      <c r="J126" s="287"/>
      <c r="K126" s="287"/>
      <c r="L126" s="287"/>
      <c r="M126" s="287"/>
      <c r="N126" s="287">
        <f t="shared" ca="1" si="98"/>
        <v>48062652.742403001</v>
      </c>
      <c r="O126" s="287">
        <f t="shared" ca="1" si="98"/>
        <v>19337006.673785884</v>
      </c>
      <c r="P126" s="287">
        <f t="shared" ca="1" si="98"/>
        <v>27289153.088216111</v>
      </c>
      <c r="Q126" s="287">
        <f t="shared" ca="1" si="98"/>
        <v>7906447.6582818218</v>
      </c>
      <c r="R126" s="285"/>
      <c r="S126" s="285"/>
      <c r="T126" s="285"/>
      <c r="U126" s="285"/>
      <c r="V126" s="285"/>
      <c r="W126" s="285">
        <f t="shared" ref="W126:Z126" ca="1" si="99">(W112+W114)*(1+W121/SUM(W111:W120))</f>
        <v>51172425.17539005</v>
      </c>
      <c r="X126" s="285">
        <f t="shared" ca="1" si="99"/>
        <v>20588158.885394216</v>
      </c>
      <c r="Y126" s="285">
        <f t="shared" ca="1" si="99"/>
        <v>29054830.044715311</v>
      </c>
      <c r="Z126" s="285">
        <f t="shared" ca="1" si="99"/>
        <v>8418012.7102753893</v>
      </c>
      <c r="AA126" s="285"/>
      <c r="AB126" s="285"/>
      <c r="AC126" s="287"/>
      <c r="AE126" s="283"/>
      <c r="AG126" s="283"/>
    </row>
    <row r="127" spans="2:33">
      <c r="B127" s="206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E127" s="283"/>
      <c r="AG127" s="349">
        <v>0.13</v>
      </c>
    </row>
    <row r="128" spans="2:33" s="293" customFormat="1">
      <c r="B128" s="292" t="s">
        <v>483</v>
      </c>
      <c r="C128" s="292" t="s">
        <v>195</v>
      </c>
      <c r="D128" s="206">
        <f>SUM(D111:D121)</f>
        <v>178121171.67881858</v>
      </c>
      <c r="E128" s="206">
        <f t="shared" ref="E128:R128" si="100">SUM(E111:E121)</f>
        <v>54230973.857993782</v>
      </c>
      <c r="F128" s="206">
        <f t="shared" si="100"/>
        <v>81713180.179244235</v>
      </c>
      <c r="G128" s="206">
        <f t="shared" si="100"/>
        <v>32492978.293463629</v>
      </c>
      <c r="H128" s="206">
        <f t="shared" si="100"/>
        <v>41806540.713361785</v>
      </c>
      <c r="I128" s="206">
        <f t="shared" si="100"/>
        <v>15339187.880586417</v>
      </c>
      <c r="J128" s="206">
        <f>SUM(J111:J121)</f>
        <v>924718.34957492608</v>
      </c>
      <c r="K128" s="206">
        <f t="shared" si="100"/>
        <v>331840.08810690854</v>
      </c>
      <c r="L128" s="206">
        <f t="shared" ca="1" si="100"/>
        <v>190936644.49349293</v>
      </c>
      <c r="M128" s="206">
        <f t="shared" ca="1" si="100"/>
        <v>57899796.922438584</v>
      </c>
      <c r="N128" s="206">
        <f t="shared" ca="1" si="100"/>
        <v>86615326.045816049</v>
      </c>
      <c r="O128" s="206">
        <f t="shared" ca="1" si="100"/>
        <v>34410383.30461318</v>
      </c>
      <c r="P128" s="206">
        <f t="shared" ca="1" si="100"/>
        <v>44067752.464846164</v>
      </c>
      <c r="Q128" s="206">
        <f t="shared" ca="1" si="100"/>
        <v>16420332.196297633</v>
      </c>
      <c r="R128" s="206">
        <f t="shared" ca="1" si="100"/>
        <v>1004464.787268914</v>
      </c>
      <c r="S128" s="206">
        <f ca="1">Sch.47T!F24</f>
        <v>369089.94290457672</v>
      </c>
      <c r="T128" s="206">
        <f t="shared" ref="T128" ca="1" si="101">SUM(L128:S128)-SUM(D128:K128)</f>
        <v>26763199.116527736</v>
      </c>
      <c r="U128" s="206">
        <f ca="1">SUM(U111:U121)</f>
        <v>203293795.45162883</v>
      </c>
      <c r="V128" s="206">
        <f t="shared" ref="V128:AA128" ca="1" si="102">SUM(V111:V121)</f>
        <v>61646827.287850834</v>
      </c>
      <c r="W128" s="206">
        <f t="shared" ca="1" si="102"/>
        <v>92220104.935808882</v>
      </c>
      <c r="X128" s="206">
        <f t="shared" ca="1" si="102"/>
        <v>36637022.024768971</v>
      </c>
      <c r="Y128" s="206">
        <f t="shared" ca="1" si="102"/>
        <v>46919187.557633266</v>
      </c>
      <c r="Z128" s="206">
        <f t="shared" ca="1" si="102"/>
        <v>17482981.20489059</v>
      </c>
      <c r="AA128" s="206">
        <f t="shared" ca="1" si="102"/>
        <v>1069488.1769280238</v>
      </c>
      <c r="AB128" s="206">
        <f ca="1">Sch.47T!F38</f>
        <v>402200.7848994573</v>
      </c>
      <c r="AC128" s="206">
        <f t="shared" ref="AC128" ca="1" si="103">SUM(U128:AB128)-SUM(L128:S128)</f>
        <v>27947817.266730845</v>
      </c>
      <c r="AE128" s="287">
        <f ca="1">T128-T10+AC128-AC10</f>
        <v>-6.3329935073852539E-8</v>
      </c>
      <c r="AG128" s="350">
        <f>AG127/(1+AG127)</f>
        <v>0.11504424778761063</v>
      </c>
    </row>
    <row r="129" spans="2:33" s="293" customFormat="1">
      <c r="B129" s="554"/>
      <c r="C129" s="554"/>
      <c r="AG129" s="555"/>
    </row>
    <row r="130" spans="2:33" s="293" customFormat="1">
      <c r="B130" s="292" t="s">
        <v>586</v>
      </c>
      <c r="C130" s="292">
        <f>SUM('Sch.16,17,19'!$Q$27:$Q$33)+SUM(Sch.24!$S$66:$S$103)+SUM('Sch.29,36'!$S$55:$S$89)+SUM(Sch.48T!$T$52:$T$81)+SUM('Sch.48T-DF'!$O$17:$O$23)+SUM(Sch.40!$S$33:$S$47)+SUM('Sch.15,51,53,54'!$G$51:$G$81)-SUM(D128:J128)</f>
        <v>-4.0413737297058105E-2</v>
      </c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4" activePane="bottomLeft" state="frozen"/>
      <selection pane="bottomLeft"/>
    </sheetView>
  </sheetViews>
  <sheetFormatPr defaultColWidth="9" defaultRowHeight="15.35"/>
  <cols>
    <col min="1" max="1" width="0.83203125" style="86" customWidth="1"/>
    <col min="2" max="2" width="36" style="86" bestFit="1" customWidth="1"/>
    <col min="3" max="3" width="20.6640625" style="86" bestFit="1" customWidth="1"/>
    <col min="4" max="4" width="12.6640625" style="86" bestFit="1" customWidth="1"/>
    <col min="5" max="5" width="11" style="86" bestFit="1" customWidth="1"/>
    <col min="6" max="6" width="7.6640625" style="86" customWidth="1"/>
    <col min="7" max="7" width="10.5" style="86" customWidth="1"/>
    <col min="8" max="8" width="41.5" style="86" customWidth="1"/>
    <col min="9" max="21" width="15.1640625" style="86" customWidth="1"/>
    <col min="22" max="22" width="9.1640625" style="86" customWidth="1"/>
    <col min="23" max="16384" width="9" style="86"/>
  </cols>
  <sheetData>
    <row r="2" spans="2:21">
      <c r="B2" s="217" t="s">
        <v>333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9"/>
    </row>
    <row r="3" spans="2:21">
      <c r="B3" s="139"/>
      <c r="C3" s="139" t="s">
        <v>209</v>
      </c>
      <c r="D3" s="139" t="s">
        <v>153</v>
      </c>
      <c r="E3" s="139" t="s">
        <v>178</v>
      </c>
      <c r="F3" s="139" t="s">
        <v>193</v>
      </c>
      <c r="G3" s="139" t="s">
        <v>194</v>
      </c>
      <c r="H3" s="139" t="s">
        <v>205</v>
      </c>
      <c r="I3" s="140" t="s">
        <v>217</v>
      </c>
      <c r="J3" s="117">
        <v>44378</v>
      </c>
      <c r="K3" s="117">
        <v>44409</v>
      </c>
      <c r="L3" s="117">
        <v>44440</v>
      </c>
      <c r="M3" s="117">
        <v>44470</v>
      </c>
      <c r="N3" s="117">
        <v>44501</v>
      </c>
      <c r="O3" s="117">
        <v>44531</v>
      </c>
      <c r="P3" s="117">
        <v>44562</v>
      </c>
      <c r="Q3" s="117">
        <v>44593</v>
      </c>
      <c r="R3" s="117">
        <v>44621</v>
      </c>
      <c r="S3" s="117">
        <v>44652</v>
      </c>
      <c r="T3" s="117">
        <v>44682</v>
      </c>
      <c r="U3" s="117">
        <v>44713</v>
      </c>
    </row>
    <row r="4" spans="2:21">
      <c r="B4" s="139"/>
      <c r="C4" s="141"/>
      <c r="D4" s="141"/>
      <c r="E4" s="141"/>
      <c r="F4" s="141"/>
      <c r="G4" s="141"/>
      <c r="H4" s="141"/>
      <c r="I4" s="139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1">
      <c r="B5" s="97" t="s">
        <v>333</v>
      </c>
      <c r="C5" s="143" t="s">
        <v>422</v>
      </c>
      <c r="D5" s="143" t="s">
        <v>4</v>
      </c>
      <c r="E5" s="143" t="s">
        <v>195</v>
      </c>
      <c r="F5" s="143" t="s">
        <v>195</v>
      </c>
      <c r="G5" s="143" t="s">
        <v>195</v>
      </c>
      <c r="H5" s="143" t="s">
        <v>349</v>
      </c>
      <c r="I5" s="95">
        <f>SUM(J5:U5)</f>
        <v>247734</v>
      </c>
      <c r="J5" s="144">
        <v>19278</v>
      </c>
      <c r="K5" s="144">
        <v>19415</v>
      </c>
      <c r="L5" s="144">
        <v>19685</v>
      </c>
      <c r="M5" s="144">
        <v>20001</v>
      </c>
      <c r="N5" s="144">
        <v>20407</v>
      </c>
      <c r="O5" s="144">
        <v>20595</v>
      </c>
      <c r="P5" s="144">
        <v>20830</v>
      </c>
      <c r="Q5" s="144">
        <v>20994</v>
      </c>
      <c r="R5" s="144">
        <v>21370</v>
      </c>
      <c r="S5" s="144">
        <v>21539</v>
      </c>
      <c r="T5" s="144">
        <v>21723</v>
      </c>
      <c r="U5" s="144">
        <v>21897</v>
      </c>
    </row>
    <row r="6" spans="2:21">
      <c r="B6" s="97" t="s">
        <v>333</v>
      </c>
      <c r="C6" s="143" t="s">
        <v>422</v>
      </c>
      <c r="D6" s="143" t="s">
        <v>4</v>
      </c>
      <c r="E6" s="143" t="s">
        <v>195</v>
      </c>
      <c r="F6" s="143" t="s">
        <v>195</v>
      </c>
      <c r="G6" s="143" t="s">
        <v>195</v>
      </c>
      <c r="H6" s="143" t="s">
        <v>350</v>
      </c>
      <c r="I6" s="95">
        <f t="shared" ref="I6:I68" si="0">SUM(J6:U6)</f>
        <v>452344</v>
      </c>
      <c r="J6" s="144">
        <v>36089</v>
      </c>
      <c r="K6" s="144">
        <v>36209</v>
      </c>
      <c r="L6" s="144">
        <v>36559</v>
      </c>
      <c r="M6" s="144">
        <v>36886</v>
      </c>
      <c r="N6" s="144">
        <v>37284</v>
      </c>
      <c r="O6" s="144">
        <v>37508</v>
      </c>
      <c r="P6" s="144">
        <v>37754</v>
      </c>
      <c r="Q6" s="144">
        <v>38069</v>
      </c>
      <c r="R6" s="144">
        <v>38582</v>
      </c>
      <c r="S6" s="144">
        <v>38878</v>
      </c>
      <c r="T6" s="144">
        <v>39126</v>
      </c>
      <c r="U6" s="144">
        <v>39400</v>
      </c>
    </row>
    <row r="7" spans="2:21">
      <c r="B7" s="97" t="s">
        <v>333</v>
      </c>
      <c r="C7" s="143" t="s">
        <v>422</v>
      </c>
      <c r="D7" s="143" t="s">
        <v>4</v>
      </c>
      <c r="E7" s="143" t="s">
        <v>195</v>
      </c>
      <c r="F7" s="143" t="s">
        <v>195</v>
      </c>
      <c r="G7" s="143" t="s">
        <v>195</v>
      </c>
      <c r="H7" s="143" t="s">
        <v>335</v>
      </c>
      <c r="I7" s="95">
        <f t="shared" si="0"/>
        <v>1328900.3587096774</v>
      </c>
      <c r="J7" s="144">
        <v>110253.03096774191</v>
      </c>
      <c r="K7" s="144">
        <v>110356.59096774195</v>
      </c>
      <c r="L7" s="144">
        <v>110384.08129032257</v>
      </c>
      <c r="M7" s="144">
        <v>110369.36774193549</v>
      </c>
      <c r="N7" s="144">
        <v>110565.16000000002</v>
      </c>
      <c r="O7" s="144">
        <v>110965.45548387097</v>
      </c>
      <c r="P7" s="144">
        <v>111015.79096774192</v>
      </c>
      <c r="Q7" s="144">
        <v>110848.08258064515</v>
      </c>
      <c r="R7" s="144">
        <v>110981.7548387097</v>
      </c>
      <c r="S7" s="144">
        <v>111013.96774193548</v>
      </c>
      <c r="T7" s="144">
        <v>111012.60516129034</v>
      </c>
      <c r="U7" s="144">
        <v>111134.47096774196</v>
      </c>
    </row>
    <row r="8" spans="2:21">
      <c r="B8" s="97" t="s">
        <v>333</v>
      </c>
      <c r="C8" s="143" t="s">
        <v>422</v>
      </c>
      <c r="D8" s="143" t="s">
        <v>4</v>
      </c>
      <c r="E8" s="143" t="s">
        <v>195</v>
      </c>
      <c r="F8" s="143" t="s">
        <v>195</v>
      </c>
      <c r="G8" s="143" t="s">
        <v>195</v>
      </c>
      <c r="H8" s="143" t="s">
        <v>196</v>
      </c>
      <c r="I8" s="95">
        <f t="shared" si="0"/>
        <v>6381.4662921348308</v>
      </c>
      <c r="J8" s="144">
        <v>528</v>
      </c>
      <c r="K8" s="144">
        <v>494</v>
      </c>
      <c r="L8" s="144">
        <v>472</v>
      </c>
      <c r="M8" s="144">
        <v>609</v>
      </c>
      <c r="N8" s="144">
        <v>628</v>
      </c>
      <c r="O8" s="144">
        <v>462</v>
      </c>
      <c r="P8" s="144">
        <v>467</v>
      </c>
      <c r="Q8" s="144">
        <v>426</v>
      </c>
      <c r="R8" s="144">
        <v>577.93258426966293</v>
      </c>
      <c r="S8" s="144">
        <v>416.06741573033702</v>
      </c>
      <c r="T8" s="144">
        <v>448.53370786516854</v>
      </c>
      <c r="U8" s="144">
        <v>852.93258426966293</v>
      </c>
    </row>
    <row r="9" spans="2:21">
      <c r="B9" s="97" t="s">
        <v>333</v>
      </c>
      <c r="C9" s="143" t="s">
        <v>422</v>
      </c>
      <c r="D9" s="143" t="s">
        <v>4</v>
      </c>
      <c r="E9" s="143" t="s">
        <v>195</v>
      </c>
      <c r="F9" s="143" t="s">
        <v>195</v>
      </c>
      <c r="G9" s="143" t="s">
        <v>195</v>
      </c>
      <c r="H9" s="143" t="s">
        <v>280</v>
      </c>
      <c r="I9" s="95">
        <f t="shared" si="0"/>
        <v>596.1514285714286</v>
      </c>
      <c r="J9" s="144">
        <v>47.382857142857141</v>
      </c>
      <c r="K9" s="144">
        <v>47.282857142857139</v>
      </c>
      <c r="L9" s="144">
        <v>46.965714285714284</v>
      </c>
      <c r="M9" s="144">
        <v>45.965714285714284</v>
      </c>
      <c r="N9" s="144">
        <v>48.948571428571427</v>
      </c>
      <c r="O9" s="144">
        <v>50.965714285714284</v>
      </c>
      <c r="P9" s="144">
        <v>51.44</v>
      </c>
      <c r="Q9" s="144">
        <v>53.42285714285714</v>
      </c>
      <c r="R9" s="144">
        <v>51.408571428571427</v>
      </c>
      <c r="S9" s="144">
        <v>51.471428571428575</v>
      </c>
      <c r="T9" s="144">
        <v>51.44</v>
      </c>
      <c r="U9" s="144">
        <v>49.457142857142856</v>
      </c>
    </row>
    <row r="10" spans="2:21">
      <c r="B10" s="97" t="s">
        <v>333</v>
      </c>
      <c r="C10" s="143" t="s">
        <v>422</v>
      </c>
      <c r="D10" s="143" t="s">
        <v>4</v>
      </c>
      <c r="E10" s="143" t="s">
        <v>195</v>
      </c>
      <c r="F10" s="143" t="s">
        <v>195</v>
      </c>
      <c r="G10" s="143" t="s">
        <v>195</v>
      </c>
      <c r="H10" s="96" t="s">
        <v>366</v>
      </c>
      <c r="I10" s="95">
        <f t="shared" si="0"/>
        <v>340424.48000000004</v>
      </c>
      <c r="J10" s="144">
        <v>31760.720000000001</v>
      </c>
      <c r="K10" s="144">
        <v>29468.639999999999</v>
      </c>
      <c r="L10" s="144">
        <v>21853.200000000001</v>
      </c>
      <c r="M10" s="144">
        <v>18647.800000000003</v>
      </c>
      <c r="N10" s="144">
        <v>23635.4</v>
      </c>
      <c r="O10" s="144">
        <v>34121.160000000003</v>
      </c>
      <c r="P10" s="144">
        <v>47028.960000000006</v>
      </c>
      <c r="Q10" s="144">
        <v>37454.92</v>
      </c>
      <c r="R10" s="144">
        <v>29232.720000000001</v>
      </c>
      <c r="S10" s="144">
        <v>23543.559999999998</v>
      </c>
      <c r="T10" s="144">
        <v>22732.639999999999</v>
      </c>
      <c r="U10" s="144">
        <v>20944.760000000002</v>
      </c>
    </row>
    <row r="11" spans="2:21">
      <c r="B11" s="97" t="s">
        <v>333</v>
      </c>
      <c r="C11" s="143" t="s">
        <v>229</v>
      </c>
      <c r="D11" s="143" t="s">
        <v>4</v>
      </c>
      <c r="E11" s="143" t="s">
        <v>195</v>
      </c>
      <c r="F11" s="143" t="s">
        <v>195</v>
      </c>
      <c r="G11" s="143" t="s">
        <v>195</v>
      </c>
      <c r="H11" s="143" t="s">
        <v>349</v>
      </c>
      <c r="I11" s="95">
        <f t="shared" si="0"/>
        <v>8319</v>
      </c>
      <c r="J11" s="144">
        <v>644</v>
      </c>
      <c r="K11" s="144">
        <v>653</v>
      </c>
      <c r="L11" s="144">
        <v>666</v>
      </c>
      <c r="M11" s="144">
        <v>674</v>
      </c>
      <c r="N11" s="144">
        <v>684</v>
      </c>
      <c r="O11" s="144">
        <v>688</v>
      </c>
      <c r="P11" s="144">
        <v>694</v>
      </c>
      <c r="Q11" s="144">
        <v>708</v>
      </c>
      <c r="R11" s="144">
        <v>718</v>
      </c>
      <c r="S11" s="144">
        <v>728</v>
      </c>
      <c r="T11" s="144">
        <v>730</v>
      </c>
      <c r="U11" s="144">
        <v>732</v>
      </c>
    </row>
    <row r="12" spans="2:21">
      <c r="B12" s="97" t="s">
        <v>333</v>
      </c>
      <c r="C12" s="143" t="s">
        <v>229</v>
      </c>
      <c r="D12" s="143" t="s">
        <v>4</v>
      </c>
      <c r="E12" s="143" t="s">
        <v>195</v>
      </c>
      <c r="F12" s="143" t="s">
        <v>195</v>
      </c>
      <c r="G12" s="143" t="s">
        <v>195</v>
      </c>
      <c r="H12" s="143" t="s">
        <v>350</v>
      </c>
      <c r="I12" s="95">
        <f t="shared" si="0"/>
        <v>11191</v>
      </c>
      <c r="J12" s="144">
        <v>895</v>
      </c>
      <c r="K12" s="144">
        <v>895</v>
      </c>
      <c r="L12" s="144">
        <v>905</v>
      </c>
      <c r="M12" s="144">
        <v>917</v>
      </c>
      <c r="N12" s="144">
        <v>920</v>
      </c>
      <c r="O12" s="144">
        <v>930</v>
      </c>
      <c r="P12" s="144">
        <v>935</v>
      </c>
      <c r="Q12" s="144">
        <v>946</v>
      </c>
      <c r="R12" s="144">
        <v>954</v>
      </c>
      <c r="S12" s="144">
        <v>960</v>
      </c>
      <c r="T12" s="144">
        <v>963</v>
      </c>
      <c r="U12" s="144">
        <v>971</v>
      </c>
    </row>
    <row r="13" spans="2:21">
      <c r="B13" s="97" t="s">
        <v>333</v>
      </c>
      <c r="C13" s="143" t="s">
        <v>229</v>
      </c>
      <c r="D13" s="143" t="s">
        <v>4</v>
      </c>
      <c r="E13" s="143" t="s">
        <v>195</v>
      </c>
      <c r="F13" s="143" t="s">
        <v>199</v>
      </c>
      <c r="G13" s="143" t="s">
        <v>195</v>
      </c>
      <c r="H13" s="143" t="s">
        <v>335</v>
      </c>
      <c r="I13" s="95">
        <f t="shared" si="0"/>
        <v>39261.300000000003</v>
      </c>
      <c r="J13" s="144">
        <v>3271.8999999999996</v>
      </c>
      <c r="K13" s="144">
        <v>3276.9666666666676</v>
      </c>
      <c r="L13" s="144">
        <v>3272.6333333333332</v>
      </c>
      <c r="M13" s="144">
        <v>3271.5333333333328</v>
      </c>
      <c r="N13" s="144">
        <v>3275.7333333333327</v>
      </c>
      <c r="O13" s="144">
        <v>3279.1666666666674</v>
      </c>
      <c r="P13" s="144">
        <v>3278.4000000000015</v>
      </c>
      <c r="Q13" s="144">
        <v>3266.1333333333328</v>
      </c>
      <c r="R13" s="144">
        <v>3267.2999999999993</v>
      </c>
      <c r="S13" s="144">
        <v>3270.2</v>
      </c>
      <c r="T13" s="144">
        <v>3265.333333333333</v>
      </c>
      <c r="U13" s="144">
        <v>3266</v>
      </c>
    </row>
    <row r="14" spans="2:21">
      <c r="B14" s="97" t="s">
        <v>333</v>
      </c>
      <c r="C14" s="143" t="s">
        <v>229</v>
      </c>
      <c r="D14" s="143" t="s">
        <v>4</v>
      </c>
      <c r="E14" s="143" t="s">
        <v>195</v>
      </c>
      <c r="F14" s="143" t="s">
        <v>200</v>
      </c>
      <c r="G14" s="143" t="s">
        <v>195</v>
      </c>
      <c r="H14" s="143" t="s">
        <v>335</v>
      </c>
      <c r="I14" s="95">
        <f t="shared" si="0"/>
        <v>2717.666666666667</v>
      </c>
      <c r="J14" s="144">
        <v>227</v>
      </c>
      <c r="K14" s="144">
        <v>227</v>
      </c>
      <c r="L14" s="144">
        <v>227</v>
      </c>
      <c r="M14" s="144">
        <v>226.7</v>
      </c>
      <c r="N14" s="144">
        <v>226.06666666666666</v>
      </c>
      <c r="O14" s="144">
        <v>226.13333333333333</v>
      </c>
      <c r="P14" s="144">
        <v>226.9</v>
      </c>
      <c r="Q14" s="144">
        <v>226.96666666666667</v>
      </c>
      <c r="R14" s="144">
        <v>225.9</v>
      </c>
      <c r="S14" s="144">
        <v>226</v>
      </c>
      <c r="T14" s="144">
        <v>226</v>
      </c>
      <c r="U14" s="144">
        <v>226</v>
      </c>
    </row>
    <row r="15" spans="2:21">
      <c r="B15" s="97" t="s">
        <v>333</v>
      </c>
      <c r="C15" s="143" t="s">
        <v>229</v>
      </c>
      <c r="D15" s="143" t="s">
        <v>4</v>
      </c>
      <c r="E15" s="143" t="s">
        <v>195</v>
      </c>
      <c r="F15" s="143" t="s">
        <v>195</v>
      </c>
      <c r="G15" s="143" t="s">
        <v>195</v>
      </c>
      <c r="H15" s="143" t="s">
        <v>281</v>
      </c>
      <c r="I15" s="95">
        <f t="shared" si="0"/>
        <v>24552.924358974364</v>
      </c>
      <c r="J15" s="144">
        <v>1998.9916666666668</v>
      </c>
      <c r="K15" s="144">
        <v>1989.5064102564102</v>
      </c>
      <c r="L15" s="144">
        <v>1990.2692307692307</v>
      </c>
      <c r="M15" s="144">
        <v>2048.1903846153846</v>
      </c>
      <c r="N15" s="144">
        <v>2042.2307692307693</v>
      </c>
      <c r="O15" s="144">
        <v>2078.8051282051283</v>
      </c>
      <c r="P15" s="144">
        <v>2121.874358974359</v>
      </c>
      <c r="Q15" s="144">
        <v>2139.125641025641</v>
      </c>
      <c r="R15" s="144">
        <v>2014.9307692307693</v>
      </c>
      <c r="S15" s="144">
        <v>2020.3833333333334</v>
      </c>
      <c r="T15" s="144">
        <v>2049.7435897435894</v>
      </c>
      <c r="U15" s="144">
        <v>2058.873076923077</v>
      </c>
    </row>
    <row r="16" spans="2:21">
      <c r="B16" s="97" t="s">
        <v>333</v>
      </c>
      <c r="C16" s="143" t="s">
        <v>229</v>
      </c>
      <c r="D16" s="143" t="s">
        <v>4</v>
      </c>
      <c r="E16" s="143" t="s">
        <v>195</v>
      </c>
      <c r="F16" s="143" t="s">
        <v>195</v>
      </c>
      <c r="G16" s="143" t="s">
        <v>195</v>
      </c>
      <c r="H16" s="143" t="s">
        <v>202</v>
      </c>
      <c r="I16" s="95">
        <f t="shared" si="0"/>
        <v>14515.131233595803</v>
      </c>
      <c r="J16" s="144">
        <v>1017</v>
      </c>
      <c r="K16" s="144">
        <v>934.20209973753288</v>
      </c>
      <c r="L16" s="144">
        <v>972.39895013123351</v>
      </c>
      <c r="M16" s="144">
        <v>1047.6010498687665</v>
      </c>
      <c r="N16" s="144">
        <v>1216.6325459317586</v>
      </c>
      <c r="O16" s="144">
        <v>1361.3280839895012</v>
      </c>
      <c r="P16" s="144">
        <v>1765.0341207349084</v>
      </c>
      <c r="Q16" s="144">
        <v>1560.3989501312335</v>
      </c>
      <c r="R16" s="144">
        <v>1376.4330708661419</v>
      </c>
      <c r="S16" s="144">
        <v>1166.7664041994751</v>
      </c>
      <c r="T16" s="144">
        <v>1128.734908136483</v>
      </c>
      <c r="U16" s="144">
        <v>968.60104986876638</v>
      </c>
    </row>
    <row r="17" spans="2:21">
      <c r="B17" s="97" t="s">
        <v>333</v>
      </c>
      <c r="C17" s="143" t="s">
        <v>229</v>
      </c>
      <c r="D17" s="143" t="s">
        <v>4</v>
      </c>
      <c r="E17" s="143" t="s">
        <v>195</v>
      </c>
      <c r="F17" s="143" t="s">
        <v>195</v>
      </c>
      <c r="G17" s="143" t="s">
        <v>195</v>
      </c>
      <c r="H17" s="143" t="s">
        <v>201</v>
      </c>
      <c r="I17" s="95">
        <f t="shared" si="0"/>
        <v>113</v>
      </c>
      <c r="J17" s="144">
        <v>16</v>
      </c>
      <c r="K17" s="144">
        <v>17</v>
      </c>
      <c r="L17" s="144">
        <v>17</v>
      </c>
      <c r="M17" s="144">
        <v>13</v>
      </c>
      <c r="N17" s="144">
        <v>4</v>
      </c>
      <c r="O17" s="144">
        <v>5</v>
      </c>
      <c r="P17" s="144">
        <v>2</v>
      </c>
      <c r="Q17" s="144">
        <v>6</v>
      </c>
      <c r="R17" s="144">
        <v>5</v>
      </c>
      <c r="S17" s="144">
        <v>6</v>
      </c>
      <c r="T17" s="144">
        <v>9</v>
      </c>
      <c r="U17" s="144">
        <v>13</v>
      </c>
    </row>
    <row r="18" spans="2:21">
      <c r="B18" s="97" t="s">
        <v>333</v>
      </c>
      <c r="C18" s="143" t="s">
        <v>229</v>
      </c>
      <c r="D18" s="143" t="s">
        <v>5</v>
      </c>
      <c r="E18" s="143" t="s">
        <v>195</v>
      </c>
      <c r="F18" s="143" t="s">
        <v>195</v>
      </c>
      <c r="G18" s="143" t="s">
        <v>195</v>
      </c>
      <c r="H18" s="143" t="s">
        <v>349</v>
      </c>
      <c r="I18" s="95">
        <f t="shared" si="0"/>
        <v>29994</v>
      </c>
      <c r="J18" s="144">
        <v>2338</v>
      </c>
      <c r="K18" s="144">
        <v>2358</v>
      </c>
      <c r="L18" s="144">
        <v>2385</v>
      </c>
      <c r="M18" s="144">
        <v>2414</v>
      </c>
      <c r="N18" s="144">
        <v>2453</v>
      </c>
      <c r="O18" s="144">
        <v>2481</v>
      </c>
      <c r="P18" s="144">
        <v>2513</v>
      </c>
      <c r="Q18" s="144">
        <v>2538</v>
      </c>
      <c r="R18" s="144">
        <v>2572</v>
      </c>
      <c r="S18" s="144">
        <v>2606</v>
      </c>
      <c r="T18" s="144">
        <v>2651</v>
      </c>
      <c r="U18" s="144">
        <v>2685</v>
      </c>
    </row>
    <row r="19" spans="2:21">
      <c r="B19" s="97" t="s">
        <v>333</v>
      </c>
      <c r="C19" s="143" t="s">
        <v>229</v>
      </c>
      <c r="D19" s="143" t="s">
        <v>5</v>
      </c>
      <c r="E19" s="143" t="s">
        <v>195</v>
      </c>
      <c r="F19" s="143" t="s">
        <v>195</v>
      </c>
      <c r="G19" s="143" t="s">
        <v>195</v>
      </c>
      <c r="H19" s="143" t="s">
        <v>350</v>
      </c>
      <c r="I19" s="95">
        <f t="shared" si="0"/>
        <v>54240</v>
      </c>
      <c r="J19" s="144">
        <v>4313</v>
      </c>
      <c r="K19" s="144">
        <v>4321</v>
      </c>
      <c r="L19" s="144">
        <v>4377</v>
      </c>
      <c r="M19" s="144">
        <v>4435</v>
      </c>
      <c r="N19" s="144">
        <v>4446</v>
      </c>
      <c r="O19" s="144">
        <v>4471</v>
      </c>
      <c r="P19" s="144">
        <v>4518</v>
      </c>
      <c r="Q19" s="144">
        <v>4546</v>
      </c>
      <c r="R19" s="144">
        <v>4616</v>
      </c>
      <c r="S19" s="144">
        <v>4657</v>
      </c>
      <c r="T19" s="144">
        <v>4741</v>
      </c>
      <c r="U19" s="144">
        <v>4799</v>
      </c>
    </row>
    <row r="20" spans="2:21">
      <c r="B20" s="97" t="s">
        <v>333</v>
      </c>
      <c r="C20" s="143" t="s">
        <v>229</v>
      </c>
      <c r="D20" s="143" t="s">
        <v>5</v>
      </c>
      <c r="E20" s="143" t="s">
        <v>195</v>
      </c>
      <c r="F20" s="143" t="s">
        <v>199</v>
      </c>
      <c r="G20" s="143" t="s">
        <v>195</v>
      </c>
      <c r="H20" s="143" t="s">
        <v>335</v>
      </c>
      <c r="I20" s="95">
        <f t="shared" si="0"/>
        <v>137486.80000000002</v>
      </c>
      <c r="J20" s="144">
        <v>11411.233333333334</v>
      </c>
      <c r="K20" s="144">
        <v>11425.83333333333</v>
      </c>
      <c r="L20" s="144">
        <v>11403.666666666666</v>
      </c>
      <c r="M20" s="144">
        <v>11418.966666666669</v>
      </c>
      <c r="N20" s="144">
        <v>11443.066666666669</v>
      </c>
      <c r="O20" s="144">
        <v>11474.733333333332</v>
      </c>
      <c r="P20" s="144">
        <v>11477.999999999993</v>
      </c>
      <c r="Q20" s="144">
        <v>11460.16666666667</v>
      </c>
      <c r="R20" s="144">
        <v>11489.233333333337</v>
      </c>
      <c r="S20" s="144">
        <v>11473.266666666668</v>
      </c>
      <c r="T20" s="144">
        <v>11486.933333333334</v>
      </c>
      <c r="U20" s="144">
        <v>11521.699999999999</v>
      </c>
    </row>
    <row r="21" spans="2:21">
      <c r="B21" s="97" t="s">
        <v>333</v>
      </c>
      <c r="C21" s="143" t="s">
        <v>229</v>
      </c>
      <c r="D21" s="143" t="s">
        <v>5</v>
      </c>
      <c r="E21" s="143" t="s">
        <v>195</v>
      </c>
      <c r="F21" s="143" t="s">
        <v>199</v>
      </c>
      <c r="G21" s="143" t="s">
        <v>195</v>
      </c>
      <c r="H21" s="143" t="s">
        <v>336</v>
      </c>
      <c r="I21" s="95">
        <f t="shared" si="0"/>
        <v>2.6301369863013697</v>
      </c>
      <c r="J21" s="144">
        <v>0</v>
      </c>
      <c r="K21" s="144">
        <v>0</v>
      </c>
      <c r="L21" s="144">
        <v>0</v>
      </c>
      <c r="M21" s="144">
        <v>0</v>
      </c>
      <c r="N21" s="144">
        <v>2.6301369863013697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</row>
    <row r="22" spans="2:21">
      <c r="B22" s="97" t="s">
        <v>333</v>
      </c>
      <c r="C22" s="143" t="s">
        <v>229</v>
      </c>
      <c r="D22" s="143" t="s">
        <v>5</v>
      </c>
      <c r="E22" s="143" t="s">
        <v>195</v>
      </c>
      <c r="F22" s="143" t="s">
        <v>200</v>
      </c>
      <c r="G22" s="143" t="s">
        <v>195</v>
      </c>
      <c r="H22" s="143" t="s">
        <v>335</v>
      </c>
      <c r="I22" s="95">
        <f t="shared" si="0"/>
        <v>64614.799999999988</v>
      </c>
      <c r="J22" s="144">
        <v>5393.2666666666673</v>
      </c>
      <c r="K22" s="144">
        <v>5384.2000000000007</v>
      </c>
      <c r="L22" s="144">
        <v>5378.7333333333336</v>
      </c>
      <c r="M22" s="144">
        <v>5374.9333333333325</v>
      </c>
      <c r="N22" s="144">
        <v>5371.4333333333316</v>
      </c>
      <c r="O22" s="144">
        <v>5386.7</v>
      </c>
      <c r="P22" s="144">
        <v>5387.5666666666684</v>
      </c>
      <c r="Q22" s="144">
        <v>5375.7333333333318</v>
      </c>
      <c r="R22" s="144">
        <v>5388.699999999998</v>
      </c>
      <c r="S22" s="144">
        <v>5385.0999999999985</v>
      </c>
      <c r="T22" s="144">
        <v>5389.1333333333323</v>
      </c>
      <c r="U22" s="144">
        <v>5399.3</v>
      </c>
    </row>
    <row r="23" spans="2:21">
      <c r="B23" s="97" t="s">
        <v>333</v>
      </c>
      <c r="C23" s="143" t="s">
        <v>229</v>
      </c>
      <c r="D23" s="143" t="s">
        <v>5</v>
      </c>
      <c r="E23" s="143" t="s">
        <v>195</v>
      </c>
      <c r="F23" s="143" t="s">
        <v>200</v>
      </c>
      <c r="G23" s="143" t="s">
        <v>195</v>
      </c>
      <c r="H23" s="143" t="s">
        <v>336</v>
      </c>
      <c r="I23" s="95">
        <f t="shared" si="0"/>
        <v>63.471232876712314</v>
      </c>
      <c r="J23" s="144">
        <v>0</v>
      </c>
      <c r="K23" s="144">
        <v>0</v>
      </c>
      <c r="L23" s="144">
        <v>0</v>
      </c>
      <c r="M23" s="144">
        <v>0</v>
      </c>
      <c r="N23" s="144">
        <v>62.150684931506831</v>
      </c>
      <c r="O23" s="144">
        <v>0</v>
      </c>
      <c r="P23" s="144">
        <v>0</v>
      </c>
      <c r="Q23" s="144">
        <v>0.19178082191780821</v>
      </c>
      <c r="R23" s="144">
        <v>0.30410958904109592</v>
      </c>
      <c r="S23" s="144">
        <v>0</v>
      </c>
      <c r="T23" s="144">
        <v>0.8246575342465754</v>
      </c>
      <c r="U23" s="144">
        <v>0</v>
      </c>
    </row>
    <row r="24" spans="2:21">
      <c r="B24" s="97" t="s">
        <v>333</v>
      </c>
      <c r="C24" s="143" t="s">
        <v>229</v>
      </c>
      <c r="D24" s="143" t="s">
        <v>5</v>
      </c>
      <c r="E24" s="143" t="s">
        <v>195</v>
      </c>
      <c r="F24" s="143" t="s">
        <v>195</v>
      </c>
      <c r="G24" s="143" t="s">
        <v>195</v>
      </c>
      <c r="H24" s="143" t="s">
        <v>281</v>
      </c>
      <c r="I24" s="95">
        <f t="shared" si="0"/>
        <v>1187878.7378205128</v>
      </c>
      <c r="J24" s="144">
        <v>99876.58205128205</v>
      </c>
      <c r="K24" s="144">
        <v>100083.1641025641</v>
      </c>
      <c r="L24" s="144">
        <v>99727.209615384621</v>
      </c>
      <c r="M24" s="144">
        <v>99636.014743589738</v>
      </c>
      <c r="N24" s="144">
        <v>98616.714743589735</v>
      </c>
      <c r="O24" s="144">
        <v>98715.899358974362</v>
      </c>
      <c r="P24" s="144">
        <v>98716.667307692303</v>
      </c>
      <c r="Q24" s="144">
        <v>98538.346153846156</v>
      </c>
      <c r="R24" s="144">
        <v>98607.953205128215</v>
      </c>
      <c r="S24" s="144">
        <v>98765.269871794866</v>
      </c>
      <c r="T24" s="144">
        <v>98187.490384615376</v>
      </c>
      <c r="U24" s="144">
        <v>98407.426282051281</v>
      </c>
    </row>
    <row r="25" spans="2:21">
      <c r="B25" s="97" t="s">
        <v>333</v>
      </c>
      <c r="C25" s="143" t="s">
        <v>229</v>
      </c>
      <c r="D25" s="143" t="s">
        <v>5</v>
      </c>
      <c r="E25" s="143" t="s">
        <v>195</v>
      </c>
      <c r="F25" s="143" t="s">
        <v>195</v>
      </c>
      <c r="G25" s="143" t="s">
        <v>195</v>
      </c>
      <c r="H25" s="143" t="s">
        <v>283</v>
      </c>
      <c r="I25" s="95">
        <f t="shared" si="0"/>
        <v>2130.0812961011588</v>
      </c>
      <c r="J25" s="144">
        <v>0</v>
      </c>
      <c r="K25" s="144">
        <v>0</v>
      </c>
      <c r="L25" s="144">
        <v>0</v>
      </c>
      <c r="M25" s="144">
        <v>0</v>
      </c>
      <c r="N25" s="144">
        <v>2108.3416030031608</v>
      </c>
      <c r="O25" s="144">
        <v>0</v>
      </c>
      <c r="P25" s="144">
        <v>0</v>
      </c>
      <c r="Q25" s="144">
        <v>5.1778736389181592</v>
      </c>
      <c r="R25" s="144">
        <v>3.0412715138742521</v>
      </c>
      <c r="S25" s="144">
        <v>0</v>
      </c>
      <c r="T25" s="144">
        <v>13.520547945205477</v>
      </c>
      <c r="U25" s="144">
        <v>0</v>
      </c>
    </row>
    <row r="26" spans="2:21">
      <c r="B26" s="97" t="s">
        <v>333</v>
      </c>
      <c r="C26" s="143" t="s">
        <v>229</v>
      </c>
      <c r="D26" s="143" t="s">
        <v>5</v>
      </c>
      <c r="E26" s="143" t="s">
        <v>195</v>
      </c>
      <c r="F26" s="143" t="s">
        <v>195</v>
      </c>
      <c r="G26" s="143" t="s">
        <v>195</v>
      </c>
      <c r="H26" s="143" t="s">
        <v>202</v>
      </c>
      <c r="I26" s="95">
        <f t="shared" si="0"/>
        <v>715183.48293963249</v>
      </c>
      <c r="J26" s="144">
        <v>74324.769028871393</v>
      </c>
      <c r="K26" s="144">
        <v>68993.07086614173</v>
      </c>
      <c r="L26" s="144">
        <v>66045.469816272962</v>
      </c>
      <c r="M26" s="144">
        <v>59381.207349081356</v>
      </c>
      <c r="N26" s="144">
        <v>55445.343832020997</v>
      </c>
      <c r="O26" s="144">
        <v>56710.779527559047</v>
      </c>
      <c r="P26" s="144">
        <v>59012.850393700792</v>
      </c>
      <c r="Q26" s="144">
        <v>56361.398950131224</v>
      </c>
      <c r="R26" s="144">
        <v>57278.341207349076</v>
      </c>
      <c r="S26" s="144">
        <v>55578.309711286092</v>
      </c>
      <c r="T26" s="144">
        <v>53081.170603674531</v>
      </c>
      <c r="U26" s="144">
        <v>52970.771653543314</v>
      </c>
    </row>
    <row r="27" spans="2:21">
      <c r="B27" s="97" t="s">
        <v>333</v>
      </c>
      <c r="C27" s="143" t="s">
        <v>229</v>
      </c>
      <c r="D27" s="143" t="s">
        <v>5</v>
      </c>
      <c r="E27" s="143" t="s">
        <v>195</v>
      </c>
      <c r="F27" s="143" t="s">
        <v>195</v>
      </c>
      <c r="G27" s="143" t="s">
        <v>195</v>
      </c>
      <c r="H27" s="143" t="s">
        <v>201</v>
      </c>
      <c r="I27" s="95">
        <f t="shared" si="0"/>
        <v>108913.48275862068</v>
      </c>
      <c r="J27" s="144">
        <v>10485.189655172415</v>
      </c>
      <c r="K27" s="144">
        <v>11080.103448275862</v>
      </c>
      <c r="L27" s="144">
        <v>12804.327586206897</v>
      </c>
      <c r="M27" s="144">
        <v>12060.896551724139</v>
      </c>
      <c r="N27" s="144">
        <v>9286.5689655172409</v>
      </c>
      <c r="O27" s="144">
        <v>7276.4310344827582</v>
      </c>
      <c r="P27" s="144">
        <v>6477</v>
      </c>
      <c r="Q27" s="144">
        <v>6510.1379310344828</v>
      </c>
      <c r="R27" s="144">
        <v>7076.4655172413795</v>
      </c>
      <c r="S27" s="144">
        <v>8104.7413793103451</v>
      </c>
      <c r="T27" s="144">
        <v>8201.2068965517246</v>
      </c>
      <c r="U27" s="144">
        <v>9550.4137931034475</v>
      </c>
    </row>
    <row r="28" spans="2:21">
      <c r="B28" s="97" t="s">
        <v>333</v>
      </c>
      <c r="C28" s="143" t="s">
        <v>229</v>
      </c>
      <c r="D28" s="143" t="s">
        <v>5</v>
      </c>
      <c r="E28" s="143" t="s">
        <v>195</v>
      </c>
      <c r="F28" s="143" t="s">
        <v>195</v>
      </c>
      <c r="G28" s="143" t="s">
        <v>195</v>
      </c>
      <c r="H28" s="166" t="s">
        <v>367</v>
      </c>
      <c r="I28" s="95">
        <f t="shared" si="0"/>
        <v>104394</v>
      </c>
      <c r="J28" s="144">
        <v>9151</v>
      </c>
      <c r="K28" s="144">
        <v>9166</v>
      </c>
      <c r="L28" s="144">
        <v>9066</v>
      </c>
      <c r="M28" s="144">
        <v>9169</v>
      </c>
      <c r="N28" s="144">
        <v>9075</v>
      </c>
      <c r="O28" s="144">
        <v>7884</v>
      </c>
      <c r="P28" s="144">
        <v>8958</v>
      </c>
      <c r="Q28" s="144">
        <v>8917</v>
      </c>
      <c r="R28" s="144">
        <v>8859</v>
      </c>
      <c r="S28" s="144">
        <v>8253</v>
      </c>
      <c r="T28" s="144">
        <v>8064</v>
      </c>
      <c r="U28" s="144">
        <v>7832</v>
      </c>
    </row>
    <row r="29" spans="2:21">
      <c r="B29" s="97" t="s">
        <v>333</v>
      </c>
      <c r="C29" s="143" t="s">
        <v>229</v>
      </c>
      <c r="D29" s="143" t="s">
        <v>5</v>
      </c>
      <c r="E29" s="143" t="s">
        <v>195</v>
      </c>
      <c r="F29" s="143" t="s">
        <v>195</v>
      </c>
      <c r="G29" s="143" t="s">
        <v>195</v>
      </c>
      <c r="H29" s="166" t="s">
        <v>358</v>
      </c>
      <c r="I29" s="95">
        <f t="shared" si="0"/>
        <v>3766.6333333333332</v>
      </c>
      <c r="J29" s="144">
        <v>313.5333333333333</v>
      </c>
      <c r="K29" s="144">
        <v>316</v>
      </c>
      <c r="L29" s="144">
        <v>316</v>
      </c>
      <c r="M29" s="144">
        <v>314</v>
      </c>
      <c r="N29" s="144">
        <v>316.60000000000002</v>
      </c>
      <c r="O29" s="144">
        <v>315</v>
      </c>
      <c r="P29" s="144">
        <v>321</v>
      </c>
      <c r="Q29" s="144">
        <v>316</v>
      </c>
      <c r="R29" s="144">
        <v>316</v>
      </c>
      <c r="S29" s="144">
        <v>317</v>
      </c>
      <c r="T29" s="144">
        <v>307.5</v>
      </c>
      <c r="U29" s="144">
        <v>298</v>
      </c>
    </row>
    <row r="30" spans="2:21">
      <c r="B30" s="97" t="s">
        <v>333</v>
      </c>
      <c r="C30" s="143" t="s">
        <v>229</v>
      </c>
      <c r="D30" s="143" t="s">
        <v>5</v>
      </c>
      <c r="E30" s="143" t="s">
        <v>195</v>
      </c>
      <c r="F30" s="143" t="s">
        <v>195</v>
      </c>
      <c r="G30" s="143" t="s">
        <v>195</v>
      </c>
      <c r="H30" s="166" t="s">
        <v>368</v>
      </c>
      <c r="I30" s="95">
        <f t="shared" si="0"/>
        <v>132.06666666666666</v>
      </c>
      <c r="J30" s="144">
        <v>11.066666666666666</v>
      </c>
      <c r="K30" s="144">
        <v>11</v>
      </c>
      <c r="L30" s="144">
        <v>11</v>
      </c>
      <c r="M30" s="144">
        <v>11</v>
      </c>
      <c r="N30" s="144">
        <v>11</v>
      </c>
      <c r="O30" s="144">
        <v>11</v>
      </c>
      <c r="P30" s="144">
        <v>11</v>
      </c>
      <c r="Q30" s="144">
        <v>11</v>
      </c>
      <c r="R30" s="144">
        <v>11</v>
      </c>
      <c r="S30" s="144">
        <v>11</v>
      </c>
      <c r="T30" s="144">
        <v>11</v>
      </c>
      <c r="U30" s="144">
        <v>11</v>
      </c>
    </row>
    <row r="31" spans="2:21">
      <c r="B31" s="97" t="s">
        <v>333</v>
      </c>
      <c r="C31" s="143" t="s">
        <v>229</v>
      </c>
      <c r="D31" s="143" t="s">
        <v>7</v>
      </c>
      <c r="E31" s="143" t="s">
        <v>195</v>
      </c>
      <c r="F31" s="143" t="s">
        <v>195</v>
      </c>
      <c r="G31" s="143" t="s">
        <v>195</v>
      </c>
      <c r="H31" s="143" t="s">
        <v>349</v>
      </c>
      <c r="I31" s="95">
        <f t="shared" si="0"/>
        <v>317</v>
      </c>
      <c r="J31" s="144">
        <v>24</v>
      </c>
      <c r="K31" s="144">
        <v>21</v>
      </c>
      <c r="L31" s="144">
        <v>23</v>
      </c>
      <c r="M31" s="144">
        <v>24</v>
      </c>
      <c r="N31" s="144">
        <v>24</v>
      </c>
      <c r="O31" s="144">
        <v>27</v>
      </c>
      <c r="P31" s="144">
        <v>27</v>
      </c>
      <c r="Q31" s="144">
        <v>29</v>
      </c>
      <c r="R31" s="144">
        <v>30</v>
      </c>
      <c r="S31" s="144">
        <v>31</v>
      </c>
      <c r="T31" s="144">
        <v>28</v>
      </c>
      <c r="U31" s="144">
        <v>29</v>
      </c>
    </row>
    <row r="32" spans="2:21">
      <c r="B32" s="97" t="s">
        <v>333</v>
      </c>
      <c r="C32" s="143" t="s">
        <v>229</v>
      </c>
      <c r="D32" s="143" t="s">
        <v>7</v>
      </c>
      <c r="E32" s="143" t="s">
        <v>195</v>
      </c>
      <c r="F32" s="143" t="s">
        <v>195</v>
      </c>
      <c r="G32" s="143" t="s">
        <v>195</v>
      </c>
      <c r="H32" s="143" t="s">
        <v>350</v>
      </c>
      <c r="I32" s="95">
        <f t="shared" si="0"/>
        <v>927</v>
      </c>
      <c r="J32" s="144">
        <v>75</v>
      </c>
      <c r="K32" s="144">
        <v>75</v>
      </c>
      <c r="L32" s="144">
        <v>76</v>
      </c>
      <c r="M32" s="144">
        <v>76</v>
      </c>
      <c r="N32" s="144">
        <v>77</v>
      </c>
      <c r="O32" s="144">
        <v>78</v>
      </c>
      <c r="P32" s="144">
        <v>77</v>
      </c>
      <c r="Q32" s="144">
        <v>77</v>
      </c>
      <c r="R32" s="144">
        <v>77</v>
      </c>
      <c r="S32" s="144">
        <v>79</v>
      </c>
      <c r="T32" s="144">
        <v>80</v>
      </c>
      <c r="U32" s="144">
        <v>80</v>
      </c>
    </row>
    <row r="33" spans="2:21">
      <c r="B33" s="97" t="s">
        <v>333</v>
      </c>
      <c r="C33" s="143" t="s">
        <v>229</v>
      </c>
      <c r="D33" s="143" t="s">
        <v>7</v>
      </c>
      <c r="E33" s="143" t="s">
        <v>195</v>
      </c>
      <c r="F33" s="143" t="s">
        <v>199</v>
      </c>
      <c r="G33" s="143" t="s">
        <v>195</v>
      </c>
      <c r="H33" s="143" t="s">
        <v>335</v>
      </c>
      <c r="I33" s="95">
        <f t="shared" si="0"/>
        <v>2064.5333333333333</v>
      </c>
      <c r="J33" s="144">
        <v>172</v>
      </c>
      <c r="K33" s="144">
        <v>172</v>
      </c>
      <c r="L33" s="144">
        <v>172</v>
      </c>
      <c r="M33" s="144">
        <v>172</v>
      </c>
      <c r="N33" s="144">
        <v>172</v>
      </c>
      <c r="O33" s="144">
        <v>172.26666666666665</v>
      </c>
      <c r="P33" s="144">
        <v>172.1</v>
      </c>
      <c r="Q33" s="144">
        <v>171.9666666666667</v>
      </c>
      <c r="R33" s="144">
        <v>172.23333333333332</v>
      </c>
      <c r="S33" s="144">
        <v>171.96666666666667</v>
      </c>
      <c r="T33" s="144">
        <v>172</v>
      </c>
      <c r="U33" s="144">
        <v>172</v>
      </c>
    </row>
    <row r="34" spans="2:21">
      <c r="B34" s="97" t="s">
        <v>333</v>
      </c>
      <c r="C34" s="143" t="s">
        <v>229</v>
      </c>
      <c r="D34" s="143" t="s">
        <v>7</v>
      </c>
      <c r="E34" s="143" t="s">
        <v>195</v>
      </c>
      <c r="F34" s="143" t="s">
        <v>200</v>
      </c>
      <c r="G34" s="143" t="s">
        <v>195</v>
      </c>
      <c r="H34" s="143" t="s">
        <v>335</v>
      </c>
      <c r="I34" s="95">
        <f t="shared" si="0"/>
        <v>2816.0666666666666</v>
      </c>
      <c r="J34" s="144">
        <v>235</v>
      </c>
      <c r="K34" s="144">
        <v>233.60000000000002</v>
      </c>
      <c r="L34" s="144">
        <v>233.26666666666665</v>
      </c>
      <c r="M34" s="144">
        <v>234</v>
      </c>
      <c r="N34" s="144">
        <v>235.89999999999998</v>
      </c>
      <c r="O34" s="144">
        <v>235.29999999999998</v>
      </c>
      <c r="P34" s="144">
        <v>235.1</v>
      </c>
      <c r="Q34" s="144">
        <v>235.06666666666666</v>
      </c>
      <c r="R34" s="144">
        <v>234.9666666666667</v>
      </c>
      <c r="S34" s="144">
        <v>235.86666666666665</v>
      </c>
      <c r="T34" s="144">
        <v>235</v>
      </c>
      <c r="U34" s="144">
        <v>233</v>
      </c>
    </row>
    <row r="35" spans="2:21">
      <c r="B35" s="97" t="s">
        <v>333</v>
      </c>
      <c r="C35" s="143" t="s">
        <v>229</v>
      </c>
      <c r="D35" s="143" t="s">
        <v>7</v>
      </c>
      <c r="E35" s="143" t="s">
        <v>195</v>
      </c>
      <c r="F35" s="143" t="s">
        <v>200</v>
      </c>
      <c r="G35" s="143" t="s">
        <v>195</v>
      </c>
      <c r="H35" s="143" t="s">
        <v>336</v>
      </c>
      <c r="I35" s="95">
        <f t="shared" si="0"/>
        <v>1</v>
      </c>
      <c r="J35" s="144">
        <v>0</v>
      </c>
      <c r="K35" s="144">
        <v>0</v>
      </c>
      <c r="L35" s="144">
        <v>0</v>
      </c>
      <c r="M35" s="144">
        <v>0</v>
      </c>
      <c r="N35" s="144">
        <v>1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</row>
    <row r="36" spans="2:21">
      <c r="B36" s="97" t="s">
        <v>333</v>
      </c>
      <c r="C36" s="143" t="s">
        <v>229</v>
      </c>
      <c r="D36" s="143" t="s">
        <v>7</v>
      </c>
      <c r="E36" s="143" t="s">
        <v>195</v>
      </c>
      <c r="F36" s="143" t="s">
        <v>195</v>
      </c>
      <c r="G36" s="143" t="s">
        <v>195</v>
      </c>
      <c r="H36" s="143" t="s">
        <v>281</v>
      </c>
      <c r="I36" s="95">
        <f t="shared" si="0"/>
        <v>50566.221153846156</v>
      </c>
      <c r="J36" s="144">
        <v>4011.3365384615386</v>
      </c>
      <c r="K36" s="144">
        <v>3997.2019230769229</v>
      </c>
      <c r="L36" s="144">
        <v>4088</v>
      </c>
      <c r="M36" s="144">
        <v>4103</v>
      </c>
      <c r="N36" s="144">
        <v>4280</v>
      </c>
      <c r="O36" s="144">
        <v>4401.8557692307695</v>
      </c>
      <c r="P36" s="144">
        <v>4455.1346153846152</v>
      </c>
      <c r="Q36" s="144">
        <v>4264</v>
      </c>
      <c r="R36" s="144">
        <v>4238.7980769230771</v>
      </c>
      <c r="S36" s="144">
        <v>4326.8942307692305</v>
      </c>
      <c r="T36" s="144">
        <v>4231</v>
      </c>
      <c r="U36" s="144">
        <v>4169</v>
      </c>
    </row>
    <row r="37" spans="2:21">
      <c r="B37" s="97" t="s">
        <v>333</v>
      </c>
      <c r="C37" s="143" t="s">
        <v>229</v>
      </c>
      <c r="D37" s="143" t="s">
        <v>7</v>
      </c>
      <c r="E37" s="143" t="s">
        <v>195</v>
      </c>
      <c r="F37" s="143" t="s">
        <v>195</v>
      </c>
      <c r="G37" s="143" t="s">
        <v>195</v>
      </c>
      <c r="H37" s="143" t="s">
        <v>283</v>
      </c>
      <c r="I37" s="95">
        <f t="shared" si="0"/>
        <v>55.99970802599227</v>
      </c>
      <c r="J37" s="144">
        <v>0</v>
      </c>
      <c r="K37" s="144">
        <v>0</v>
      </c>
      <c r="L37" s="144">
        <v>0</v>
      </c>
      <c r="M37" s="144">
        <v>0</v>
      </c>
      <c r="N37" s="144">
        <v>55.99970802599227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</row>
    <row r="38" spans="2:21">
      <c r="B38" s="97" t="s">
        <v>333</v>
      </c>
      <c r="C38" s="143" t="s">
        <v>229</v>
      </c>
      <c r="D38" s="143" t="s">
        <v>7</v>
      </c>
      <c r="E38" s="143" t="s">
        <v>195</v>
      </c>
      <c r="F38" s="143" t="s">
        <v>195</v>
      </c>
      <c r="G38" s="143" t="s">
        <v>195</v>
      </c>
      <c r="H38" s="143" t="s">
        <v>202</v>
      </c>
      <c r="I38" s="95">
        <f t="shared" si="0"/>
        <v>32855.535433070865</v>
      </c>
      <c r="J38" s="144">
        <v>2856</v>
      </c>
      <c r="K38" s="144">
        <v>2677.732283464567</v>
      </c>
      <c r="L38" s="144">
        <v>2928</v>
      </c>
      <c r="M38" s="144">
        <v>2752</v>
      </c>
      <c r="N38" s="144">
        <v>2623</v>
      </c>
      <c r="O38" s="144">
        <v>2810.8005249343832</v>
      </c>
      <c r="P38" s="144">
        <v>2988</v>
      </c>
      <c r="Q38" s="144">
        <v>2823</v>
      </c>
      <c r="R38" s="144">
        <v>2771.3018372703414</v>
      </c>
      <c r="S38" s="144">
        <v>2646.7007874015744</v>
      </c>
      <c r="T38" s="144">
        <v>2559</v>
      </c>
      <c r="U38" s="144">
        <v>2420</v>
      </c>
    </row>
    <row r="39" spans="2:21">
      <c r="B39" s="97" t="s">
        <v>333</v>
      </c>
      <c r="C39" s="143" t="s">
        <v>229</v>
      </c>
      <c r="D39" s="143" t="s">
        <v>7</v>
      </c>
      <c r="E39" s="143" t="s">
        <v>195</v>
      </c>
      <c r="F39" s="143" t="s">
        <v>195</v>
      </c>
      <c r="G39" s="143" t="s">
        <v>195</v>
      </c>
      <c r="H39" s="143" t="s">
        <v>201</v>
      </c>
      <c r="I39" s="95">
        <f t="shared" si="0"/>
        <v>14449.086206896553</v>
      </c>
      <c r="J39" s="144">
        <v>1198.6724137931035</v>
      </c>
      <c r="K39" s="144">
        <v>1283.9310344827586</v>
      </c>
      <c r="L39" s="144">
        <v>1316.7241379310344</v>
      </c>
      <c r="M39" s="144">
        <v>1270</v>
      </c>
      <c r="N39" s="144">
        <v>1223.6034482758621</v>
      </c>
      <c r="O39" s="144">
        <v>1183.3793103448277</v>
      </c>
      <c r="P39" s="144">
        <v>1206</v>
      </c>
      <c r="Q39" s="144">
        <v>1080</v>
      </c>
      <c r="R39" s="144">
        <v>1075.1724137931035</v>
      </c>
      <c r="S39" s="144">
        <v>1201.6034482758621</v>
      </c>
      <c r="T39" s="144">
        <v>1231</v>
      </c>
      <c r="U39" s="144">
        <v>1179</v>
      </c>
    </row>
    <row r="40" spans="2:21">
      <c r="B40" s="97" t="s">
        <v>333</v>
      </c>
      <c r="C40" s="143" t="s">
        <v>229</v>
      </c>
      <c r="D40" s="143" t="s">
        <v>7</v>
      </c>
      <c r="E40" s="143" t="s">
        <v>195</v>
      </c>
      <c r="F40" s="143" t="s">
        <v>195</v>
      </c>
      <c r="G40" s="143" t="s">
        <v>195</v>
      </c>
      <c r="H40" s="166" t="s">
        <v>367</v>
      </c>
      <c r="I40" s="95">
        <f t="shared" si="0"/>
        <v>11942</v>
      </c>
      <c r="J40" s="144">
        <v>2378</v>
      </c>
      <c r="K40" s="144">
        <v>1950</v>
      </c>
      <c r="L40" s="144">
        <v>461.99999999999994</v>
      </c>
      <c r="M40" s="144">
        <v>461.99999999999994</v>
      </c>
      <c r="N40" s="144">
        <v>820</v>
      </c>
      <c r="O40" s="144">
        <v>820</v>
      </c>
      <c r="P40" s="144">
        <v>820</v>
      </c>
      <c r="Q40" s="144">
        <v>802</v>
      </c>
      <c r="R40" s="144">
        <v>828.00000000000011</v>
      </c>
      <c r="S40" s="144">
        <v>848</v>
      </c>
      <c r="T40" s="144">
        <v>849</v>
      </c>
      <c r="U40" s="144">
        <v>903.00000000000011</v>
      </c>
    </row>
    <row r="41" spans="2:21">
      <c r="B41" s="97" t="s">
        <v>333</v>
      </c>
      <c r="C41" s="143" t="s">
        <v>229</v>
      </c>
      <c r="D41" s="143" t="s">
        <v>7</v>
      </c>
      <c r="E41" s="143" t="s">
        <v>195</v>
      </c>
      <c r="F41" s="143" t="s">
        <v>195</v>
      </c>
      <c r="G41" s="143" t="s">
        <v>195</v>
      </c>
      <c r="H41" s="166" t="s">
        <v>358</v>
      </c>
      <c r="I41" s="95">
        <f t="shared" si="0"/>
        <v>489.2</v>
      </c>
      <c r="J41" s="144">
        <v>83</v>
      </c>
      <c r="K41" s="144">
        <v>73.2</v>
      </c>
      <c r="L41" s="144">
        <v>34</v>
      </c>
      <c r="M41" s="144">
        <v>34</v>
      </c>
      <c r="N41" s="144">
        <v>34</v>
      </c>
      <c r="O41" s="144">
        <v>34</v>
      </c>
      <c r="P41" s="144">
        <v>34</v>
      </c>
      <c r="Q41" s="144">
        <v>34</v>
      </c>
      <c r="R41" s="144">
        <v>34</v>
      </c>
      <c r="S41" s="144">
        <v>34</v>
      </c>
      <c r="T41" s="144">
        <v>34</v>
      </c>
      <c r="U41" s="144">
        <v>27</v>
      </c>
    </row>
    <row r="42" spans="2:21">
      <c r="B42" s="97" t="s">
        <v>333</v>
      </c>
      <c r="C42" s="143" t="s">
        <v>229</v>
      </c>
      <c r="D42" s="143" t="s">
        <v>7</v>
      </c>
      <c r="E42" s="143" t="s">
        <v>195</v>
      </c>
      <c r="F42" s="143" t="s">
        <v>195</v>
      </c>
      <c r="G42" s="143" t="s">
        <v>195</v>
      </c>
      <c r="H42" s="166" t="s">
        <v>368</v>
      </c>
      <c r="I42" s="95">
        <f t="shared" si="0"/>
        <v>25.933333333333334</v>
      </c>
      <c r="J42" s="144">
        <v>3</v>
      </c>
      <c r="K42" s="144">
        <v>2.9333333333333336</v>
      </c>
      <c r="L42" s="144">
        <v>2</v>
      </c>
      <c r="M42" s="144">
        <v>2</v>
      </c>
      <c r="N42" s="144">
        <v>2</v>
      </c>
      <c r="O42" s="144">
        <v>2</v>
      </c>
      <c r="P42" s="144">
        <v>2</v>
      </c>
      <c r="Q42" s="144">
        <v>2</v>
      </c>
      <c r="R42" s="144">
        <v>2</v>
      </c>
      <c r="S42" s="144">
        <v>2</v>
      </c>
      <c r="T42" s="144">
        <v>2</v>
      </c>
      <c r="U42" s="144">
        <v>2</v>
      </c>
    </row>
    <row r="43" spans="2:21">
      <c r="B43" s="97" t="s">
        <v>333</v>
      </c>
      <c r="C43" s="143" t="s">
        <v>279</v>
      </c>
      <c r="D43" s="143" t="s">
        <v>4</v>
      </c>
      <c r="E43" s="143" t="s">
        <v>195</v>
      </c>
      <c r="F43" s="143" t="s">
        <v>195</v>
      </c>
      <c r="G43" s="143" t="s">
        <v>195</v>
      </c>
      <c r="H43" s="143" t="s">
        <v>349</v>
      </c>
      <c r="I43" s="95">
        <f t="shared" si="0"/>
        <v>18</v>
      </c>
      <c r="J43" s="144">
        <v>1</v>
      </c>
      <c r="K43" s="144">
        <v>1</v>
      </c>
      <c r="L43" s="144">
        <v>1</v>
      </c>
      <c r="M43" s="144">
        <v>1</v>
      </c>
      <c r="N43" s="144">
        <v>1</v>
      </c>
      <c r="O43" s="144">
        <v>1</v>
      </c>
      <c r="P43" s="144">
        <v>2</v>
      </c>
      <c r="Q43" s="144">
        <v>2</v>
      </c>
      <c r="R43" s="144">
        <v>2</v>
      </c>
      <c r="S43" s="144">
        <v>2</v>
      </c>
      <c r="T43" s="144">
        <v>2</v>
      </c>
      <c r="U43" s="144">
        <v>2</v>
      </c>
    </row>
    <row r="44" spans="2:21">
      <c r="B44" s="97" t="s">
        <v>333</v>
      </c>
      <c r="C44" s="143" t="s">
        <v>279</v>
      </c>
      <c r="D44" s="143" t="s">
        <v>4</v>
      </c>
      <c r="E44" s="143" t="s">
        <v>195</v>
      </c>
      <c r="F44" s="143" t="s">
        <v>195</v>
      </c>
      <c r="G44" s="143" t="s">
        <v>195</v>
      </c>
      <c r="H44" s="143" t="s">
        <v>350</v>
      </c>
      <c r="I44" s="95">
        <f t="shared" si="0"/>
        <v>18</v>
      </c>
      <c r="J44" s="144">
        <v>1</v>
      </c>
      <c r="K44" s="144">
        <v>1</v>
      </c>
      <c r="L44" s="144">
        <v>1</v>
      </c>
      <c r="M44" s="144">
        <v>1</v>
      </c>
      <c r="N44" s="144">
        <v>1</v>
      </c>
      <c r="O44" s="144">
        <v>1</v>
      </c>
      <c r="P44" s="144">
        <v>2</v>
      </c>
      <c r="Q44" s="144">
        <v>2</v>
      </c>
      <c r="R44" s="144">
        <v>2</v>
      </c>
      <c r="S44" s="144">
        <v>2</v>
      </c>
      <c r="T44" s="144">
        <v>2</v>
      </c>
      <c r="U44" s="144">
        <v>2</v>
      </c>
    </row>
    <row r="45" spans="2:21">
      <c r="B45" s="97" t="s">
        <v>333</v>
      </c>
      <c r="C45" s="143" t="s">
        <v>279</v>
      </c>
      <c r="D45" s="143" t="s">
        <v>4</v>
      </c>
      <c r="E45" s="143" t="s">
        <v>195</v>
      </c>
      <c r="F45" s="143" t="s">
        <v>195</v>
      </c>
      <c r="G45" s="143" t="s">
        <v>203</v>
      </c>
      <c r="H45" s="143" t="s">
        <v>335</v>
      </c>
      <c r="I45" s="95">
        <f t="shared" si="0"/>
        <v>2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1</v>
      </c>
      <c r="Q45" s="144">
        <v>1</v>
      </c>
      <c r="R45" s="144">
        <v>0</v>
      </c>
      <c r="S45" s="144">
        <v>0</v>
      </c>
      <c r="T45" s="144">
        <v>0</v>
      </c>
      <c r="U45" s="144">
        <v>0</v>
      </c>
    </row>
    <row r="46" spans="2:21">
      <c r="B46" s="97" t="s">
        <v>333</v>
      </c>
      <c r="C46" s="143" t="s">
        <v>279</v>
      </c>
      <c r="D46" s="143" t="s">
        <v>4</v>
      </c>
      <c r="E46" s="143" t="s">
        <v>195</v>
      </c>
      <c r="F46" s="143" t="s">
        <v>195</v>
      </c>
      <c r="G46" s="143" t="s">
        <v>284</v>
      </c>
      <c r="H46" s="143" t="s">
        <v>335</v>
      </c>
      <c r="I46" s="95">
        <f t="shared" si="0"/>
        <v>37</v>
      </c>
      <c r="J46" s="144">
        <v>3</v>
      </c>
      <c r="K46" s="144">
        <v>3</v>
      </c>
      <c r="L46" s="144">
        <v>3</v>
      </c>
      <c r="M46" s="144">
        <v>3</v>
      </c>
      <c r="N46" s="144">
        <v>3</v>
      </c>
      <c r="O46" s="144">
        <v>2</v>
      </c>
      <c r="P46" s="144">
        <v>2</v>
      </c>
      <c r="Q46" s="144">
        <v>2</v>
      </c>
      <c r="R46" s="144">
        <v>4</v>
      </c>
      <c r="S46" s="144">
        <v>4</v>
      </c>
      <c r="T46" s="144">
        <v>4</v>
      </c>
      <c r="U46" s="144">
        <v>4</v>
      </c>
    </row>
    <row r="47" spans="2:21">
      <c r="B47" s="97" t="s">
        <v>333</v>
      </c>
      <c r="C47" s="143" t="s">
        <v>279</v>
      </c>
      <c r="D47" s="143" t="s">
        <v>4</v>
      </c>
      <c r="E47" s="143" t="s">
        <v>195</v>
      </c>
      <c r="F47" s="143" t="s">
        <v>195</v>
      </c>
      <c r="G47" s="143" t="s">
        <v>204</v>
      </c>
      <c r="H47" s="143" t="s">
        <v>335</v>
      </c>
      <c r="I47" s="95">
        <f t="shared" si="0"/>
        <v>7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1</v>
      </c>
      <c r="P47" s="144">
        <v>1</v>
      </c>
      <c r="Q47" s="144">
        <v>1</v>
      </c>
      <c r="R47" s="144">
        <v>1</v>
      </c>
      <c r="S47" s="144">
        <v>1</v>
      </c>
      <c r="T47" s="144">
        <v>1</v>
      </c>
      <c r="U47" s="144">
        <v>1</v>
      </c>
    </row>
    <row r="48" spans="2:21">
      <c r="B48" s="97" t="s">
        <v>333</v>
      </c>
      <c r="C48" s="143" t="s">
        <v>279</v>
      </c>
      <c r="D48" s="143" t="s">
        <v>4</v>
      </c>
      <c r="E48" s="143" t="s">
        <v>195</v>
      </c>
      <c r="F48" s="143" t="s">
        <v>195</v>
      </c>
      <c r="G48" s="143" t="s">
        <v>284</v>
      </c>
      <c r="H48" s="143" t="s">
        <v>281</v>
      </c>
      <c r="I48" s="95">
        <f t="shared" si="0"/>
        <v>5273</v>
      </c>
      <c r="J48" s="144">
        <v>526</v>
      </c>
      <c r="K48" s="144">
        <v>526</v>
      </c>
      <c r="L48" s="144">
        <v>526</v>
      </c>
      <c r="M48" s="144">
        <v>526</v>
      </c>
      <c r="N48" s="144">
        <v>526</v>
      </c>
      <c r="O48" s="144">
        <v>229</v>
      </c>
      <c r="P48" s="144">
        <v>245</v>
      </c>
      <c r="Q48" s="144">
        <v>245</v>
      </c>
      <c r="R48" s="144">
        <v>481</v>
      </c>
      <c r="S48" s="144">
        <v>481</v>
      </c>
      <c r="T48" s="144">
        <v>481</v>
      </c>
      <c r="U48" s="144">
        <v>481</v>
      </c>
    </row>
    <row r="49" spans="2:21">
      <c r="B49" s="97" t="s">
        <v>333</v>
      </c>
      <c r="C49" s="143" t="s">
        <v>279</v>
      </c>
      <c r="D49" s="143" t="s">
        <v>4</v>
      </c>
      <c r="E49" s="143" t="s">
        <v>195</v>
      </c>
      <c r="F49" s="143" t="s">
        <v>195</v>
      </c>
      <c r="G49" s="143" t="s">
        <v>204</v>
      </c>
      <c r="H49" s="143" t="s">
        <v>281</v>
      </c>
      <c r="I49" s="95">
        <f t="shared" si="0"/>
        <v>2167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304</v>
      </c>
      <c r="P49" s="144">
        <v>314</v>
      </c>
      <c r="Q49" s="144">
        <v>301</v>
      </c>
      <c r="R49" s="144">
        <v>312</v>
      </c>
      <c r="S49" s="144">
        <v>312</v>
      </c>
      <c r="T49" s="144">
        <v>312</v>
      </c>
      <c r="U49" s="144">
        <v>312</v>
      </c>
    </row>
    <row r="50" spans="2:21">
      <c r="B50" s="97" t="s">
        <v>333</v>
      </c>
      <c r="C50" s="143" t="s">
        <v>279</v>
      </c>
      <c r="D50" s="143" t="s">
        <v>4</v>
      </c>
      <c r="E50" s="143" t="s">
        <v>195</v>
      </c>
      <c r="F50" s="143" t="s">
        <v>195</v>
      </c>
      <c r="G50" s="143" t="s">
        <v>195</v>
      </c>
      <c r="H50" s="143" t="s">
        <v>202</v>
      </c>
      <c r="I50" s="95">
        <f t="shared" si="0"/>
        <v>5873</v>
      </c>
      <c r="J50" s="144">
        <v>388</v>
      </c>
      <c r="K50" s="144">
        <v>323</v>
      </c>
      <c r="L50" s="144">
        <v>322</v>
      </c>
      <c r="M50" s="144">
        <v>348</v>
      </c>
      <c r="N50" s="144">
        <v>413</v>
      </c>
      <c r="O50" s="144">
        <v>502</v>
      </c>
      <c r="P50" s="144">
        <v>671</v>
      </c>
      <c r="Q50" s="144">
        <v>579</v>
      </c>
      <c r="R50" s="144">
        <v>778</v>
      </c>
      <c r="S50" s="144">
        <v>616</v>
      </c>
      <c r="T50" s="144">
        <v>513</v>
      </c>
      <c r="U50" s="144">
        <v>420</v>
      </c>
    </row>
    <row r="51" spans="2:21">
      <c r="B51" s="97" t="s">
        <v>333</v>
      </c>
      <c r="C51" s="143" t="s">
        <v>279</v>
      </c>
      <c r="D51" s="143" t="s">
        <v>5</v>
      </c>
      <c r="E51" s="143" t="s">
        <v>195</v>
      </c>
      <c r="F51" s="143" t="s">
        <v>195</v>
      </c>
      <c r="G51" s="143" t="s">
        <v>195</v>
      </c>
      <c r="H51" s="143" t="s">
        <v>349</v>
      </c>
      <c r="I51" s="95">
        <f t="shared" si="0"/>
        <v>1046</v>
      </c>
      <c r="J51" s="144">
        <v>82</v>
      </c>
      <c r="K51" s="144">
        <v>84</v>
      </c>
      <c r="L51" s="144">
        <v>84</v>
      </c>
      <c r="M51" s="144">
        <v>84</v>
      </c>
      <c r="N51" s="144">
        <v>85</v>
      </c>
      <c r="O51" s="144">
        <v>86</v>
      </c>
      <c r="P51" s="144">
        <v>88</v>
      </c>
      <c r="Q51" s="144">
        <v>89</v>
      </c>
      <c r="R51" s="144">
        <v>89</v>
      </c>
      <c r="S51" s="144">
        <v>90</v>
      </c>
      <c r="T51" s="144">
        <v>91</v>
      </c>
      <c r="U51" s="144">
        <v>94</v>
      </c>
    </row>
    <row r="52" spans="2:21">
      <c r="B52" s="97" t="s">
        <v>333</v>
      </c>
      <c r="C52" s="143" t="s">
        <v>279</v>
      </c>
      <c r="D52" s="143" t="s">
        <v>5</v>
      </c>
      <c r="E52" s="143" t="s">
        <v>195</v>
      </c>
      <c r="F52" s="143" t="s">
        <v>195</v>
      </c>
      <c r="G52" s="143" t="s">
        <v>195</v>
      </c>
      <c r="H52" s="143" t="s">
        <v>350</v>
      </c>
      <c r="I52" s="95">
        <f t="shared" si="0"/>
        <v>3082</v>
      </c>
      <c r="J52" s="144">
        <v>240</v>
      </c>
      <c r="K52" s="144">
        <v>243</v>
      </c>
      <c r="L52" s="144">
        <v>247</v>
      </c>
      <c r="M52" s="144">
        <v>248</v>
      </c>
      <c r="N52" s="144">
        <v>255</v>
      </c>
      <c r="O52" s="144">
        <v>252</v>
      </c>
      <c r="P52" s="144">
        <v>254</v>
      </c>
      <c r="Q52" s="144">
        <v>258</v>
      </c>
      <c r="R52" s="144">
        <v>259</v>
      </c>
      <c r="S52" s="144">
        <v>262</v>
      </c>
      <c r="T52" s="144">
        <v>277</v>
      </c>
      <c r="U52" s="144">
        <v>287</v>
      </c>
    </row>
    <row r="53" spans="2:21">
      <c r="B53" s="97" t="s">
        <v>333</v>
      </c>
      <c r="C53" s="143" t="s">
        <v>279</v>
      </c>
      <c r="D53" s="143" t="s">
        <v>5</v>
      </c>
      <c r="E53" s="143" t="s">
        <v>195</v>
      </c>
      <c r="F53" s="143" t="s">
        <v>195</v>
      </c>
      <c r="G53" s="143" t="s">
        <v>203</v>
      </c>
      <c r="H53" s="143" t="s">
        <v>335</v>
      </c>
      <c r="I53" s="95">
        <f t="shared" si="0"/>
        <v>231.48648041034534</v>
      </c>
      <c r="J53" s="144">
        <v>14.533333333333333</v>
      </c>
      <c r="K53" s="144">
        <v>17.5</v>
      </c>
      <c r="L53" s="144">
        <v>20.266666666666666</v>
      </c>
      <c r="M53" s="144">
        <v>18</v>
      </c>
      <c r="N53" s="144">
        <v>19.766666666666666</v>
      </c>
      <c r="O53" s="144">
        <v>18.366666666666667</v>
      </c>
      <c r="P53" s="144">
        <v>17.766666666666666</v>
      </c>
      <c r="Q53" s="144">
        <v>18</v>
      </c>
      <c r="R53" s="144">
        <v>18.649826938571703</v>
      </c>
      <c r="S53" s="144">
        <v>21.755512467258566</v>
      </c>
      <c r="T53" s="144">
        <v>22.022426095820592</v>
      </c>
      <c r="U53" s="144">
        <v>24.858714908694466</v>
      </c>
    </row>
    <row r="54" spans="2:21">
      <c r="B54" s="97" t="s">
        <v>333</v>
      </c>
      <c r="C54" s="143" t="s">
        <v>279</v>
      </c>
      <c r="D54" s="143" t="s">
        <v>5</v>
      </c>
      <c r="E54" s="143" t="s">
        <v>195</v>
      </c>
      <c r="F54" s="143" t="s">
        <v>195</v>
      </c>
      <c r="G54" s="143" t="s">
        <v>284</v>
      </c>
      <c r="H54" s="143" t="s">
        <v>335</v>
      </c>
      <c r="I54" s="95">
        <f t="shared" si="0"/>
        <v>8003.4963466443714</v>
      </c>
      <c r="J54" s="144">
        <v>634.06666666666661</v>
      </c>
      <c r="K54" s="144">
        <v>649</v>
      </c>
      <c r="L54" s="144">
        <v>652.0333333333333</v>
      </c>
      <c r="M54" s="144">
        <v>655</v>
      </c>
      <c r="N54" s="144">
        <v>668.43333333333339</v>
      </c>
      <c r="O54" s="144">
        <v>673.0333333333333</v>
      </c>
      <c r="P54" s="144">
        <v>684.80000000000007</v>
      </c>
      <c r="Q54" s="144">
        <v>685.26666666666665</v>
      </c>
      <c r="R54" s="144">
        <v>679.06722273289517</v>
      </c>
      <c r="S54" s="144">
        <v>675.85568255264138</v>
      </c>
      <c r="T54" s="144">
        <v>676.68909276248723</v>
      </c>
      <c r="U54" s="144">
        <v>670.25101526301455</v>
      </c>
    </row>
    <row r="55" spans="2:21">
      <c r="B55" s="97" t="s">
        <v>333</v>
      </c>
      <c r="C55" s="143" t="s">
        <v>279</v>
      </c>
      <c r="D55" s="143" t="s">
        <v>5</v>
      </c>
      <c r="E55" s="143" t="s">
        <v>195</v>
      </c>
      <c r="F55" s="143" t="s">
        <v>195</v>
      </c>
      <c r="G55" s="143" t="s">
        <v>204</v>
      </c>
      <c r="H55" s="143" t="s">
        <v>335</v>
      </c>
      <c r="I55" s="95">
        <f t="shared" si="0"/>
        <v>3417.4838396119494</v>
      </c>
      <c r="J55" s="144">
        <v>285</v>
      </c>
      <c r="K55" s="144">
        <v>286.9666666666667</v>
      </c>
      <c r="L55" s="144">
        <v>287.3</v>
      </c>
      <c r="M55" s="144">
        <v>289</v>
      </c>
      <c r="N55" s="144">
        <v>286.83333333333331</v>
      </c>
      <c r="O55" s="144">
        <v>283</v>
      </c>
      <c r="P55" s="144">
        <v>284</v>
      </c>
      <c r="Q55" s="144">
        <v>282.26666666666665</v>
      </c>
      <c r="R55" s="144">
        <v>282.24961699519969</v>
      </c>
      <c r="S55" s="144">
        <v>283.2888049801</v>
      </c>
      <c r="T55" s="144">
        <v>283.28848114169216</v>
      </c>
      <c r="U55" s="144">
        <v>284.29026982829106</v>
      </c>
    </row>
    <row r="56" spans="2:21">
      <c r="B56" s="97" t="s">
        <v>333</v>
      </c>
      <c r="C56" s="143" t="s">
        <v>279</v>
      </c>
      <c r="D56" s="143" t="s">
        <v>5</v>
      </c>
      <c r="E56" s="143" t="s">
        <v>195</v>
      </c>
      <c r="F56" s="143" t="s">
        <v>195</v>
      </c>
      <c r="G56" s="143" t="s">
        <v>284</v>
      </c>
      <c r="H56" s="143" t="s">
        <v>281</v>
      </c>
      <c r="I56" s="95">
        <f t="shared" si="0"/>
        <v>1389404.3666666667</v>
      </c>
      <c r="J56" s="144">
        <v>111148.1</v>
      </c>
      <c r="K56" s="144">
        <v>113021</v>
      </c>
      <c r="L56" s="144">
        <v>113325.59999999999</v>
      </c>
      <c r="M56" s="144">
        <v>113204</v>
      </c>
      <c r="N56" s="144">
        <v>115213.86666666667</v>
      </c>
      <c r="O56" s="144">
        <v>116126.23333333334</v>
      </c>
      <c r="P56" s="144">
        <v>118688.53333333333</v>
      </c>
      <c r="Q56" s="144">
        <v>118976.36666666667</v>
      </c>
      <c r="R56" s="144">
        <v>118395.33333333333</v>
      </c>
      <c r="S56" s="144">
        <v>117391.86666666667</v>
      </c>
      <c r="T56" s="144">
        <v>117623</v>
      </c>
      <c r="U56" s="144">
        <v>116290.46666666667</v>
      </c>
    </row>
    <row r="57" spans="2:21">
      <c r="B57" s="97" t="s">
        <v>333</v>
      </c>
      <c r="C57" s="143" t="s">
        <v>279</v>
      </c>
      <c r="D57" s="143" t="s">
        <v>5</v>
      </c>
      <c r="E57" s="143" t="s">
        <v>195</v>
      </c>
      <c r="F57" s="143" t="s">
        <v>195</v>
      </c>
      <c r="G57" s="143" t="s">
        <v>204</v>
      </c>
      <c r="H57" s="143" t="s">
        <v>281</v>
      </c>
      <c r="I57" s="95">
        <f t="shared" si="0"/>
        <v>1689588.1328828828</v>
      </c>
      <c r="J57" s="144">
        <v>140773</v>
      </c>
      <c r="K57" s="144">
        <v>142962.76801801802</v>
      </c>
      <c r="L57" s="144">
        <v>142628.69594594595</v>
      </c>
      <c r="M57" s="144">
        <v>142082</v>
      </c>
      <c r="N57" s="144">
        <v>140808.67117117115</v>
      </c>
      <c r="O57" s="144">
        <v>139622</v>
      </c>
      <c r="P57" s="144">
        <v>140575</v>
      </c>
      <c r="Q57" s="144">
        <v>139784.99774774775</v>
      </c>
      <c r="R57" s="144">
        <v>139720</v>
      </c>
      <c r="S57" s="144">
        <v>140098</v>
      </c>
      <c r="T57" s="144">
        <v>140421</v>
      </c>
      <c r="U57" s="144">
        <v>140112</v>
      </c>
    </row>
    <row r="58" spans="2:21">
      <c r="B58" s="97" t="s">
        <v>333</v>
      </c>
      <c r="C58" s="143" t="s">
        <v>279</v>
      </c>
      <c r="D58" s="143" t="s">
        <v>5</v>
      </c>
      <c r="E58" s="143" t="s">
        <v>195</v>
      </c>
      <c r="F58" s="143" t="s">
        <v>195</v>
      </c>
      <c r="G58" s="143" t="s">
        <v>195</v>
      </c>
      <c r="H58" s="143" t="s">
        <v>202</v>
      </c>
      <c r="I58" s="95">
        <f t="shared" si="0"/>
        <v>2267892.5</v>
      </c>
      <c r="J58" s="144">
        <v>202284.93333333332</v>
      </c>
      <c r="K58" s="144">
        <v>204007.13333333333</v>
      </c>
      <c r="L58" s="144">
        <v>214382.19999999998</v>
      </c>
      <c r="M58" s="144">
        <v>211576</v>
      </c>
      <c r="N58" s="144">
        <v>194486.76666666663</v>
      </c>
      <c r="O58" s="144">
        <v>184432.00000000003</v>
      </c>
      <c r="P58" s="144">
        <v>179434.6</v>
      </c>
      <c r="Q58" s="144">
        <v>176424.36666666664</v>
      </c>
      <c r="R58" s="144">
        <v>178700.90000000002</v>
      </c>
      <c r="S58" s="144">
        <v>172117.93333333335</v>
      </c>
      <c r="T58" s="144">
        <v>172447</v>
      </c>
      <c r="U58" s="144">
        <v>177598.66666666669</v>
      </c>
    </row>
    <row r="59" spans="2:21">
      <c r="B59" s="97" t="s">
        <v>333</v>
      </c>
      <c r="C59" s="143" t="s">
        <v>279</v>
      </c>
      <c r="D59" s="143" t="s">
        <v>5</v>
      </c>
      <c r="E59" s="143" t="s">
        <v>195</v>
      </c>
      <c r="F59" s="143" t="s">
        <v>195</v>
      </c>
      <c r="G59" s="143" t="s">
        <v>195</v>
      </c>
      <c r="H59" s="143" t="s">
        <v>201</v>
      </c>
      <c r="I59" s="95">
        <f t="shared" si="0"/>
        <v>322568.75862068968</v>
      </c>
      <c r="J59" s="144">
        <v>31816.000000000004</v>
      </c>
      <c r="K59" s="144">
        <v>32561.53448275862</v>
      </c>
      <c r="L59" s="144">
        <v>32537.086206896547</v>
      </c>
      <c r="M59" s="144">
        <v>31938</v>
      </c>
      <c r="N59" s="144">
        <v>28002.844827586207</v>
      </c>
      <c r="O59" s="144">
        <v>24429.96551724138</v>
      </c>
      <c r="P59" s="144">
        <v>21899.931034482761</v>
      </c>
      <c r="Q59" s="144">
        <v>21699.396551724141</v>
      </c>
      <c r="R59" s="144">
        <v>23367</v>
      </c>
      <c r="S59" s="144">
        <v>23444</v>
      </c>
      <c r="T59" s="144">
        <v>24522</v>
      </c>
      <c r="U59" s="144">
        <v>26351</v>
      </c>
    </row>
    <row r="60" spans="2:21">
      <c r="B60" s="97" t="s">
        <v>333</v>
      </c>
      <c r="C60" s="143" t="s">
        <v>279</v>
      </c>
      <c r="D60" s="143" t="s">
        <v>5</v>
      </c>
      <c r="E60" s="143" t="s">
        <v>195</v>
      </c>
      <c r="F60" s="143" t="s">
        <v>195</v>
      </c>
      <c r="G60" s="143" t="s">
        <v>195</v>
      </c>
      <c r="H60" s="166" t="s">
        <v>367</v>
      </c>
      <c r="I60" s="95">
        <f t="shared" si="0"/>
        <v>907042</v>
      </c>
      <c r="J60" s="144">
        <v>77325</v>
      </c>
      <c r="K60" s="144">
        <v>83717</v>
      </c>
      <c r="L60" s="144">
        <v>83644</v>
      </c>
      <c r="M60" s="144">
        <v>81677</v>
      </c>
      <c r="N60" s="144">
        <v>81917</v>
      </c>
      <c r="O60" s="144">
        <v>74823</v>
      </c>
      <c r="P60" s="144">
        <v>73621</v>
      </c>
      <c r="Q60" s="144">
        <v>68752</v>
      </c>
      <c r="R60" s="144">
        <v>64453</v>
      </c>
      <c r="S60" s="144">
        <v>63031</v>
      </c>
      <c r="T60" s="144">
        <v>80579</v>
      </c>
      <c r="U60" s="144">
        <v>73503</v>
      </c>
    </row>
    <row r="61" spans="2:21">
      <c r="B61" s="97" t="s">
        <v>333</v>
      </c>
      <c r="C61" s="143" t="s">
        <v>279</v>
      </c>
      <c r="D61" s="143" t="s">
        <v>5</v>
      </c>
      <c r="E61" s="143" t="s">
        <v>195</v>
      </c>
      <c r="F61" s="143" t="s">
        <v>195</v>
      </c>
      <c r="G61" s="143" t="s">
        <v>195</v>
      </c>
      <c r="H61" s="166" t="s">
        <v>358</v>
      </c>
      <c r="I61" s="95">
        <f t="shared" si="0"/>
        <v>44474</v>
      </c>
      <c r="J61" s="144">
        <v>3467</v>
      </c>
      <c r="K61" s="144">
        <v>3449</v>
      </c>
      <c r="L61" s="144">
        <v>3583</v>
      </c>
      <c r="M61" s="144">
        <v>3762</v>
      </c>
      <c r="N61" s="144">
        <v>3769</v>
      </c>
      <c r="O61" s="144">
        <v>3773</v>
      </c>
      <c r="P61" s="144">
        <v>3797</v>
      </c>
      <c r="Q61" s="144">
        <v>3806</v>
      </c>
      <c r="R61" s="144">
        <v>3791</v>
      </c>
      <c r="S61" s="144">
        <v>3730</v>
      </c>
      <c r="T61" s="144">
        <v>3784</v>
      </c>
      <c r="U61" s="144">
        <v>3763</v>
      </c>
    </row>
    <row r="62" spans="2:21">
      <c r="B62" s="97" t="s">
        <v>333</v>
      </c>
      <c r="C62" s="143" t="s">
        <v>279</v>
      </c>
      <c r="D62" s="143" t="s">
        <v>5</v>
      </c>
      <c r="E62" s="143" t="s">
        <v>195</v>
      </c>
      <c r="F62" s="143" t="s">
        <v>195</v>
      </c>
      <c r="G62" s="143" t="s">
        <v>195</v>
      </c>
      <c r="H62" s="166" t="s">
        <v>368</v>
      </c>
      <c r="I62" s="95">
        <f t="shared" si="0"/>
        <v>108</v>
      </c>
      <c r="J62" s="144">
        <v>9</v>
      </c>
      <c r="K62" s="144">
        <v>9</v>
      </c>
      <c r="L62" s="144">
        <v>9</v>
      </c>
      <c r="M62" s="144">
        <v>9</v>
      </c>
      <c r="N62" s="144">
        <v>9</v>
      </c>
      <c r="O62" s="144">
        <v>9</v>
      </c>
      <c r="P62" s="144">
        <v>9</v>
      </c>
      <c r="Q62" s="144">
        <v>9</v>
      </c>
      <c r="R62" s="144">
        <v>9</v>
      </c>
      <c r="S62" s="144">
        <v>9</v>
      </c>
      <c r="T62" s="144">
        <v>9</v>
      </c>
      <c r="U62" s="144">
        <v>9</v>
      </c>
    </row>
    <row r="63" spans="2:21">
      <c r="B63" s="97" t="s">
        <v>333</v>
      </c>
      <c r="C63" s="143" t="s">
        <v>279</v>
      </c>
      <c r="D63" s="143" t="s">
        <v>7</v>
      </c>
      <c r="E63" s="143" t="s">
        <v>195</v>
      </c>
      <c r="F63" s="143" t="s">
        <v>195</v>
      </c>
      <c r="G63" s="143" t="s">
        <v>195</v>
      </c>
      <c r="H63" s="143" t="s">
        <v>349</v>
      </c>
      <c r="I63" s="95">
        <f t="shared" si="0"/>
        <v>109</v>
      </c>
      <c r="J63" s="144">
        <v>9</v>
      </c>
      <c r="K63" s="144">
        <v>11</v>
      </c>
      <c r="L63" s="144">
        <v>9</v>
      </c>
      <c r="M63" s="144">
        <v>9</v>
      </c>
      <c r="N63" s="144">
        <v>9</v>
      </c>
      <c r="O63" s="144">
        <v>9</v>
      </c>
      <c r="P63" s="144">
        <v>9</v>
      </c>
      <c r="Q63" s="144">
        <v>9</v>
      </c>
      <c r="R63" s="144">
        <v>8</v>
      </c>
      <c r="S63" s="144">
        <v>9</v>
      </c>
      <c r="T63" s="144">
        <v>9</v>
      </c>
      <c r="U63" s="144">
        <v>9</v>
      </c>
    </row>
    <row r="64" spans="2:21">
      <c r="B64" s="97" t="s">
        <v>333</v>
      </c>
      <c r="C64" s="143" t="s">
        <v>279</v>
      </c>
      <c r="D64" s="143" t="s">
        <v>7</v>
      </c>
      <c r="E64" s="143" t="s">
        <v>195</v>
      </c>
      <c r="F64" s="143" t="s">
        <v>195</v>
      </c>
      <c r="G64" s="143" t="s">
        <v>195</v>
      </c>
      <c r="H64" s="143" t="s">
        <v>350</v>
      </c>
      <c r="I64" s="95">
        <f t="shared" si="0"/>
        <v>426</v>
      </c>
      <c r="J64" s="144">
        <v>36</v>
      </c>
      <c r="K64" s="144">
        <v>38</v>
      </c>
      <c r="L64" s="144">
        <v>38</v>
      </c>
      <c r="M64" s="144">
        <v>37</v>
      </c>
      <c r="N64" s="144">
        <v>34</v>
      </c>
      <c r="O64" s="144">
        <v>34</v>
      </c>
      <c r="P64" s="144">
        <v>34</v>
      </c>
      <c r="Q64" s="144">
        <v>35</v>
      </c>
      <c r="R64" s="144">
        <v>35</v>
      </c>
      <c r="S64" s="144">
        <v>35</v>
      </c>
      <c r="T64" s="144">
        <v>35</v>
      </c>
      <c r="U64" s="144">
        <v>35</v>
      </c>
    </row>
    <row r="65" spans="2:21">
      <c r="B65" s="97" t="s">
        <v>333</v>
      </c>
      <c r="C65" s="143" t="s">
        <v>279</v>
      </c>
      <c r="D65" s="143" t="s">
        <v>7</v>
      </c>
      <c r="E65" s="143" t="s">
        <v>195</v>
      </c>
      <c r="F65" s="143" t="s">
        <v>195</v>
      </c>
      <c r="G65" s="143" t="s">
        <v>203</v>
      </c>
      <c r="H65" s="143" t="s">
        <v>335</v>
      </c>
      <c r="I65" s="95">
        <f t="shared" si="0"/>
        <v>46.766666666666666</v>
      </c>
      <c r="J65" s="144">
        <v>3</v>
      </c>
      <c r="K65" s="144">
        <v>3</v>
      </c>
      <c r="L65" s="144">
        <v>3</v>
      </c>
      <c r="M65" s="144">
        <v>3.3666666666666667</v>
      </c>
      <c r="N65" s="144">
        <v>4.7</v>
      </c>
      <c r="O65" s="144">
        <v>5</v>
      </c>
      <c r="P65" s="144">
        <v>5</v>
      </c>
      <c r="Q65" s="144">
        <v>4</v>
      </c>
      <c r="R65" s="144">
        <v>4</v>
      </c>
      <c r="S65" s="144">
        <v>4</v>
      </c>
      <c r="T65" s="144">
        <v>4</v>
      </c>
      <c r="U65" s="144">
        <v>3.7</v>
      </c>
    </row>
    <row r="66" spans="2:21">
      <c r="B66" s="97" t="s">
        <v>333</v>
      </c>
      <c r="C66" s="143" t="s">
        <v>279</v>
      </c>
      <c r="D66" s="143" t="s">
        <v>7</v>
      </c>
      <c r="E66" s="143" t="s">
        <v>195</v>
      </c>
      <c r="F66" s="143" t="s">
        <v>195</v>
      </c>
      <c r="G66" s="143" t="s">
        <v>284</v>
      </c>
      <c r="H66" s="143" t="s">
        <v>335</v>
      </c>
      <c r="I66" s="95">
        <f t="shared" si="0"/>
        <v>650.6</v>
      </c>
      <c r="J66" s="144">
        <v>54</v>
      </c>
      <c r="K66" s="144">
        <v>54</v>
      </c>
      <c r="L66" s="144">
        <v>54</v>
      </c>
      <c r="M66" s="144">
        <v>54.56666666666667</v>
      </c>
      <c r="N66" s="144">
        <v>52</v>
      </c>
      <c r="O66" s="144">
        <v>52</v>
      </c>
      <c r="P66" s="144">
        <v>52</v>
      </c>
      <c r="Q66" s="144">
        <v>55</v>
      </c>
      <c r="R66" s="144">
        <v>55.033333333333331</v>
      </c>
      <c r="S66" s="144">
        <v>55</v>
      </c>
      <c r="T66" s="144">
        <v>56</v>
      </c>
      <c r="U66" s="144">
        <v>57</v>
      </c>
    </row>
    <row r="67" spans="2:21">
      <c r="B67" s="97" t="s">
        <v>333</v>
      </c>
      <c r="C67" s="143" t="s">
        <v>279</v>
      </c>
      <c r="D67" s="143" t="s">
        <v>7</v>
      </c>
      <c r="E67" s="143" t="s">
        <v>195</v>
      </c>
      <c r="F67" s="143" t="s">
        <v>195</v>
      </c>
      <c r="G67" s="143" t="s">
        <v>204</v>
      </c>
      <c r="H67" s="143" t="s">
        <v>335</v>
      </c>
      <c r="I67" s="95">
        <f t="shared" si="0"/>
        <v>451</v>
      </c>
      <c r="J67" s="144">
        <v>39</v>
      </c>
      <c r="K67" s="144">
        <v>39</v>
      </c>
      <c r="L67" s="144">
        <v>39</v>
      </c>
      <c r="M67" s="144">
        <v>38</v>
      </c>
      <c r="N67" s="144">
        <v>38</v>
      </c>
      <c r="O67" s="144">
        <v>38</v>
      </c>
      <c r="P67" s="144">
        <v>38</v>
      </c>
      <c r="Q67" s="144">
        <v>37</v>
      </c>
      <c r="R67" s="144">
        <v>37</v>
      </c>
      <c r="S67" s="144">
        <v>36</v>
      </c>
      <c r="T67" s="144">
        <v>36</v>
      </c>
      <c r="U67" s="144">
        <v>36</v>
      </c>
    </row>
    <row r="68" spans="2:21">
      <c r="B68" s="97" t="s">
        <v>333</v>
      </c>
      <c r="C68" s="143" t="s">
        <v>279</v>
      </c>
      <c r="D68" s="143" t="s">
        <v>7</v>
      </c>
      <c r="E68" s="143" t="s">
        <v>195</v>
      </c>
      <c r="F68" s="143" t="s">
        <v>195</v>
      </c>
      <c r="G68" s="143" t="s">
        <v>284</v>
      </c>
      <c r="H68" s="143" t="s">
        <v>281</v>
      </c>
      <c r="I68" s="95">
        <f t="shared" si="0"/>
        <v>117720.66666666666</v>
      </c>
      <c r="J68" s="144">
        <v>9493</v>
      </c>
      <c r="K68" s="144">
        <v>9540.6</v>
      </c>
      <c r="L68" s="144">
        <v>9452</v>
      </c>
      <c r="M68" s="144">
        <v>9716.1</v>
      </c>
      <c r="N68" s="144">
        <v>9403</v>
      </c>
      <c r="O68" s="144">
        <v>9412</v>
      </c>
      <c r="P68" s="144">
        <v>9426</v>
      </c>
      <c r="Q68" s="144">
        <v>10070</v>
      </c>
      <c r="R68" s="144">
        <v>10099.966666666667</v>
      </c>
      <c r="S68" s="144">
        <v>10269</v>
      </c>
      <c r="T68" s="144">
        <v>10372</v>
      </c>
      <c r="U68" s="144">
        <v>10467</v>
      </c>
    </row>
    <row r="69" spans="2:21">
      <c r="B69" s="97" t="s">
        <v>333</v>
      </c>
      <c r="C69" s="143" t="s">
        <v>279</v>
      </c>
      <c r="D69" s="143" t="s">
        <v>7</v>
      </c>
      <c r="E69" s="143" t="s">
        <v>195</v>
      </c>
      <c r="F69" s="143" t="s">
        <v>195</v>
      </c>
      <c r="G69" s="143" t="s">
        <v>204</v>
      </c>
      <c r="H69" s="143" t="s">
        <v>281</v>
      </c>
      <c r="I69" s="95">
        <f t="shared" ref="I69:I132" si="1">SUM(J69:U69)</f>
        <v>250954</v>
      </c>
      <c r="J69" s="144">
        <v>21394</v>
      </c>
      <c r="K69" s="144">
        <v>21481</v>
      </c>
      <c r="L69" s="144">
        <v>21411</v>
      </c>
      <c r="M69" s="144">
        <v>21136</v>
      </c>
      <c r="N69" s="144">
        <v>21150</v>
      </c>
      <c r="O69" s="144">
        <v>21208</v>
      </c>
      <c r="P69" s="144">
        <v>21090</v>
      </c>
      <c r="Q69" s="144">
        <v>20795</v>
      </c>
      <c r="R69" s="144">
        <v>20594</v>
      </c>
      <c r="S69" s="144">
        <v>20232</v>
      </c>
      <c r="T69" s="144">
        <v>20221</v>
      </c>
      <c r="U69" s="144">
        <v>20242</v>
      </c>
    </row>
    <row r="70" spans="2:21">
      <c r="B70" s="97" t="s">
        <v>333</v>
      </c>
      <c r="C70" s="143" t="s">
        <v>279</v>
      </c>
      <c r="D70" s="143" t="s">
        <v>7</v>
      </c>
      <c r="E70" s="143" t="s">
        <v>195</v>
      </c>
      <c r="F70" s="143" t="s">
        <v>195</v>
      </c>
      <c r="G70" s="143" t="s">
        <v>195</v>
      </c>
      <c r="H70" s="143" t="s">
        <v>202</v>
      </c>
      <c r="I70" s="95">
        <f t="shared" si="1"/>
        <v>286376.76666666666</v>
      </c>
      <c r="J70" s="144">
        <v>23852</v>
      </c>
      <c r="K70" s="144">
        <v>25294.799999999999</v>
      </c>
      <c r="L70" s="144">
        <v>25839</v>
      </c>
      <c r="M70" s="144">
        <v>27431.666666666664</v>
      </c>
      <c r="N70" s="144">
        <v>24986</v>
      </c>
      <c r="O70" s="144">
        <v>23411</v>
      </c>
      <c r="P70" s="144">
        <v>21753</v>
      </c>
      <c r="Q70" s="144">
        <v>22231</v>
      </c>
      <c r="R70" s="144">
        <v>22691.3</v>
      </c>
      <c r="S70" s="144">
        <v>22666</v>
      </c>
      <c r="T70" s="144">
        <v>22930</v>
      </c>
      <c r="U70" s="144">
        <v>23291</v>
      </c>
    </row>
    <row r="71" spans="2:21">
      <c r="B71" s="97" t="s">
        <v>333</v>
      </c>
      <c r="C71" s="143" t="s">
        <v>279</v>
      </c>
      <c r="D71" s="143" t="s">
        <v>7</v>
      </c>
      <c r="E71" s="143" t="s">
        <v>195</v>
      </c>
      <c r="F71" s="143" t="s">
        <v>195</v>
      </c>
      <c r="G71" s="143" t="s">
        <v>195</v>
      </c>
      <c r="H71" s="143" t="s">
        <v>201</v>
      </c>
      <c r="I71" s="95">
        <f t="shared" si="1"/>
        <v>81408.741379310348</v>
      </c>
      <c r="J71" s="144">
        <v>7007</v>
      </c>
      <c r="K71" s="144">
        <v>7345.3965517241386</v>
      </c>
      <c r="L71" s="144">
        <v>7876</v>
      </c>
      <c r="M71" s="144">
        <v>8325.0517241379312</v>
      </c>
      <c r="N71" s="144">
        <v>6997.5</v>
      </c>
      <c r="O71" s="144">
        <v>6299</v>
      </c>
      <c r="P71" s="144">
        <v>5803</v>
      </c>
      <c r="Q71" s="144">
        <v>6041</v>
      </c>
      <c r="R71" s="144">
        <v>6357.3620689655172</v>
      </c>
      <c r="S71" s="144">
        <v>6319</v>
      </c>
      <c r="T71" s="144">
        <v>6316</v>
      </c>
      <c r="U71" s="144">
        <v>6722.4310344827591</v>
      </c>
    </row>
    <row r="72" spans="2:21">
      <c r="B72" s="97" t="s">
        <v>333</v>
      </c>
      <c r="C72" s="143" t="s">
        <v>279</v>
      </c>
      <c r="D72" s="143" t="s">
        <v>7</v>
      </c>
      <c r="E72" s="143" t="s">
        <v>195</v>
      </c>
      <c r="F72" s="143" t="s">
        <v>195</v>
      </c>
      <c r="G72" s="143" t="s">
        <v>195</v>
      </c>
      <c r="H72" s="166" t="s">
        <v>367</v>
      </c>
      <c r="I72" s="95">
        <f t="shared" si="1"/>
        <v>18439</v>
      </c>
      <c r="J72" s="144">
        <v>0</v>
      </c>
      <c r="K72" s="144">
        <v>0</v>
      </c>
      <c r="L72" s="144">
        <v>1114</v>
      </c>
      <c r="M72" s="144">
        <v>1527</v>
      </c>
      <c r="N72" s="144">
        <v>2012</v>
      </c>
      <c r="O72" s="144">
        <v>1734</v>
      </c>
      <c r="P72" s="144">
        <v>1841</v>
      </c>
      <c r="Q72" s="144">
        <v>2236</v>
      </c>
      <c r="R72" s="144">
        <v>2062</v>
      </c>
      <c r="S72" s="144">
        <v>2003.9999999999998</v>
      </c>
      <c r="T72" s="144">
        <v>1827</v>
      </c>
      <c r="U72" s="144">
        <v>2082</v>
      </c>
    </row>
    <row r="73" spans="2:21">
      <c r="B73" s="97" t="s">
        <v>333</v>
      </c>
      <c r="C73" s="143" t="s">
        <v>279</v>
      </c>
      <c r="D73" s="143" t="s">
        <v>7</v>
      </c>
      <c r="E73" s="143" t="s">
        <v>195</v>
      </c>
      <c r="F73" s="143" t="s">
        <v>195</v>
      </c>
      <c r="G73" s="143" t="s">
        <v>195</v>
      </c>
      <c r="H73" s="166" t="s">
        <v>358</v>
      </c>
      <c r="I73" s="95">
        <f t="shared" si="1"/>
        <v>855</v>
      </c>
      <c r="J73" s="144">
        <v>0</v>
      </c>
      <c r="K73" s="144">
        <v>0</v>
      </c>
      <c r="L73" s="144">
        <v>41.000000000000007</v>
      </c>
      <c r="M73" s="144">
        <v>36.000000000000007</v>
      </c>
      <c r="N73" s="144">
        <v>66</v>
      </c>
      <c r="O73" s="144">
        <v>69</v>
      </c>
      <c r="P73" s="144">
        <v>74</v>
      </c>
      <c r="Q73" s="144">
        <v>103</v>
      </c>
      <c r="R73" s="144">
        <v>115</v>
      </c>
      <c r="S73" s="144">
        <v>117.00000000000001</v>
      </c>
      <c r="T73" s="144">
        <v>117.00000000000001</v>
      </c>
      <c r="U73" s="144">
        <v>117.00000000000001</v>
      </c>
    </row>
    <row r="74" spans="2:21">
      <c r="B74" s="97" t="s">
        <v>333</v>
      </c>
      <c r="C74" s="143" t="s">
        <v>279</v>
      </c>
      <c r="D74" s="143" t="s">
        <v>7</v>
      </c>
      <c r="E74" s="143" t="s">
        <v>195</v>
      </c>
      <c r="F74" s="143" t="s">
        <v>195</v>
      </c>
      <c r="G74" s="143" t="s">
        <v>195</v>
      </c>
      <c r="H74" s="166" t="s">
        <v>368</v>
      </c>
      <c r="I74" s="95">
        <f t="shared" si="1"/>
        <v>10</v>
      </c>
      <c r="J74" s="144">
        <v>0</v>
      </c>
      <c r="K74" s="144">
        <v>0</v>
      </c>
      <c r="L74" s="144">
        <v>1</v>
      </c>
      <c r="M74" s="144">
        <v>1</v>
      </c>
      <c r="N74" s="144">
        <v>1</v>
      </c>
      <c r="O74" s="144">
        <v>1</v>
      </c>
      <c r="P74" s="144">
        <v>1</v>
      </c>
      <c r="Q74" s="144">
        <v>1</v>
      </c>
      <c r="R74" s="144">
        <v>1</v>
      </c>
      <c r="S74" s="144">
        <v>1</v>
      </c>
      <c r="T74" s="144">
        <v>1</v>
      </c>
      <c r="U74" s="144">
        <v>1</v>
      </c>
    </row>
    <row r="75" spans="2:21">
      <c r="B75" s="97" t="s">
        <v>333</v>
      </c>
      <c r="C75" s="143" t="s">
        <v>152</v>
      </c>
      <c r="D75" s="143" t="s">
        <v>179</v>
      </c>
      <c r="E75" s="143" t="s">
        <v>195</v>
      </c>
      <c r="F75" s="143" t="s">
        <v>195</v>
      </c>
      <c r="G75" s="143" t="s">
        <v>195</v>
      </c>
      <c r="H75" s="143" t="s">
        <v>349</v>
      </c>
      <c r="I75" s="95">
        <f t="shared" si="1"/>
        <v>7254</v>
      </c>
      <c r="J75" s="144">
        <v>579</v>
      </c>
      <c r="K75" s="144">
        <v>584</v>
      </c>
      <c r="L75" s="144">
        <v>591</v>
      </c>
      <c r="M75" s="144">
        <v>590</v>
      </c>
      <c r="N75" s="144">
        <v>596</v>
      </c>
      <c r="O75" s="144">
        <v>592</v>
      </c>
      <c r="P75" s="144">
        <v>600</v>
      </c>
      <c r="Q75" s="144">
        <v>604</v>
      </c>
      <c r="R75" s="144">
        <v>607</v>
      </c>
      <c r="S75" s="144">
        <v>630</v>
      </c>
      <c r="T75" s="144">
        <v>637</v>
      </c>
      <c r="U75" s="144">
        <v>644</v>
      </c>
    </row>
    <row r="76" spans="2:21">
      <c r="B76" s="97" t="s">
        <v>333</v>
      </c>
      <c r="C76" s="143" t="s">
        <v>152</v>
      </c>
      <c r="D76" s="143" t="s">
        <v>179</v>
      </c>
      <c r="E76" s="143" t="s">
        <v>195</v>
      </c>
      <c r="F76" s="143" t="s">
        <v>195</v>
      </c>
      <c r="G76" s="143" t="s">
        <v>195</v>
      </c>
      <c r="H76" s="143" t="s">
        <v>350</v>
      </c>
      <c r="I76" s="95">
        <f t="shared" si="1"/>
        <v>12769</v>
      </c>
      <c r="J76" s="144">
        <v>1013</v>
      </c>
      <c r="K76" s="144">
        <v>1022</v>
      </c>
      <c r="L76" s="144">
        <v>1040</v>
      </c>
      <c r="M76" s="144">
        <v>1039</v>
      </c>
      <c r="N76" s="144">
        <v>1033</v>
      </c>
      <c r="O76" s="144">
        <v>1031</v>
      </c>
      <c r="P76" s="144">
        <v>1034</v>
      </c>
      <c r="Q76" s="144">
        <v>1039</v>
      </c>
      <c r="R76" s="144">
        <v>1047</v>
      </c>
      <c r="S76" s="144">
        <v>1137</v>
      </c>
      <c r="T76" s="144">
        <v>1165</v>
      </c>
      <c r="U76" s="144">
        <v>1169</v>
      </c>
    </row>
    <row r="77" spans="2:21">
      <c r="B77" s="97" t="s">
        <v>333</v>
      </c>
      <c r="C77" s="143" t="s">
        <v>152</v>
      </c>
      <c r="D77" s="143" t="s">
        <v>179</v>
      </c>
      <c r="E77" s="143" t="s">
        <v>195</v>
      </c>
      <c r="F77" s="143" t="s">
        <v>199</v>
      </c>
      <c r="G77" s="143" t="s">
        <v>195</v>
      </c>
      <c r="H77" s="143" t="s">
        <v>285</v>
      </c>
      <c r="I77" s="95">
        <f t="shared" si="1"/>
        <v>508.93495414173873</v>
      </c>
      <c r="J77" s="144">
        <v>1.3864709558289894</v>
      </c>
      <c r="K77" s="144">
        <v>0.66584472427294938</v>
      </c>
      <c r="L77" s="144">
        <v>1.4932896174291583</v>
      </c>
      <c r="M77" s="144">
        <v>2.5097782091287493</v>
      </c>
      <c r="N77" s="144">
        <v>491.93688539125372</v>
      </c>
      <c r="O77" s="144">
        <v>7.1247625079164031E-2</v>
      </c>
      <c r="P77" s="144">
        <v>8.4969389909225257E-2</v>
      </c>
      <c r="Q77" s="144">
        <v>0.26852438252058264</v>
      </c>
      <c r="R77" s="144">
        <v>1.7918513827316869</v>
      </c>
      <c r="S77" s="144">
        <v>1.0657589191471397</v>
      </c>
      <c r="T77" s="144">
        <v>2.6328900147772853</v>
      </c>
      <c r="U77" s="144">
        <v>5.0274435296601228</v>
      </c>
    </row>
    <row r="78" spans="2:21">
      <c r="B78" s="97" t="s">
        <v>333</v>
      </c>
      <c r="C78" s="143" t="s">
        <v>152</v>
      </c>
      <c r="D78" s="143" t="s">
        <v>179</v>
      </c>
      <c r="E78" s="143" t="s">
        <v>195</v>
      </c>
      <c r="F78" s="143" t="s">
        <v>199</v>
      </c>
      <c r="G78" s="143" t="s">
        <v>195</v>
      </c>
      <c r="H78" s="143" t="s">
        <v>194</v>
      </c>
      <c r="I78" s="95">
        <f t="shared" si="1"/>
        <v>495.84657534246583</v>
      </c>
      <c r="J78" s="144">
        <v>0</v>
      </c>
      <c r="K78" s="144">
        <v>0</v>
      </c>
      <c r="L78" s="144">
        <v>0.91506849315068495</v>
      </c>
      <c r="M78" s="144">
        <v>4.1835616438356169</v>
      </c>
      <c r="N78" s="144">
        <v>489.66301369863027</v>
      </c>
      <c r="O78" s="144">
        <v>5.205479452054794E-2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4">
        <v>1.0328767123287672</v>
      </c>
    </row>
    <row r="79" spans="2:21">
      <c r="B79" s="97" t="s">
        <v>333</v>
      </c>
      <c r="C79" s="143" t="s">
        <v>152</v>
      </c>
      <c r="D79" s="143" t="s">
        <v>179</v>
      </c>
      <c r="E79" s="143" t="s">
        <v>195</v>
      </c>
      <c r="F79" s="143" t="s">
        <v>200</v>
      </c>
      <c r="G79" s="143" t="s">
        <v>203</v>
      </c>
      <c r="H79" s="143" t="s">
        <v>285</v>
      </c>
      <c r="I79" s="95">
        <f t="shared" si="1"/>
        <v>983.23536988517992</v>
      </c>
      <c r="J79" s="144">
        <v>1.7561600097537533</v>
      </c>
      <c r="K79" s="144">
        <v>5.6711483871387109</v>
      </c>
      <c r="L79" s="144">
        <v>4.4794933359525144</v>
      </c>
      <c r="M79" s="144">
        <v>8.8492400015505801</v>
      </c>
      <c r="N79" s="144">
        <v>930.54804252697181</v>
      </c>
      <c r="O79" s="144">
        <v>0.32056153683766098</v>
      </c>
      <c r="P79" s="144">
        <v>3.0492400253324887</v>
      </c>
      <c r="Q79" s="144">
        <v>4.7560692421363733</v>
      </c>
      <c r="R79" s="144">
        <v>4.0958412497361198</v>
      </c>
      <c r="S79" s="144">
        <v>9.1642389698121178</v>
      </c>
      <c r="T79" s="144">
        <v>6.4986805995355708</v>
      </c>
      <c r="U79" s="144">
        <v>4.0466540004222082</v>
      </c>
    </row>
    <row r="80" spans="2:21">
      <c r="B80" s="97" t="s">
        <v>333</v>
      </c>
      <c r="C80" s="143" t="s">
        <v>152</v>
      </c>
      <c r="D80" s="143" t="s">
        <v>179</v>
      </c>
      <c r="E80" s="143" t="s">
        <v>195</v>
      </c>
      <c r="F80" s="143" t="s">
        <v>200</v>
      </c>
      <c r="G80" s="143" t="s">
        <v>203</v>
      </c>
      <c r="H80" s="143" t="s">
        <v>194</v>
      </c>
      <c r="I80" s="95">
        <f t="shared" si="1"/>
        <v>2698.3863013698633</v>
      </c>
      <c r="J80" s="144">
        <v>3.7013698630136989</v>
      </c>
      <c r="K80" s="144">
        <v>9.8000000000000007</v>
      </c>
      <c r="L80" s="144">
        <v>7.9123287671232898</v>
      </c>
      <c r="M80" s="144">
        <v>17.098630136986312</v>
      </c>
      <c r="N80" s="144">
        <v>2654.8520547945213</v>
      </c>
      <c r="O80" s="144">
        <v>4.1095890410958902E-2</v>
      </c>
      <c r="P80" s="144">
        <v>0</v>
      </c>
      <c r="Q80" s="144">
        <v>0</v>
      </c>
      <c r="R80" s="144">
        <v>0</v>
      </c>
      <c r="S80" s="144">
        <v>0.38356164383561642</v>
      </c>
      <c r="T80" s="144">
        <v>0.86301369863013699</v>
      </c>
      <c r="U80" s="144">
        <v>3.7342465753424658</v>
      </c>
    </row>
    <row r="81" spans="2:21">
      <c r="B81" s="97" t="s">
        <v>333</v>
      </c>
      <c r="C81" s="143" t="s">
        <v>152</v>
      </c>
      <c r="D81" s="143" t="s">
        <v>179</v>
      </c>
      <c r="E81" s="143" t="s">
        <v>195</v>
      </c>
      <c r="F81" s="143" t="s">
        <v>200</v>
      </c>
      <c r="G81" s="143" t="s">
        <v>284</v>
      </c>
      <c r="H81" s="59" t="s">
        <v>194</v>
      </c>
      <c r="I81" s="95">
        <f t="shared" si="1"/>
        <v>441.46027397260241</v>
      </c>
      <c r="J81" s="144">
        <v>0</v>
      </c>
      <c r="K81" s="144">
        <v>1.3671232876712329</v>
      </c>
      <c r="L81" s="144">
        <v>1.5013698630136987</v>
      </c>
      <c r="M81" s="144">
        <v>0.84657534246575339</v>
      </c>
      <c r="N81" s="144">
        <v>435.92328767123252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1.2684931506849315</v>
      </c>
      <c r="U81" s="144">
        <v>0.55342465753424652</v>
      </c>
    </row>
    <row r="82" spans="2:21">
      <c r="B82" s="97" t="s">
        <v>333</v>
      </c>
      <c r="C82" s="143" t="s">
        <v>152</v>
      </c>
      <c r="D82" s="143" t="s">
        <v>179</v>
      </c>
      <c r="E82" s="143" t="s">
        <v>195</v>
      </c>
      <c r="F82" s="143" t="s">
        <v>200</v>
      </c>
      <c r="G82" s="143" t="s">
        <v>204</v>
      </c>
      <c r="H82" s="143" t="s">
        <v>194</v>
      </c>
      <c r="I82" s="95">
        <f t="shared" si="1"/>
        <v>12.999999999999996</v>
      </c>
      <c r="J82" s="144">
        <v>0</v>
      </c>
      <c r="K82" s="144">
        <v>0</v>
      </c>
      <c r="L82" s="144">
        <v>0</v>
      </c>
      <c r="M82" s="144">
        <v>0</v>
      </c>
      <c r="N82" s="144">
        <v>12.999999999999996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v>0</v>
      </c>
    </row>
    <row r="83" spans="2:21">
      <c r="B83" s="97" t="s">
        <v>333</v>
      </c>
      <c r="C83" s="143" t="s">
        <v>152</v>
      </c>
      <c r="D83" s="143" t="s">
        <v>179</v>
      </c>
      <c r="E83" s="143" t="s">
        <v>195</v>
      </c>
      <c r="F83" s="143" t="s">
        <v>195</v>
      </c>
      <c r="G83" s="143" t="s">
        <v>203</v>
      </c>
      <c r="H83" s="143" t="s">
        <v>281</v>
      </c>
      <c r="I83" s="95">
        <f>SUM(J83:U83)</f>
        <v>55806.423731300492</v>
      </c>
      <c r="J83" s="144">
        <v>59.528700244977443</v>
      </c>
      <c r="K83" s="144">
        <v>257.17840081885868</v>
      </c>
      <c r="L83" s="144">
        <v>138.64919937015992</v>
      </c>
      <c r="M83" s="144">
        <v>386.12144623968788</v>
      </c>
      <c r="N83" s="144">
        <v>54887.910519142322</v>
      </c>
      <c r="O83" s="144">
        <v>0.58074730842305256</v>
      </c>
      <c r="P83" s="144">
        <v>0</v>
      </c>
      <c r="Q83" s="144">
        <v>0</v>
      </c>
      <c r="R83" s="144">
        <v>0</v>
      </c>
      <c r="S83" s="144">
        <v>2.6849271690943639</v>
      </c>
      <c r="T83" s="144">
        <v>19.131728942368589</v>
      </c>
      <c r="U83" s="144">
        <v>54.638062064597854</v>
      </c>
    </row>
    <row r="84" spans="2:21">
      <c r="B84" s="97" t="s">
        <v>333</v>
      </c>
      <c r="C84" s="143" t="s">
        <v>152</v>
      </c>
      <c r="D84" s="143" t="s">
        <v>179</v>
      </c>
      <c r="E84" s="143" t="s">
        <v>195</v>
      </c>
      <c r="F84" s="143" t="s">
        <v>200</v>
      </c>
      <c r="G84" s="143" t="s">
        <v>284</v>
      </c>
      <c r="H84" s="143" t="s">
        <v>281</v>
      </c>
      <c r="I84" s="95">
        <f t="shared" si="1"/>
        <v>42806.539309357671</v>
      </c>
      <c r="J84" s="144">
        <v>0</v>
      </c>
      <c r="K84" s="144">
        <v>97.879462704017811</v>
      </c>
      <c r="L84" s="144">
        <v>93.835492182836504</v>
      </c>
      <c r="M84" s="144">
        <v>70.265452507379777</v>
      </c>
      <c r="N84" s="144">
        <v>42381.975428858765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117.20284821768165</v>
      </c>
      <c r="U84" s="144">
        <v>45.380624886987867</v>
      </c>
    </row>
    <row r="85" spans="2:21">
      <c r="B85" s="97" t="s">
        <v>333</v>
      </c>
      <c r="C85" s="143" t="s">
        <v>152</v>
      </c>
      <c r="D85" s="143" t="s">
        <v>179</v>
      </c>
      <c r="E85" s="143" t="s">
        <v>195</v>
      </c>
      <c r="F85" s="143" t="s">
        <v>200</v>
      </c>
      <c r="G85" s="143" t="s">
        <v>204</v>
      </c>
      <c r="H85" s="143" t="s">
        <v>281</v>
      </c>
      <c r="I85" s="95">
        <f t="shared" si="1"/>
        <v>5726.0005996812115</v>
      </c>
      <c r="J85" s="144">
        <v>0</v>
      </c>
      <c r="K85" s="144">
        <v>0</v>
      </c>
      <c r="L85" s="144">
        <v>0</v>
      </c>
      <c r="M85" s="144">
        <v>0</v>
      </c>
      <c r="N85" s="144">
        <v>5726.0005996812115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</row>
    <row r="86" spans="2:21">
      <c r="B86" s="97" t="s">
        <v>333</v>
      </c>
      <c r="C86" s="143" t="s">
        <v>152</v>
      </c>
      <c r="D86" s="143" t="s">
        <v>179</v>
      </c>
      <c r="E86" s="143" t="s">
        <v>195</v>
      </c>
      <c r="F86" s="143" t="s">
        <v>195</v>
      </c>
      <c r="G86" s="143" t="s">
        <v>195</v>
      </c>
      <c r="H86" s="143" t="s">
        <v>201</v>
      </c>
      <c r="I86" s="95">
        <f t="shared" si="1"/>
        <v>70608.913793103449</v>
      </c>
      <c r="J86" s="144">
        <v>9866.5344827586214</v>
      </c>
      <c r="K86" s="144">
        <v>9558.310344827587</v>
      </c>
      <c r="L86" s="144">
        <v>9208.6379310344819</v>
      </c>
      <c r="M86" s="144">
        <v>8548.5862068965525</v>
      </c>
      <c r="N86" s="144">
        <v>4786.5344827586214</v>
      </c>
      <c r="O86" s="144">
        <v>758.41379310344837</v>
      </c>
      <c r="P86" s="144">
        <v>390</v>
      </c>
      <c r="Q86" s="144">
        <v>615.5</v>
      </c>
      <c r="R86" s="144">
        <v>2932</v>
      </c>
      <c r="S86" s="144">
        <v>7088.0344827586214</v>
      </c>
      <c r="T86" s="144">
        <v>7966.6551724137926</v>
      </c>
      <c r="U86" s="144">
        <v>8889.7068965517228</v>
      </c>
    </row>
    <row r="87" spans="2:21">
      <c r="B87" s="97" t="s">
        <v>333</v>
      </c>
      <c r="C87" s="143" t="s">
        <v>152</v>
      </c>
      <c r="D87" s="143" t="s">
        <v>179</v>
      </c>
      <c r="E87" s="143" t="s">
        <v>195</v>
      </c>
      <c r="F87" s="143" t="s">
        <v>195</v>
      </c>
      <c r="G87" s="143" t="s">
        <v>195</v>
      </c>
      <c r="H87" s="166" t="s">
        <v>367</v>
      </c>
      <c r="I87" s="95">
        <f t="shared" si="1"/>
        <v>22840</v>
      </c>
      <c r="J87" s="144">
        <v>3882</v>
      </c>
      <c r="K87" s="144">
        <v>4583</v>
      </c>
      <c r="L87" s="144">
        <v>4176</v>
      </c>
      <c r="M87" s="144">
        <v>1494</v>
      </c>
      <c r="N87" s="144">
        <v>4403</v>
      </c>
      <c r="O87" s="144">
        <v>74</v>
      </c>
      <c r="P87" s="144">
        <v>74</v>
      </c>
      <c r="Q87" s="144">
        <v>64</v>
      </c>
      <c r="R87" s="144">
        <v>415</v>
      </c>
      <c r="S87" s="144">
        <v>1094</v>
      </c>
      <c r="T87" s="144">
        <v>1627</v>
      </c>
      <c r="U87" s="144">
        <v>954</v>
      </c>
    </row>
    <row r="88" spans="2:21">
      <c r="B88" s="97" t="s">
        <v>333</v>
      </c>
      <c r="C88" s="143" t="s">
        <v>152</v>
      </c>
      <c r="D88" s="143" t="s">
        <v>179</v>
      </c>
      <c r="E88" s="143" t="s">
        <v>195</v>
      </c>
      <c r="F88" s="143" t="s">
        <v>195</v>
      </c>
      <c r="G88" s="143" t="s">
        <v>195</v>
      </c>
      <c r="H88" s="166" t="s">
        <v>358</v>
      </c>
      <c r="I88" s="95">
        <f t="shared" si="1"/>
        <v>853.73333333333335</v>
      </c>
      <c r="J88" s="144">
        <v>82</v>
      </c>
      <c r="K88" s="144">
        <v>82</v>
      </c>
      <c r="L88" s="144">
        <v>82</v>
      </c>
      <c r="M88" s="144">
        <v>82</v>
      </c>
      <c r="N88" s="144">
        <v>82</v>
      </c>
      <c r="O88" s="144">
        <v>79.733333333333334</v>
      </c>
      <c r="P88" s="144">
        <v>48</v>
      </c>
      <c r="Q88" s="144">
        <v>48</v>
      </c>
      <c r="R88" s="144">
        <v>48</v>
      </c>
      <c r="S88" s="144">
        <v>48</v>
      </c>
      <c r="T88" s="144">
        <v>86</v>
      </c>
      <c r="U88" s="144">
        <v>86</v>
      </c>
    </row>
    <row r="89" spans="2:21">
      <c r="B89" s="97" t="s">
        <v>333</v>
      </c>
      <c r="C89" s="143" t="s">
        <v>152</v>
      </c>
      <c r="D89" s="143" t="s">
        <v>179</v>
      </c>
      <c r="E89" s="143" t="s">
        <v>195</v>
      </c>
      <c r="F89" s="143" t="s">
        <v>195</v>
      </c>
      <c r="G89" s="143" t="s">
        <v>195</v>
      </c>
      <c r="H89" s="166" t="s">
        <v>368</v>
      </c>
      <c r="I89" s="95">
        <f t="shared" si="1"/>
        <v>12.166666666666668</v>
      </c>
      <c r="J89" s="144">
        <v>1</v>
      </c>
      <c r="K89" s="144">
        <v>1</v>
      </c>
      <c r="L89" s="144">
        <v>1</v>
      </c>
      <c r="M89" s="144">
        <v>1</v>
      </c>
      <c r="N89" s="144">
        <v>1</v>
      </c>
      <c r="O89" s="144">
        <v>0.93333333333333335</v>
      </c>
      <c r="P89" s="144">
        <v>1.2333333333333334</v>
      </c>
      <c r="Q89" s="144">
        <v>1</v>
      </c>
      <c r="R89" s="144">
        <v>1</v>
      </c>
      <c r="S89" s="144">
        <v>1</v>
      </c>
      <c r="T89" s="144">
        <v>1</v>
      </c>
      <c r="U89" s="144">
        <v>1</v>
      </c>
    </row>
    <row r="90" spans="2:21">
      <c r="B90" s="97" t="s">
        <v>333</v>
      </c>
      <c r="C90" s="143" t="s">
        <v>252</v>
      </c>
      <c r="D90" s="143" t="s">
        <v>7</v>
      </c>
      <c r="E90" s="143" t="s">
        <v>176</v>
      </c>
      <c r="F90" s="143" t="s">
        <v>195</v>
      </c>
      <c r="G90" s="143" t="s">
        <v>195</v>
      </c>
      <c r="H90" s="143" t="s">
        <v>350</v>
      </c>
      <c r="I90" s="95">
        <f t="shared" si="1"/>
        <v>12</v>
      </c>
      <c r="J90" s="144">
        <v>1</v>
      </c>
      <c r="K90" s="144">
        <v>1</v>
      </c>
      <c r="L90" s="144">
        <v>1</v>
      </c>
      <c r="M90" s="144">
        <v>1</v>
      </c>
      <c r="N90" s="144">
        <v>1</v>
      </c>
      <c r="O90" s="144">
        <v>1</v>
      </c>
      <c r="P90" s="144">
        <v>1</v>
      </c>
      <c r="Q90" s="144">
        <v>1</v>
      </c>
      <c r="R90" s="144">
        <v>1</v>
      </c>
      <c r="S90" s="144">
        <v>1</v>
      </c>
      <c r="T90" s="144">
        <v>1</v>
      </c>
      <c r="U90" s="144">
        <v>1</v>
      </c>
    </row>
    <row r="91" spans="2:21">
      <c r="B91" s="97" t="s">
        <v>333</v>
      </c>
      <c r="C91" s="143" t="s">
        <v>252</v>
      </c>
      <c r="D91" s="143" t="s">
        <v>7</v>
      </c>
      <c r="E91" s="143" t="s">
        <v>176</v>
      </c>
      <c r="F91" s="143" t="s">
        <v>195</v>
      </c>
      <c r="G91" s="143" t="s">
        <v>203</v>
      </c>
      <c r="H91" s="143" t="s">
        <v>335</v>
      </c>
      <c r="I91" s="95">
        <f t="shared" si="1"/>
        <v>12</v>
      </c>
      <c r="J91" s="144">
        <v>1</v>
      </c>
      <c r="K91" s="144">
        <v>1</v>
      </c>
      <c r="L91" s="144">
        <v>1</v>
      </c>
      <c r="M91" s="144">
        <v>1</v>
      </c>
      <c r="N91" s="144">
        <v>1</v>
      </c>
      <c r="O91" s="144">
        <v>1</v>
      </c>
      <c r="P91" s="144">
        <v>1</v>
      </c>
      <c r="Q91" s="144">
        <v>1</v>
      </c>
      <c r="R91" s="144">
        <v>1</v>
      </c>
      <c r="S91" s="144">
        <v>1</v>
      </c>
      <c r="T91" s="144">
        <v>1</v>
      </c>
      <c r="U91" s="144">
        <v>1</v>
      </c>
    </row>
    <row r="92" spans="2:21">
      <c r="B92" s="97" t="s">
        <v>333</v>
      </c>
      <c r="C92" s="143" t="s">
        <v>252</v>
      </c>
      <c r="D92" s="143" t="s">
        <v>7</v>
      </c>
      <c r="E92" s="143" t="s">
        <v>176</v>
      </c>
      <c r="F92" s="143" t="s">
        <v>195</v>
      </c>
      <c r="G92" s="143" t="s">
        <v>203</v>
      </c>
      <c r="H92" s="59" t="s">
        <v>281</v>
      </c>
      <c r="I92" s="95">
        <f t="shared" si="1"/>
        <v>24249</v>
      </c>
      <c r="J92" s="144">
        <v>2213</v>
      </c>
      <c r="K92" s="144">
        <v>2213</v>
      </c>
      <c r="L92" s="144">
        <v>2191</v>
      </c>
      <c r="M92" s="144">
        <v>2191</v>
      </c>
      <c r="N92" s="144">
        <v>2191</v>
      </c>
      <c r="O92" s="144">
        <v>1900</v>
      </c>
      <c r="P92" s="144">
        <v>1900</v>
      </c>
      <c r="Q92" s="144">
        <v>1900</v>
      </c>
      <c r="R92" s="144">
        <v>1900</v>
      </c>
      <c r="S92" s="144">
        <v>1900</v>
      </c>
      <c r="T92" s="144">
        <v>1900</v>
      </c>
      <c r="U92" s="144">
        <v>1850</v>
      </c>
    </row>
    <row r="93" spans="2:21">
      <c r="B93" s="97" t="s">
        <v>333</v>
      </c>
      <c r="C93" s="143" t="s">
        <v>252</v>
      </c>
      <c r="D93" s="143" t="s">
        <v>7</v>
      </c>
      <c r="E93" s="143" t="s">
        <v>176</v>
      </c>
      <c r="F93" s="143" t="s">
        <v>195</v>
      </c>
      <c r="G93" s="143" t="s">
        <v>195</v>
      </c>
      <c r="H93" s="143" t="s">
        <v>202</v>
      </c>
      <c r="I93" s="95">
        <f t="shared" si="1"/>
        <v>17900</v>
      </c>
      <c r="J93" s="144">
        <v>1900</v>
      </c>
      <c r="K93" s="144">
        <v>1700</v>
      </c>
      <c r="L93" s="144">
        <v>1700</v>
      </c>
      <c r="M93" s="144">
        <v>1300</v>
      </c>
      <c r="N93" s="144">
        <v>1400</v>
      </c>
      <c r="O93" s="144">
        <v>1400</v>
      </c>
      <c r="P93" s="144">
        <v>1800</v>
      </c>
      <c r="Q93" s="144">
        <v>1400</v>
      </c>
      <c r="R93" s="144">
        <v>1200</v>
      </c>
      <c r="S93" s="144">
        <v>1400</v>
      </c>
      <c r="T93" s="144">
        <v>1200</v>
      </c>
      <c r="U93" s="144">
        <v>1500</v>
      </c>
    </row>
    <row r="94" spans="2:21">
      <c r="B94" s="97" t="s">
        <v>333</v>
      </c>
      <c r="C94" s="143" t="s">
        <v>252</v>
      </c>
      <c r="D94" s="143" t="s">
        <v>7</v>
      </c>
      <c r="E94" s="143" t="s">
        <v>176</v>
      </c>
      <c r="F94" s="143" t="s">
        <v>195</v>
      </c>
      <c r="G94" s="143" t="s">
        <v>195</v>
      </c>
      <c r="H94" s="143" t="s">
        <v>286</v>
      </c>
      <c r="I94" s="95">
        <f t="shared" si="1"/>
        <v>6100</v>
      </c>
      <c r="J94" s="144">
        <v>100</v>
      </c>
      <c r="K94" s="144">
        <v>300</v>
      </c>
      <c r="L94" s="144">
        <v>300</v>
      </c>
      <c r="M94" s="144">
        <v>700</v>
      </c>
      <c r="N94" s="144">
        <v>600</v>
      </c>
      <c r="O94" s="144">
        <v>600</v>
      </c>
      <c r="P94" s="144">
        <v>200</v>
      </c>
      <c r="Q94" s="144">
        <v>600</v>
      </c>
      <c r="R94" s="144">
        <v>800</v>
      </c>
      <c r="S94" s="144">
        <v>600</v>
      </c>
      <c r="T94" s="144">
        <v>800</v>
      </c>
      <c r="U94" s="144">
        <v>500</v>
      </c>
    </row>
    <row r="95" spans="2:21">
      <c r="B95" s="97" t="s">
        <v>333</v>
      </c>
      <c r="C95" s="143" t="s">
        <v>172</v>
      </c>
      <c r="D95" s="143" t="s">
        <v>5</v>
      </c>
      <c r="E95" s="143" t="s">
        <v>195</v>
      </c>
      <c r="F95" s="143" t="s">
        <v>195</v>
      </c>
      <c r="G95" s="143" t="s">
        <v>195</v>
      </c>
      <c r="H95" s="143" t="s">
        <v>349</v>
      </c>
      <c r="I95" s="95">
        <f t="shared" si="1"/>
        <v>35</v>
      </c>
      <c r="J95" s="144">
        <v>3</v>
      </c>
      <c r="K95" s="144">
        <v>3</v>
      </c>
      <c r="L95" s="144">
        <v>3</v>
      </c>
      <c r="M95" s="144">
        <v>3</v>
      </c>
      <c r="N95" s="144">
        <v>3</v>
      </c>
      <c r="O95" s="144">
        <v>3</v>
      </c>
      <c r="P95" s="144">
        <v>2</v>
      </c>
      <c r="Q95" s="144">
        <v>3</v>
      </c>
      <c r="R95" s="144">
        <v>3</v>
      </c>
      <c r="S95" s="144">
        <v>3</v>
      </c>
      <c r="T95" s="144">
        <v>3</v>
      </c>
      <c r="U95" s="144">
        <v>3</v>
      </c>
    </row>
    <row r="96" spans="2:21">
      <c r="B96" s="97" t="s">
        <v>333</v>
      </c>
      <c r="C96" s="143" t="s">
        <v>172</v>
      </c>
      <c r="D96" s="143" t="s">
        <v>5</v>
      </c>
      <c r="E96" s="143" t="s">
        <v>195</v>
      </c>
      <c r="F96" s="143" t="s">
        <v>195</v>
      </c>
      <c r="G96" s="143" t="s">
        <v>195</v>
      </c>
      <c r="H96" s="143" t="s">
        <v>350</v>
      </c>
      <c r="I96" s="95">
        <f t="shared" si="1"/>
        <v>123</v>
      </c>
      <c r="J96" s="144">
        <v>12</v>
      </c>
      <c r="K96" s="144">
        <v>10</v>
      </c>
      <c r="L96" s="144">
        <v>10</v>
      </c>
      <c r="M96" s="144">
        <v>10</v>
      </c>
      <c r="N96" s="144">
        <v>10</v>
      </c>
      <c r="O96" s="144">
        <v>10</v>
      </c>
      <c r="P96" s="144">
        <v>10</v>
      </c>
      <c r="Q96" s="144">
        <v>10</v>
      </c>
      <c r="R96" s="144">
        <v>10</v>
      </c>
      <c r="S96" s="144">
        <v>10</v>
      </c>
      <c r="T96" s="144">
        <v>10</v>
      </c>
      <c r="U96" s="144">
        <v>11</v>
      </c>
    </row>
    <row r="97" spans="2:21">
      <c r="B97" s="97" t="s">
        <v>333</v>
      </c>
      <c r="C97" s="143" t="s">
        <v>172</v>
      </c>
      <c r="D97" s="143" t="s">
        <v>5</v>
      </c>
      <c r="E97" s="143" t="s">
        <v>176</v>
      </c>
      <c r="F97" s="143" t="s">
        <v>195</v>
      </c>
      <c r="G97" s="143" t="s">
        <v>203</v>
      </c>
      <c r="H97" s="143" t="s">
        <v>335</v>
      </c>
      <c r="I97" s="95">
        <f t="shared" si="1"/>
        <v>353.66666666666663</v>
      </c>
      <c r="J97" s="144">
        <v>30</v>
      </c>
      <c r="K97" s="144">
        <v>29</v>
      </c>
      <c r="L97" s="144">
        <v>29</v>
      </c>
      <c r="M97" s="144">
        <v>29</v>
      </c>
      <c r="N97" s="144">
        <v>29</v>
      </c>
      <c r="O97" s="144">
        <v>29</v>
      </c>
      <c r="P97" s="144">
        <v>29</v>
      </c>
      <c r="Q97" s="144">
        <v>29.666666666666668</v>
      </c>
      <c r="R97" s="144">
        <v>30</v>
      </c>
      <c r="S97" s="144">
        <v>30</v>
      </c>
      <c r="T97" s="144">
        <v>30</v>
      </c>
      <c r="U97" s="144">
        <v>30</v>
      </c>
    </row>
    <row r="98" spans="2:21">
      <c r="B98" s="97" t="s">
        <v>333</v>
      </c>
      <c r="C98" s="143" t="s">
        <v>172</v>
      </c>
      <c r="D98" s="143" t="s">
        <v>5</v>
      </c>
      <c r="E98" s="143" t="s">
        <v>176</v>
      </c>
      <c r="F98" s="143" t="s">
        <v>195</v>
      </c>
      <c r="G98" s="143" t="s">
        <v>203</v>
      </c>
      <c r="H98" s="143" t="s">
        <v>281</v>
      </c>
      <c r="I98" s="95">
        <f t="shared" si="1"/>
        <v>413974.99726775958</v>
      </c>
      <c r="J98" s="144">
        <v>36069</v>
      </c>
      <c r="K98" s="144">
        <v>35044</v>
      </c>
      <c r="L98" s="144">
        <v>34639</v>
      </c>
      <c r="M98" s="144">
        <v>33991</v>
      </c>
      <c r="N98" s="144">
        <v>33863</v>
      </c>
      <c r="O98" s="144">
        <v>33825</v>
      </c>
      <c r="P98" s="144">
        <v>33791</v>
      </c>
      <c r="Q98" s="144">
        <v>34486.997267759565</v>
      </c>
      <c r="R98" s="144">
        <v>34854</v>
      </c>
      <c r="S98" s="144">
        <v>34837</v>
      </c>
      <c r="T98" s="144">
        <v>34690</v>
      </c>
      <c r="U98" s="144">
        <v>33885</v>
      </c>
    </row>
    <row r="99" spans="2:21">
      <c r="B99" s="97" t="s">
        <v>333</v>
      </c>
      <c r="C99" s="143" t="s">
        <v>172</v>
      </c>
      <c r="D99" s="143" t="s">
        <v>5</v>
      </c>
      <c r="E99" s="143" t="s">
        <v>176</v>
      </c>
      <c r="F99" s="143" t="s">
        <v>195</v>
      </c>
      <c r="G99" s="143" t="s">
        <v>195</v>
      </c>
      <c r="H99" s="143" t="s">
        <v>202</v>
      </c>
      <c r="I99" s="95">
        <f t="shared" si="1"/>
        <v>291879.33333333337</v>
      </c>
      <c r="J99" s="144">
        <v>31951</v>
      </c>
      <c r="K99" s="144">
        <v>28425</v>
      </c>
      <c r="L99" s="144">
        <v>27291</v>
      </c>
      <c r="M99" s="144">
        <v>27817</v>
      </c>
      <c r="N99" s="144">
        <v>24969</v>
      </c>
      <c r="O99" s="144">
        <v>21719</v>
      </c>
      <c r="P99" s="144">
        <v>20414</v>
      </c>
      <c r="Q99" s="144">
        <v>21083.333333333332</v>
      </c>
      <c r="R99" s="144">
        <v>21081</v>
      </c>
      <c r="S99" s="144">
        <v>20693</v>
      </c>
      <c r="T99" s="144">
        <v>21366</v>
      </c>
      <c r="U99" s="144">
        <v>25070</v>
      </c>
    </row>
    <row r="100" spans="2:21">
      <c r="B100" s="97" t="s">
        <v>333</v>
      </c>
      <c r="C100" s="143" t="s">
        <v>172</v>
      </c>
      <c r="D100" s="143" t="s">
        <v>5</v>
      </c>
      <c r="E100" s="143" t="s">
        <v>176</v>
      </c>
      <c r="F100" s="143" t="s">
        <v>195</v>
      </c>
      <c r="G100" s="143" t="s">
        <v>195</v>
      </c>
      <c r="H100" s="143" t="s">
        <v>201</v>
      </c>
      <c r="I100" s="95">
        <f t="shared" si="1"/>
        <v>31472.333333333332</v>
      </c>
      <c r="J100" s="144">
        <v>3008</v>
      </c>
      <c r="K100" s="144">
        <v>2893</v>
      </c>
      <c r="L100" s="144">
        <v>2825</v>
      </c>
      <c r="M100" s="144">
        <v>2784</v>
      </c>
      <c r="N100" s="144">
        <v>2715</v>
      </c>
      <c r="O100" s="144">
        <v>2384</v>
      </c>
      <c r="P100" s="144">
        <v>2607</v>
      </c>
      <c r="Q100" s="144">
        <v>2230.3333333333335</v>
      </c>
      <c r="R100" s="144">
        <v>2547.0000000000005</v>
      </c>
      <c r="S100" s="144">
        <v>2269</v>
      </c>
      <c r="T100" s="144">
        <v>2516.0000000000005</v>
      </c>
      <c r="U100" s="144">
        <v>2694</v>
      </c>
    </row>
    <row r="101" spans="2:21">
      <c r="B101" s="97" t="s">
        <v>333</v>
      </c>
      <c r="C101" s="143" t="s">
        <v>172</v>
      </c>
      <c r="D101" s="143" t="s">
        <v>5</v>
      </c>
      <c r="E101" s="143" t="s">
        <v>177</v>
      </c>
      <c r="F101" s="143" t="s">
        <v>195</v>
      </c>
      <c r="G101" s="143" t="s">
        <v>203</v>
      </c>
      <c r="H101" s="143" t="s">
        <v>335</v>
      </c>
      <c r="I101" s="95">
        <f t="shared" si="1"/>
        <v>83.666666666666671</v>
      </c>
      <c r="J101" s="144">
        <v>6.666666666666667</v>
      </c>
      <c r="K101" s="144">
        <v>7</v>
      </c>
      <c r="L101" s="144">
        <v>7</v>
      </c>
      <c r="M101" s="144">
        <v>7</v>
      </c>
      <c r="N101" s="144">
        <v>7</v>
      </c>
      <c r="O101" s="144">
        <v>7</v>
      </c>
      <c r="P101" s="144">
        <v>7</v>
      </c>
      <c r="Q101" s="144">
        <v>7</v>
      </c>
      <c r="R101" s="144">
        <v>7</v>
      </c>
      <c r="S101" s="144">
        <v>7</v>
      </c>
      <c r="T101" s="144">
        <v>7</v>
      </c>
      <c r="U101" s="144">
        <v>7</v>
      </c>
    </row>
    <row r="102" spans="2:21">
      <c r="B102" s="97" t="s">
        <v>333</v>
      </c>
      <c r="C102" s="143" t="s">
        <v>172</v>
      </c>
      <c r="D102" s="143" t="s">
        <v>5</v>
      </c>
      <c r="E102" s="143" t="s">
        <v>177</v>
      </c>
      <c r="F102" s="143" t="s">
        <v>195</v>
      </c>
      <c r="G102" s="143" t="s">
        <v>204</v>
      </c>
      <c r="H102" s="143" t="s">
        <v>335</v>
      </c>
      <c r="I102" s="95">
        <f t="shared" si="1"/>
        <v>12</v>
      </c>
      <c r="J102" s="144">
        <v>1</v>
      </c>
      <c r="K102" s="144">
        <v>1</v>
      </c>
      <c r="L102" s="144">
        <v>1</v>
      </c>
      <c r="M102" s="144">
        <v>1</v>
      </c>
      <c r="N102" s="144">
        <v>1</v>
      </c>
      <c r="O102" s="144">
        <v>1</v>
      </c>
      <c r="P102" s="144">
        <v>1</v>
      </c>
      <c r="Q102" s="144">
        <v>1</v>
      </c>
      <c r="R102" s="144">
        <v>1</v>
      </c>
      <c r="S102" s="144">
        <v>1</v>
      </c>
      <c r="T102" s="144">
        <v>1</v>
      </c>
      <c r="U102" s="144">
        <v>1</v>
      </c>
    </row>
    <row r="103" spans="2:21">
      <c r="B103" s="97" t="s">
        <v>333</v>
      </c>
      <c r="C103" s="143" t="s">
        <v>172</v>
      </c>
      <c r="D103" s="143" t="s">
        <v>5</v>
      </c>
      <c r="E103" s="143" t="s">
        <v>177</v>
      </c>
      <c r="F103" s="143" t="s">
        <v>195</v>
      </c>
      <c r="G103" s="143" t="s">
        <v>203</v>
      </c>
      <c r="H103" s="143" t="s">
        <v>281</v>
      </c>
      <c r="I103" s="95">
        <f t="shared" si="1"/>
        <v>91474.688524590165</v>
      </c>
      <c r="J103" s="144">
        <v>7588.688524590164</v>
      </c>
      <c r="K103" s="144">
        <v>7416</v>
      </c>
      <c r="L103" s="144">
        <v>7489</v>
      </c>
      <c r="M103" s="144">
        <v>7833</v>
      </c>
      <c r="N103" s="144">
        <v>7682</v>
      </c>
      <c r="O103" s="144">
        <v>7645</v>
      </c>
      <c r="P103" s="144">
        <v>7645</v>
      </c>
      <c r="Q103" s="144">
        <v>7644</v>
      </c>
      <c r="R103" s="144">
        <v>7652</v>
      </c>
      <c r="S103" s="144">
        <v>7652</v>
      </c>
      <c r="T103" s="144">
        <v>7652</v>
      </c>
      <c r="U103" s="144">
        <v>7576</v>
      </c>
    </row>
    <row r="104" spans="2:21">
      <c r="B104" s="97" t="s">
        <v>333</v>
      </c>
      <c r="C104" s="143" t="s">
        <v>172</v>
      </c>
      <c r="D104" s="143" t="s">
        <v>5</v>
      </c>
      <c r="E104" s="143" t="s">
        <v>177</v>
      </c>
      <c r="F104" s="143" t="s">
        <v>195</v>
      </c>
      <c r="G104" s="143" t="s">
        <v>204</v>
      </c>
      <c r="H104" s="143" t="s">
        <v>281</v>
      </c>
      <c r="I104" s="95">
        <f t="shared" si="1"/>
        <v>54406</v>
      </c>
      <c r="J104" s="144">
        <v>4680</v>
      </c>
      <c r="K104" s="144">
        <v>4606</v>
      </c>
      <c r="L104" s="144">
        <v>4512</v>
      </c>
      <c r="M104" s="144">
        <v>4512</v>
      </c>
      <c r="N104" s="144">
        <v>4512</v>
      </c>
      <c r="O104" s="144">
        <v>4512</v>
      </c>
      <c r="P104" s="144">
        <v>4512</v>
      </c>
      <c r="Q104" s="144">
        <v>4512</v>
      </c>
      <c r="R104" s="144">
        <v>4512</v>
      </c>
      <c r="S104" s="144">
        <v>4512</v>
      </c>
      <c r="T104" s="144">
        <v>4512</v>
      </c>
      <c r="U104" s="144">
        <v>4512</v>
      </c>
    </row>
    <row r="105" spans="2:21">
      <c r="B105" s="97" t="s">
        <v>333</v>
      </c>
      <c r="C105" s="143" t="s">
        <v>172</v>
      </c>
      <c r="D105" s="143" t="s">
        <v>5</v>
      </c>
      <c r="E105" s="143" t="s">
        <v>177</v>
      </c>
      <c r="F105" s="143" t="s">
        <v>195</v>
      </c>
      <c r="G105" s="143" t="s">
        <v>195</v>
      </c>
      <c r="H105" s="143" t="s">
        <v>202</v>
      </c>
      <c r="I105" s="95">
        <f t="shared" si="1"/>
        <v>117203.33409090909</v>
      </c>
      <c r="J105" s="144">
        <v>11984.334090909089</v>
      </c>
      <c r="K105" s="144">
        <v>11732</v>
      </c>
      <c r="L105" s="144">
        <v>11222.999999999998</v>
      </c>
      <c r="M105" s="144">
        <v>10743</v>
      </c>
      <c r="N105" s="144">
        <v>9386</v>
      </c>
      <c r="O105" s="144">
        <v>8822</v>
      </c>
      <c r="P105" s="144">
        <v>9127.9999999999982</v>
      </c>
      <c r="Q105" s="144">
        <v>9052</v>
      </c>
      <c r="R105" s="144">
        <v>8832</v>
      </c>
      <c r="S105" s="144">
        <v>8479</v>
      </c>
      <c r="T105" s="144">
        <v>8390</v>
      </c>
      <c r="U105" s="144">
        <v>9432</v>
      </c>
    </row>
    <row r="106" spans="2:21">
      <c r="B106" s="97" t="s">
        <v>333</v>
      </c>
      <c r="C106" s="143" t="s">
        <v>172</v>
      </c>
      <c r="D106" s="143" t="s">
        <v>5</v>
      </c>
      <c r="E106" s="143" t="s">
        <v>177</v>
      </c>
      <c r="F106" s="143" t="s">
        <v>195</v>
      </c>
      <c r="G106" s="143" t="s">
        <v>195</v>
      </c>
      <c r="H106" s="143" t="s">
        <v>201</v>
      </c>
      <c r="I106" s="95">
        <f t="shared" si="1"/>
        <v>9250.1428571428569</v>
      </c>
      <c r="J106" s="144">
        <v>1668.1428571428569</v>
      </c>
      <c r="K106" s="144">
        <v>1447.9999999999998</v>
      </c>
      <c r="L106" s="144">
        <v>1297.9999999999998</v>
      </c>
      <c r="M106" s="144">
        <v>993.99999999999989</v>
      </c>
      <c r="N106" s="144">
        <v>583</v>
      </c>
      <c r="O106" s="144">
        <v>464.99999999999994</v>
      </c>
      <c r="P106" s="144">
        <v>231.99999999999997</v>
      </c>
      <c r="Q106" s="144">
        <v>329</v>
      </c>
      <c r="R106" s="144">
        <v>260.99999999999994</v>
      </c>
      <c r="S106" s="144">
        <v>307.99999999999994</v>
      </c>
      <c r="T106" s="144">
        <v>560</v>
      </c>
      <c r="U106" s="144">
        <v>1104</v>
      </c>
    </row>
    <row r="107" spans="2:21">
      <c r="B107" s="97" t="s">
        <v>333</v>
      </c>
      <c r="C107" s="143" t="s">
        <v>172</v>
      </c>
      <c r="D107" s="143" t="s">
        <v>7</v>
      </c>
      <c r="E107" s="143" t="s">
        <v>195</v>
      </c>
      <c r="F107" s="143" t="s">
        <v>195</v>
      </c>
      <c r="G107" s="143" t="s">
        <v>195</v>
      </c>
      <c r="H107" s="143" t="s">
        <v>350</v>
      </c>
      <c r="I107" s="95">
        <f t="shared" si="1"/>
        <v>119</v>
      </c>
      <c r="J107" s="144">
        <v>9</v>
      </c>
      <c r="K107" s="144">
        <v>10</v>
      </c>
      <c r="L107" s="144">
        <v>10</v>
      </c>
      <c r="M107" s="144">
        <v>10</v>
      </c>
      <c r="N107" s="144">
        <v>10</v>
      </c>
      <c r="O107" s="144">
        <v>10</v>
      </c>
      <c r="P107" s="144">
        <v>10</v>
      </c>
      <c r="Q107" s="144">
        <v>10</v>
      </c>
      <c r="R107" s="144">
        <v>10</v>
      </c>
      <c r="S107" s="144">
        <v>10</v>
      </c>
      <c r="T107" s="144">
        <v>10</v>
      </c>
      <c r="U107" s="144">
        <v>10</v>
      </c>
    </row>
    <row r="108" spans="2:21">
      <c r="B108" s="97" t="s">
        <v>333</v>
      </c>
      <c r="C108" s="143" t="s">
        <v>172</v>
      </c>
      <c r="D108" s="143" t="s">
        <v>7</v>
      </c>
      <c r="E108" s="143" t="s">
        <v>176</v>
      </c>
      <c r="F108" s="143" t="s">
        <v>195</v>
      </c>
      <c r="G108" s="143" t="s">
        <v>203</v>
      </c>
      <c r="H108" s="143" t="s">
        <v>335</v>
      </c>
      <c r="I108" s="95">
        <f t="shared" si="1"/>
        <v>309</v>
      </c>
      <c r="J108" s="144">
        <v>25</v>
      </c>
      <c r="K108" s="144">
        <v>25</v>
      </c>
      <c r="L108" s="144">
        <v>25</v>
      </c>
      <c r="M108" s="144">
        <v>26</v>
      </c>
      <c r="N108" s="144">
        <v>26</v>
      </c>
      <c r="O108" s="144">
        <v>26</v>
      </c>
      <c r="P108" s="144">
        <v>26</v>
      </c>
      <c r="Q108" s="144">
        <v>26</v>
      </c>
      <c r="R108" s="144">
        <v>26</v>
      </c>
      <c r="S108" s="144">
        <v>26</v>
      </c>
      <c r="T108" s="144">
        <v>26</v>
      </c>
      <c r="U108" s="144">
        <v>26</v>
      </c>
    </row>
    <row r="109" spans="2:21">
      <c r="B109" s="97" t="s">
        <v>333</v>
      </c>
      <c r="C109" s="143" t="s">
        <v>172</v>
      </c>
      <c r="D109" s="143" t="s">
        <v>7</v>
      </c>
      <c r="E109" s="143" t="s">
        <v>176</v>
      </c>
      <c r="F109" s="143" t="s">
        <v>195</v>
      </c>
      <c r="G109" s="143" t="s">
        <v>204</v>
      </c>
      <c r="H109" s="143" t="s">
        <v>335</v>
      </c>
      <c r="I109" s="95">
        <f t="shared" si="1"/>
        <v>27</v>
      </c>
      <c r="J109" s="144">
        <v>3</v>
      </c>
      <c r="K109" s="144">
        <v>3</v>
      </c>
      <c r="L109" s="144">
        <v>3</v>
      </c>
      <c r="M109" s="144">
        <v>2</v>
      </c>
      <c r="N109" s="144">
        <v>2</v>
      </c>
      <c r="O109" s="144">
        <v>2</v>
      </c>
      <c r="P109" s="144">
        <v>2</v>
      </c>
      <c r="Q109" s="144">
        <v>2</v>
      </c>
      <c r="R109" s="144">
        <v>2</v>
      </c>
      <c r="S109" s="144">
        <v>2</v>
      </c>
      <c r="T109" s="144">
        <v>2</v>
      </c>
      <c r="U109" s="144">
        <v>2</v>
      </c>
    </row>
    <row r="110" spans="2:21">
      <c r="B110" s="97" t="s">
        <v>333</v>
      </c>
      <c r="C110" s="143" t="s">
        <v>172</v>
      </c>
      <c r="D110" s="143" t="s">
        <v>7</v>
      </c>
      <c r="E110" s="143" t="s">
        <v>176</v>
      </c>
      <c r="F110" s="143" t="s">
        <v>195</v>
      </c>
      <c r="G110" s="143" t="s">
        <v>203</v>
      </c>
      <c r="H110" s="143" t="s">
        <v>281</v>
      </c>
      <c r="I110" s="95">
        <f t="shared" si="1"/>
        <v>404993</v>
      </c>
      <c r="J110" s="144">
        <v>32227</v>
      </c>
      <c r="K110" s="144">
        <v>31996</v>
      </c>
      <c r="L110" s="144">
        <v>31835</v>
      </c>
      <c r="M110" s="144">
        <v>34629</v>
      </c>
      <c r="N110" s="144">
        <v>34364</v>
      </c>
      <c r="O110" s="144">
        <v>34332</v>
      </c>
      <c r="P110" s="144">
        <v>34329</v>
      </c>
      <c r="Q110" s="144">
        <v>34250</v>
      </c>
      <c r="R110" s="144">
        <v>34264</v>
      </c>
      <c r="S110" s="144">
        <v>34285</v>
      </c>
      <c r="T110" s="144">
        <v>34221</v>
      </c>
      <c r="U110" s="144">
        <v>34261</v>
      </c>
    </row>
    <row r="111" spans="2:21">
      <c r="B111" s="97" t="s">
        <v>333</v>
      </c>
      <c r="C111" s="143" t="s">
        <v>172</v>
      </c>
      <c r="D111" s="143" t="s">
        <v>7</v>
      </c>
      <c r="E111" s="143" t="s">
        <v>176</v>
      </c>
      <c r="F111" s="143" t="s">
        <v>195</v>
      </c>
      <c r="G111" s="143" t="s">
        <v>204</v>
      </c>
      <c r="H111" s="143" t="s">
        <v>281</v>
      </c>
      <c r="I111" s="95">
        <f t="shared" si="1"/>
        <v>105203</v>
      </c>
      <c r="J111" s="144">
        <v>11014</v>
      </c>
      <c r="K111" s="144">
        <v>11173</v>
      </c>
      <c r="L111" s="144">
        <v>11156</v>
      </c>
      <c r="M111" s="144">
        <v>7990.9999999999982</v>
      </c>
      <c r="N111" s="144">
        <v>7990.9999999999982</v>
      </c>
      <c r="O111" s="144">
        <v>7990.9999999999982</v>
      </c>
      <c r="P111" s="144">
        <v>7990.9999999999982</v>
      </c>
      <c r="Q111" s="144">
        <v>7990.9999999999982</v>
      </c>
      <c r="R111" s="144">
        <v>7990.9999999999982</v>
      </c>
      <c r="S111" s="144">
        <v>7990.9999999999982</v>
      </c>
      <c r="T111" s="144">
        <v>7963</v>
      </c>
      <c r="U111" s="144">
        <v>7959.9999999999982</v>
      </c>
    </row>
    <row r="112" spans="2:21">
      <c r="B112" s="97" t="s">
        <v>333</v>
      </c>
      <c r="C112" s="143" t="s">
        <v>172</v>
      </c>
      <c r="D112" s="143" t="s">
        <v>7</v>
      </c>
      <c r="E112" s="143" t="s">
        <v>176</v>
      </c>
      <c r="F112" s="143" t="s">
        <v>195</v>
      </c>
      <c r="G112" s="143" t="s">
        <v>195</v>
      </c>
      <c r="H112" s="143" t="s">
        <v>202</v>
      </c>
      <c r="I112" s="95">
        <f t="shared" si="1"/>
        <v>431793</v>
      </c>
      <c r="J112" s="144">
        <v>36500</v>
      </c>
      <c r="K112" s="144">
        <v>36668</v>
      </c>
      <c r="L112" s="144">
        <v>34965</v>
      </c>
      <c r="M112" s="144">
        <v>38455</v>
      </c>
      <c r="N112" s="144">
        <v>37933</v>
      </c>
      <c r="O112" s="144">
        <v>35125</v>
      </c>
      <c r="P112" s="144">
        <v>34231</v>
      </c>
      <c r="Q112" s="144">
        <v>34714</v>
      </c>
      <c r="R112" s="144">
        <v>35951</v>
      </c>
      <c r="S112" s="144">
        <v>35611</v>
      </c>
      <c r="T112" s="144">
        <v>35612</v>
      </c>
      <c r="U112" s="144">
        <v>36028</v>
      </c>
    </row>
    <row r="113" spans="2:21">
      <c r="B113" s="97" t="s">
        <v>333</v>
      </c>
      <c r="C113" s="143" t="s">
        <v>172</v>
      </c>
      <c r="D113" s="143" t="s">
        <v>7</v>
      </c>
      <c r="E113" s="143" t="s">
        <v>176</v>
      </c>
      <c r="F113" s="143" t="s">
        <v>195</v>
      </c>
      <c r="G113" s="143" t="s">
        <v>195</v>
      </c>
      <c r="H113" s="143" t="s">
        <v>201</v>
      </c>
      <c r="I113" s="95">
        <f t="shared" si="1"/>
        <v>108851</v>
      </c>
      <c r="J113" s="144">
        <v>9276.0000000000018</v>
      </c>
      <c r="K113" s="144">
        <v>9368</v>
      </c>
      <c r="L113" s="144">
        <v>9327</v>
      </c>
      <c r="M113" s="144">
        <v>9357.0000000000018</v>
      </c>
      <c r="N113" s="144">
        <v>9179</v>
      </c>
      <c r="O113" s="144">
        <v>8800</v>
      </c>
      <c r="P113" s="144">
        <v>8754</v>
      </c>
      <c r="Q113" s="144">
        <v>9077</v>
      </c>
      <c r="R113" s="144">
        <v>8759</v>
      </c>
      <c r="S113" s="144">
        <v>8977</v>
      </c>
      <c r="T113" s="144">
        <v>8944.0000000000018</v>
      </c>
      <c r="U113" s="144">
        <v>9033</v>
      </c>
    </row>
    <row r="114" spans="2:21">
      <c r="B114" s="97" t="s">
        <v>333</v>
      </c>
      <c r="C114" s="143" t="s">
        <v>172</v>
      </c>
      <c r="D114" s="143" t="s">
        <v>7</v>
      </c>
      <c r="E114" s="143" t="s">
        <v>177</v>
      </c>
      <c r="F114" s="143" t="s">
        <v>195</v>
      </c>
      <c r="G114" s="143" t="s">
        <v>203</v>
      </c>
      <c r="H114" s="143" t="s">
        <v>335</v>
      </c>
      <c r="I114" s="95">
        <f t="shared" si="1"/>
        <v>12</v>
      </c>
      <c r="J114" s="144">
        <v>1</v>
      </c>
      <c r="K114" s="144">
        <v>1</v>
      </c>
      <c r="L114" s="144">
        <v>1</v>
      </c>
      <c r="M114" s="144">
        <v>1</v>
      </c>
      <c r="N114" s="144">
        <v>1</v>
      </c>
      <c r="O114" s="144">
        <v>1</v>
      </c>
      <c r="P114" s="144">
        <v>1</v>
      </c>
      <c r="Q114" s="144">
        <v>1</v>
      </c>
      <c r="R114" s="144">
        <v>1</v>
      </c>
      <c r="S114" s="144">
        <v>1</v>
      </c>
      <c r="T114" s="144">
        <v>1</v>
      </c>
      <c r="U114" s="144">
        <v>1</v>
      </c>
    </row>
    <row r="115" spans="2:21">
      <c r="B115" s="97" t="s">
        <v>333</v>
      </c>
      <c r="C115" s="143" t="s">
        <v>172</v>
      </c>
      <c r="D115" s="143" t="s">
        <v>7</v>
      </c>
      <c r="E115" s="143" t="s">
        <v>177</v>
      </c>
      <c r="F115" s="143" t="s">
        <v>195</v>
      </c>
      <c r="G115" s="143" t="s">
        <v>203</v>
      </c>
      <c r="H115" s="143" t="s">
        <v>281</v>
      </c>
      <c r="I115" s="95">
        <f t="shared" si="1"/>
        <v>1080</v>
      </c>
      <c r="J115" s="144">
        <v>143.00000000000003</v>
      </c>
      <c r="K115" s="144">
        <v>143.00000000000003</v>
      </c>
      <c r="L115" s="144">
        <v>77.000000000000043</v>
      </c>
      <c r="M115" s="144">
        <v>77.000000000000043</v>
      </c>
      <c r="N115" s="144">
        <v>77.000000000000043</v>
      </c>
      <c r="O115" s="144">
        <v>77.000000000000043</v>
      </c>
      <c r="P115" s="144">
        <v>77.999999999999886</v>
      </c>
      <c r="Q115" s="144">
        <v>79.999999999999929</v>
      </c>
      <c r="R115" s="144">
        <v>81.999999999999972</v>
      </c>
      <c r="S115" s="144">
        <v>81.999999999999972</v>
      </c>
      <c r="T115" s="144">
        <v>81.999999999999972</v>
      </c>
      <c r="U115" s="144">
        <v>81.999999999999972</v>
      </c>
    </row>
    <row r="116" spans="2:21">
      <c r="B116" s="97" t="s">
        <v>333</v>
      </c>
      <c r="C116" s="143" t="s">
        <v>172</v>
      </c>
      <c r="D116" s="143" t="s">
        <v>7</v>
      </c>
      <c r="E116" s="143" t="s">
        <v>177</v>
      </c>
      <c r="F116" s="143" t="s">
        <v>195</v>
      </c>
      <c r="G116" s="143" t="s">
        <v>195</v>
      </c>
      <c r="H116" s="143" t="s">
        <v>202</v>
      </c>
      <c r="I116" s="95">
        <f t="shared" si="1"/>
        <v>5999.9999999999991</v>
      </c>
      <c r="J116" s="144">
        <v>499.99999999999994</v>
      </c>
      <c r="K116" s="144">
        <v>499.99999999999994</v>
      </c>
      <c r="L116" s="144">
        <v>499.99999999999994</v>
      </c>
      <c r="M116" s="144">
        <v>499.99999999999994</v>
      </c>
      <c r="N116" s="144">
        <v>499.99999999999994</v>
      </c>
      <c r="O116" s="144">
        <v>499.99999999999994</v>
      </c>
      <c r="P116" s="144">
        <v>499.99999999999994</v>
      </c>
      <c r="Q116" s="144">
        <v>499.99999999999994</v>
      </c>
      <c r="R116" s="144">
        <v>499.99999999999994</v>
      </c>
      <c r="S116" s="144">
        <v>499.99999999999994</v>
      </c>
      <c r="T116" s="144">
        <v>499.99999999999994</v>
      </c>
      <c r="U116" s="144">
        <v>499.99999999999994</v>
      </c>
    </row>
    <row r="117" spans="2:21">
      <c r="B117" s="97" t="s">
        <v>333</v>
      </c>
      <c r="C117" s="143" t="s">
        <v>172</v>
      </c>
      <c r="D117" s="143" t="s">
        <v>7</v>
      </c>
      <c r="E117" s="143" t="s">
        <v>177</v>
      </c>
      <c r="F117" s="143" t="s">
        <v>195</v>
      </c>
      <c r="G117" s="143" t="s">
        <v>195</v>
      </c>
      <c r="H117" s="143" t="s">
        <v>201</v>
      </c>
      <c r="I117" s="95">
        <f t="shared" si="1"/>
        <v>601</v>
      </c>
      <c r="J117" s="144">
        <v>53.999999999999993</v>
      </c>
      <c r="K117" s="144">
        <v>57</v>
      </c>
      <c r="L117" s="144">
        <v>52</v>
      </c>
      <c r="M117" s="144">
        <v>47.999999999999993</v>
      </c>
      <c r="N117" s="144">
        <v>49</v>
      </c>
      <c r="O117" s="144">
        <v>49</v>
      </c>
      <c r="P117" s="144">
        <v>44</v>
      </c>
      <c r="Q117" s="144">
        <v>49</v>
      </c>
      <c r="R117" s="144">
        <v>47.999999999999993</v>
      </c>
      <c r="S117" s="144">
        <v>49.999999999999993</v>
      </c>
      <c r="T117" s="144">
        <v>49</v>
      </c>
      <c r="U117" s="144">
        <v>52</v>
      </c>
    </row>
    <row r="118" spans="2:21">
      <c r="B118" s="97" t="s">
        <v>333</v>
      </c>
      <c r="C118" s="143" t="s">
        <v>287</v>
      </c>
      <c r="D118" s="143" t="s">
        <v>7</v>
      </c>
      <c r="E118" s="143" t="s">
        <v>177</v>
      </c>
      <c r="F118" s="143" t="s">
        <v>195</v>
      </c>
      <c r="G118" s="143" t="s">
        <v>195</v>
      </c>
      <c r="H118" s="143" t="s">
        <v>350</v>
      </c>
      <c r="I118" s="95">
        <f t="shared" si="1"/>
        <v>12</v>
      </c>
      <c r="J118" s="144">
        <v>1</v>
      </c>
      <c r="K118" s="144">
        <v>1</v>
      </c>
      <c r="L118" s="144">
        <v>1</v>
      </c>
      <c r="M118" s="144">
        <v>1</v>
      </c>
      <c r="N118" s="144">
        <v>1</v>
      </c>
      <c r="O118" s="144">
        <v>1</v>
      </c>
      <c r="P118" s="144">
        <v>1</v>
      </c>
      <c r="Q118" s="144">
        <v>1</v>
      </c>
      <c r="R118" s="144">
        <v>1</v>
      </c>
      <c r="S118" s="144">
        <v>1</v>
      </c>
      <c r="T118" s="144">
        <v>1</v>
      </c>
      <c r="U118" s="144">
        <v>1</v>
      </c>
    </row>
    <row r="119" spans="2:21">
      <c r="B119" s="97" t="s">
        <v>333</v>
      </c>
      <c r="C119" s="143" t="s">
        <v>287</v>
      </c>
      <c r="D119" s="143" t="s">
        <v>7</v>
      </c>
      <c r="E119" s="143" t="s">
        <v>177</v>
      </c>
      <c r="F119" s="143" t="s">
        <v>195</v>
      </c>
      <c r="G119" s="143" t="s">
        <v>195</v>
      </c>
      <c r="H119" s="143" t="s">
        <v>335</v>
      </c>
      <c r="I119" s="95">
        <f t="shared" si="1"/>
        <v>12</v>
      </c>
      <c r="J119" s="144">
        <v>1</v>
      </c>
      <c r="K119" s="144">
        <v>1</v>
      </c>
      <c r="L119" s="144">
        <v>1</v>
      </c>
      <c r="M119" s="144">
        <v>1</v>
      </c>
      <c r="N119" s="144">
        <v>1</v>
      </c>
      <c r="O119" s="144">
        <v>1</v>
      </c>
      <c r="P119" s="144">
        <v>1</v>
      </c>
      <c r="Q119" s="144">
        <v>1</v>
      </c>
      <c r="R119" s="144">
        <v>1</v>
      </c>
      <c r="S119" s="144">
        <v>1</v>
      </c>
      <c r="T119" s="144">
        <v>1</v>
      </c>
      <c r="U119" s="144">
        <v>1</v>
      </c>
    </row>
    <row r="120" spans="2:21">
      <c r="B120" s="97" t="s">
        <v>333</v>
      </c>
      <c r="C120" s="143" t="s">
        <v>287</v>
      </c>
      <c r="D120" s="143" t="s">
        <v>7</v>
      </c>
      <c r="E120" s="143" t="s">
        <v>177</v>
      </c>
      <c r="F120" s="143" t="s">
        <v>195</v>
      </c>
      <c r="G120" s="143" t="s">
        <v>195</v>
      </c>
      <c r="H120" s="143" t="s">
        <v>281</v>
      </c>
      <c r="I120" s="95">
        <f t="shared" si="1"/>
        <v>827586</v>
      </c>
      <c r="J120" s="144">
        <v>68908</v>
      </c>
      <c r="K120" s="144">
        <v>68559.999999999985</v>
      </c>
      <c r="L120" s="144">
        <v>68559.999999999985</v>
      </c>
      <c r="M120" s="144">
        <v>68559.999999999985</v>
      </c>
      <c r="N120" s="144">
        <v>68559.999999999985</v>
      </c>
      <c r="O120" s="144">
        <v>68559.999999999985</v>
      </c>
      <c r="P120" s="144">
        <v>68627</v>
      </c>
      <c r="Q120" s="144">
        <v>69197</v>
      </c>
      <c r="R120" s="144">
        <v>69590</v>
      </c>
      <c r="S120" s="144">
        <v>69488</v>
      </c>
      <c r="T120" s="144">
        <v>69488</v>
      </c>
      <c r="U120" s="144">
        <v>69488</v>
      </c>
    </row>
    <row r="121" spans="2:21">
      <c r="B121" s="97" t="s">
        <v>333</v>
      </c>
      <c r="C121" s="143" t="s">
        <v>287</v>
      </c>
      <c r="D121" s="143" t="s">
        <v>7</v>
      </c>
      <c r="E121" s="143" t="s">
        <v>177</v>
      </c>
      <c r="F121" s="143" t="s">
        <v>195</v>
      </c>
      <c r="G121" s="143" t="s">
        <v>195</v>
      </c>
      <c r="H121" s="143" t="s">
        <v>202</v>
      </c>
      <c r="I121" s="95">
        <f t="shared" si="1"/>
        <v>815013</v>
      </c>
      <c r="J121" s="144">
        <v>68280</v>
      </c>
      <c r="K121" s="144">
        <v>66227</v>
      </c>
      <c r="L121" s="144">
        <v>66859</v>
      </c>
      <c r="M121" s="144">
        <v>66315</v>
      </c>
      <c r="N121" s="144">
        <v>66246</v>
      </c>
      <c r="O121" s="144">
        <v>68050</v>
      </c>
      <c r="P121" s="144">
        <v>68414</v>
      </c>
      <c r="Q121" s="144">
        <v>69555</v>
      </c>
      <c r="R121" s="144">
        <v>69421</v>
      </c>
      <c r="S121" s="144">
        <v>68512</v>
      </c>
      <c r="T121" s="144">
        <v>68862</v>
      </c>
      <c r="U121" s="144">
        <v>68272</v>
      </c>
    </row>
    <row r="122" spans="2:21">
      <c r="B122" s="97" t="s">
        <v>333</v>
      </c>
      <c r="C122" s="143" t="s">
        <v>287</v>
      </c>
      <c r="D122" s="143" t="s">
        <v>7</v>
      </c>
      <c r="E122" s="143" t="s">
        <v>177</v>
      </c>
      <c r="F122" s="143" t="s">
        <v>195</v>
      </c>
      <c r="G122" s="143" t="s">
        <v>195</v>
      </c>
      <c r="H122" s="143" t="s">
        <v>201</v>
      </c>
      <c r="I122" s="95">
        <f t="shared" si="1"/>
        <v>22838.999999999996</v>
      </c>
      <c r="J122" s="144">
        <v>2000.9999999999998</v>
      </c>
      <c r="K122" s="144">
        <v>2250.9999999999995</v>
      </c>
      <c r="L122" s="144">
        <v>2550</v>
      </c>
      <c r="M122" s="144">
        <v>1824.9999999999998</v>
      </c>
      <c r="N122" s="144">
        <v>1312.9999999999998</v>
      </c>
      <c r="O122" s="144">
        <v>1154</v>
      </c>
      <c r="P122" s="144">
        <v>897</v>
      </c>
      <c r="Q122" s="144">
        <v>912</v>
      </c>
      <c r="R122" s="144">
        <v>2144</v>
      </c>
      <c r="S122" s="144">
        <v>2205.9999999999995</v>
      </c>
      <c r="T122" s="144">
        <v>2854.9999999999995</v>
      </c>
      <c r="U122" s="144">
        <v>2730.9999999999995</v>
      </c>
    </row>
    <row r="123" spans="2:21">
      <c r="B123" s="97" t="s">
        <v>333</v>
      </c>
      <c r="C123" s="143" t="s">
        <v>169</v>
      </c>
      <c r="D123" s="143" t="s">
        <v>4</v>
      </c>
      <c r="E123" s="143" t="s">
        <v>195</v>
      </c>
      <c r="F123" s="143" t="s">
        <v>195</v>
      </c>
      <c r="G123" s="143" t="s">
        <v>195</v>
      </c>
      <c r="H123" s="143" t="s">
        <v>337</v>
      </c>
      <c r="I123" s="95">
        <f t="shared" si="1"/>
        <v>11358.954476087458</v>
      </c>
      <c r="J123" s="144">
        <v>954.46549560853191</v>
      </c>
      <c r="K123" s="144">
        <v>951.90213299874529</v>
      </c>
      <c r="L123" s="144">
        <v>951.69761606022576</v>
      </c>
      <c r="M123" s="144">
        <v>949.73274780426607</v>
      </c>
      <c r="N123" s="144">
        <v>948.26725219573416</v>
      </c>
      <c r="O123" s="144">
        <v>947.59974905897127</v>
      </c>
      <c r="P123" s="144">
        <v>945.95770551927626</v>
      </c>
      <c r="Q123" s="144">
        <v>945.02434887448294</v>
      </c>
      <c r="R123" s="144">
        <v>944.33795712484255</v>
      </c>
      <c r="S123" s="144">
        <v>940.22638089006239</v>
      </c>
      <c r="T123" s="144">
        <v>940.01227666480372</v>
      </c>
      <c r="U123" s="144">
        <v>939.73081328751437</v>
      </c>
    </row>
    <row r="124" spans="2:21">
      <c r="B124" s="97" t="s">
        <v>333</v>
      </c>
      <c r="C124" s="143" t="s">
        <v>169</v>
      </c>
      <c r="D124" s="143" t="s">
        <v>4</v>
      </c>
      <c r="E124" s="143" t="s">
        <v>195</v>
      </c>
      <c r="F124" s="143" t="s">
        <v>195</v>
      </c>
      <c r="G124" s="143" t="s">
        <v>195</v>
      </c>
      <c r="H124" s="143" t="s">
        <v>338</v>
      </c>
      <c r="I124" s="95">
        <f t="shared" si="1"/>
        <v>526.33326791014065</v>
      </c>
      <c r="J124" s="144">
        <v>43.033333333333331</v>
      </c>
      <c r="K124" s="144">
        <v>43.066666666666663</v>
      </c>
      <c r="L124" s="144">
        <v>44</v>
      </c>
      <c r="M124" s="144">
        <v>44</v>
      </c>
      <c r="N124" s="144">
        <v>44</v>
      </c>
      <c r="O124" s="144">
        <v>44.033333333333331</v>
      </c>
      <c r="P124" s="144">
        <v>44.000926756352769</v>
      </c>
      <c r="Q124" s="144">
        <v>43.997583457897363</v>
      </c>
      <c r="R124" s="144">
        <v>44</v>
      </c>
      <c r="S124" s="144">
        <v>43.99971187799224</v>
      </c>
      <c r="T124" s="144">
        <v>44.001712484564891</v>
      </c>
      <c r="U124" s="144">
        <v>44.2</v>
      </c>
    </row>
    <row r="125" spans="2:21">
      <c r="B125" s="97" t="s">
        <v>333</v>
      </c>
      <c r="C125" s="143" t="s">
        <v>169</v>
      </c>
      <c r="D125" s="143" t="s">
        <v>4</v>
      </c>
      <c r="E125" s="143" t="s">
        <v>195</v>
      </c>
      <c r="F125" s="143" t="s">
        <v>195</v>
      </c>
      <c r="G125" s="143" t="s">
        <v>195</v>
      </c>
      <c r="H125" s="143" t="s">
        <v>339</v>
      </c>
      <c r="I125" s="95">
        <f t="shared" si="1"/>
        <v>24.000151301886131</v>
      </c>
      <c r="J125" s="144">
        <v>2</v>
      </c>
      <c r="K125" s="144">
        <v>2</v>
      </c>
      <c r="L125" s="144">
        <v>2</v>
      </c>
      <c r="M125" s="144">
        <v>2</v>
      </c>
      <c r="N125" s="144">
        <v>2</v>
      </c>
      <c r="O125" s="144">
        <v>2</v>
      </c>
      <c r="P125" s="144">
        <v>2</v>
      </c>
      <c r="Q125" s="144">
        <v>2.0006167131961403</v>
      </c>
      <c r="R125" s="144">
        <v>2</v>
      </c>
      <c r="S125" s="144">
        <v>2</v>
      </c>
      <c r="T125" s="144">
        <v>1.9995345886899889</v>
      </c>
      <c r="U125" s="144">
        <v>2</v>
      </c>
    </row>
    <row r="126" spans="2:21">
      <c r="B126" s="97" t="s">
        <v>333</v>
      </c>
      <c r="C126" s="143" t="s">
        <v>169</v>
      </c>
      <c r="D126" s="143" t="s">
        <v>5</v>
      </c>
      <c r="E126" s="143" t="s">
        <v>195</v>
      </c>
      <c r="F126" s="143" t="s">
        <v>195</v>
      </c>
      <c r="G126" s="143" t="s">
        <v>195</v>
      </c>
      <c r="H126" s="143" t="s">
        <v>337</v>
      </c>
      <c r="I126" s="95">
        <f t="shared" si="1"/>
        <v>13292.36576712665</v>
      </c>
      <c r="J126" s="144">
        <v>1113.302383939774</v>
      </c>
      <c r="K126" s="144">
        <v>1109.8971141781683</v>
      </c>
      <c r="L126" s="144">
        <v>1108.2634880803009</v>
      </c>
      <c r="M126" s="144">
        <v>1107.0966122961104</v>
      </c>
      <c r="N126" s="144">
        <v>1110.9623588456714</v>
      </c>
      <c r="O126" s="144">
        <v>1111.1631116687572</v>
      </c>
      <c r="P126" s="144">
        <v>1107.0901599788604</v>
      </c>
      <c r="Q126" s="144">
        <v>1105.894837355087</v>
      </c>
      <c r="R126" s="144">
        <v>1106.4691046658263</v>
      </c>
      <c r="S126" s="144">
        <v>1105.2053347662613</v>
      </c>
      <c r="T126" s="144">
        <v>1104.0224068272059</v>
      </c>
      <c r="U126" s="144">
        <v>1102.9988545246276</v>
      </c>
    </row>
    <row r="127" spans="2:21">
      <c r="B127" s="97" t="s">
        <v>333</v>
      </c>
      <c r="C127" s="143" t="s">
        <v>169</v>
      </c>
      <c r="D127" s="143" t="s">
        <v>5</v>
      </c>
      <c r="E127" s="143" t="s">
        <v>195</v>
      </c>
      <c r="F127" s="143" t="s">
        <v>195</v>
      </c>
      <c r="G127" s="143" t="s">
        <v>195</v>
      </c>
      <c r="H127" s="143" t="s">
        <v>338</v>
      </c>
      <c r="I127" s="95">
        <f t="shared" si="1"/>
        <v>4567.0003983882498</v>
      </c>
      <c r="J127" s="144">
        <v>379.30000000000007</v>
      </c>
      <c r="K127" s="144">
        <v>381.63333333333327</v>
      </c>
      <c r="L127" s="144">
        <v>380.9666666666667</v>
      </c>
      <c r="M127" s="144">
        <v>380.89999999999992</v>
      </c>
      <c r="N127" s="144">
        <v>381.16666666666669</v>
      </c>
      <c r="O127" s="144">
        <v>381.5333333333333</v>
      </c>
      <c r="P127" s="144">
        <v>380.14745391131055</v>
      </c>
      <c r="Q127" s="144">
        <v>379.82981564524152</v>
      </c>
      <c r="R127" s="144">
        <v>379.86547085201801</v>
      </c>
      <c r="S127" s="144">
        <v>380.23218409479858</v>
      </c>
      <c r="T127" s="144">
        <v>380.42547388488117</v>
      </c>
      <c r="U127" s="144">
        <v>381</v>
      </c>
    </row>
    <row r="128" spans="2:21">
      <c r="B128" s="97" t="s">
        <v>333</v>
      </c>
      <c r="C128" s="143" t="s">
        <v>169</v>
      </c>
      <c r="D128" s="143" t="s">
        <v>5</v>
      </c>
      <c r="E128" s="143" t="s">
        <v>195</v>
      </c>
      <c r="F128" s="143" t="s">
        <v>195</v>
      </c>
      <c r="G128" s="143" t="s">
        <v>195</v>
      </c>
      <c r="H128" s="143" t="s">
        <v>339</v>
      </c>
      <c r="I128" s="95">
        <f t="shared" si="1"/>
        <v>953.11491762270532</v>
      </c>
      <c r="J128" s="144">
        <v>79.833490122295387</v>
      </c>
      <c r="K128" s="144">
        <v>80</v>
      </c>
      <c r="L128" s="144">
        <v>80</v>
      </c>
      <c r="M128" s="144">
        <v>80</v>
      </c>
      <c r="N128" s="144">
        <v>80</v>
      </c>
      <c r="O128" s="144">
        <v>79.451552210724373</v>
      </c>
      <c r="P128" s="144">
        <v>78.997355025406975</v>
      </c>
      <c r="Q128" s="144">
        <v>78.997743492064629</v>
      </c>
      <c r="R128" s="144">
        <v>79</v>
      </c>
      <c r="S128" s="144">
        <v>78.83241431195097</v>
      </c>
      <c r="T128" s="144">
        <v>79.002362460263001</v>
      </c>
      <c r="U128" s="144">
        <v>79</v>
      </c>
    </row>
    <row r="129" spans="2:21">
      <c r="B129" s="97" t="s">
        <v>333</v>
      </c>
      <c r="C129" s="143" t="s">
        <v>169</v>
      </c>
      <c r="D129" s="143" t="s">
        <v>7</v>
      </c>
      <c r="E129" s="143" t="s">
        <v>195</v>
      </c>
      <c r="F129" s="143" t="s">
        <v>195</v>
      </c>
      <c r="G129" s="143" t="s">
        <v>195</v>
      </c>
      <c r="H129" s="143" t="s">
        <v>337</v>
      </c>
      <c r="I129" s="95">
        <f t="shared" si="1"/>
        <v>553.77376815090633</v>
      </c>
      <c r="J129" s="144">
        <v>46</v>
      </c>
      <c r="K129" s="144">
        <v>46</v>
      </c>
      <c r="L129" s="144">
        <v>46</v>
      </c>
      <c r="M129" s="144">
        <v>46</v>
      </c>
      <c r="N129" s="144">
        <v>46</v>
      </c>
      <c r="O129" s="144">
        <v>46.100376411543287</v>
      </c>
      <c r="P129" s="144">
        <v>46.13408889894481</v>
      </c>
      <c r="Q129" s="144">
        <v>46.001832217600374</v>
      </c>
      <c r="R129" s="144">
        <v>46</v>
      </c>
      <c r="S129" s="144">
        <v>45.999734215046018</v>
      </c>
      <c r="T129" s="144">
        <v>46.470153360807409</v>
      </c>
      <c r="U129" s="144">
        <v>47.067583046964486</v>
      </c>
    </row>
    <row r="130" spans="2:21">
      <c r="B130" s="97" t="s">
        <v>333</v>
      </c>
      <c r="C130" s="143" t="s">
        <v>169</v>
      </c>
      <c r="D130" s="143" t="s">
        <v>7</v>
      </c>
      <c r="E130" s="143" t="s">
        <v>195</v>
      </c>
      <c r="F130" s="143" t="s">
        <v>195</v>
      </c>
      <c r="G130" s="143" t="s">
        <v>195</v>
      </c>
      <c r="H130" s="143" t="s">
        <v>338</v>
      </c>
      <c r="I130" s="95">
        <f t="shared" si="1"/>
        <v>432.00177682459218</v>
      </c>
      <c r="J130" s="144">
        <v>36</v>
      </c>
      <c r="K130" s="144">
        <v>36</v>
      </c>
      <c r="L130" s="144">
        <v>36</v>
      </c>
      <c r="M130" s="144">
        <v>36</v>
      </c>
      <c r="N130" s="144">
        <v>36</v>
      </c>
      <c r="O130" s="144">
        <v>36</v>
      </c>
      <c r="P130" s="144">
        <v>36.001968111609365</v>
      </c>
      <c r="Q130" s="144">
        <v>36.000842052815145</v>
      </c>
      <c r="R130" s="144">
        <v>36</v>
      </c>
      <c r="S130" s="144">
        <v>35.999680466194405</v>
      </c>
      <c r="T130" s="144">
        <v>35.999286193973276</v>
      </c>
      <c r="U130" s="144">
        <v>36</v>
      </c>
    </row>
    <row r="131" spans="2:21">
      <c r="B131" s="97" t="s">
        <v>333</v>
      </c>
      <c r="C131" s="143" t="s">
        <v>169</v>
      </c>
      <c r="D131" s="143" t="s">
        <v>7</v>
      </c>
      <c r="E131" s="143" t="s">
        <v>195</v>
      </c>
      <c r="F131" s="143" t="s">
        <v>195</v>
      </c>
      <c r="G131" s="143" t="s">
        <v>195</v>
      </c>
      <c r="H131" s="143" t="s">
        <v>339</v>
      </c>
      <c r="I131" s="95">
        <f t="shared" si="1"/>
        <v>36.000950710147876</v>
      </c>
      <c r="J131" s="144">
        <v>3</v>
      </c>
      <c r="K131" s="144">
        <v>3</v>
      </c>
      <c r="L131" s="144">
        <v>3</v>
      </c>
      <c r="M131" s="144">
        <v>3</v>
      </c>
      <c r="N131" s="144">
        <v>3</v>
      </c>
      <c r="O131" s="144">
        <v>3</v>
      </c>
      <c r="P131" s="144">
        <v>3</v>
      </c>
      <c r="Q131" s="144">
        <v>3.0009094058160799</v>
      </c>
      <c r="R131" s="144">
        <v>3</v>
      </c>
      <c r="S131" s="144">
        <v>3</v>
      </c>
      <c r="T131" s="144">
        <v>3.0000413043317922</v>
      </c>
      <c r="U131" s="144">
        <v>3</v>
      </c>
    </row>
    <row r="132" spans="2:21">
      <c r="B132" s="97" t="s">
        <v>333</v>
      </c>
      <c r="C132" s="143" t="s">
        <v>170</v>
      </c>
      <c r="D132" s="143" t="s">
        <v>167</v>
      </c>
      <c r="E132" s="143" t="s">
        <v>195</v>
      </c>
      <c r="F132" s="143" t="s">
        <v>195</v>
      </c>
      <c r="G132" s="143" t="s">
        <v>195</v>
      </c>
      <c r="H132" s="143" t="s">
        <v>337</v>
      </c>
      <c r="I132" s="95">
        <f t="shared" si="1"/>
        <v>382.93389518695301</v>
      </c>
      <c r="J132" s="144">
        <v>30.93333333333333</v>
      </c>
      <c r="K132" s="144">
        <v>32</v>
      </c>
      <c r="L132" s="144">
        <v>32</v>
      </c>
      <c r="M132" s="144">
        <v>32</v>
      </c>
      <c r="N132" s="144">
        <v>32</v>
      </c>
      <c r="O132" s="144">
        <v>32</v>
      </c>
      <c r="P132" s="144">
        <v>31.99954824411865</v>
      </c>
      <c r="Q132" s="144">
        <v>32.000988748721454</v>
      </c>
      <c r="R132" s="144">
        <v>32</v>
      </c>
      <c r="S132" s="144">
        <v>32</v>
      </c>
      <c r="T132" s="144">
        <v>32.000024860779632</v>
      </c>
      <c r="U132" s="144">
        <v>32</v>
      </c>
    </row>
    <row r="133" spans="2:21">
      <c r="B133" s="97" t="s">
        <v>333</v>
      </c>
      <c r="C133" s="143" t="s">
        <v>170</v>
      </c>
      <c r="D133" s="143" t="s">
        <v>167</v>
      </c>
      <c r="E133" s="143" t="s">
        <v>195</v>
      </c>
      <c r="F133" s="143" t="s">
        <v>195</v>
      </c>
      <c r="G133" s="143" t="s">
        <v>195</v>
      </c>
      <c r="H133" s="143" t="s">
        <v>338</v>
      </c>
      <c r="I133" s="95">
        <f t="shared" ref="I133:I146" si="2">SUM(J133:U133)</f>
        <v>3558.2369917005844</v>
      </c>
      <c r="J133" s="144">
        <v>293</v>
      </c>
      <c r="K133" s="144">
        <v>293</v>
      </c>
      <c r="L133" s="144">
        <v>293</v>
      </c>
      <c r="M133" s="144">
        <v>293</v>
      </c>
      <c r="N133" s="144">
        <v>293</v>
      </c>
      <c r="O133" s="144">
        <v>293</v>
      </c>
      <c r="P133" s="144">
        <v>296.46334210758943</v>
      </c>
      <c r="Q133" s="144">
        <v>300.25604416921226</v>
      </c>
      <c r="R133" s="144">
        <v>300.51720310765813</v>
      </c>
      <c r="S133" s="144">
        <v>301.00062452561195</v>
      </c>
      <c r="T133" s="144">
        <v>300.99977779051267</v>
      </c>
      <c r="U133" s="144">
        <v>301</v>
      </c>
    </row>
    <row r="134" spans="2:21">
      <c r="B134" s="97" t="s">
        <v>333</v>
      </c>
      <c r="C134" s="143" t="s">
        <v>170</v>
      </c>
      <c r="D134" s="143" t="s">
        <v>167</v>
      </c>
      <c r="E134" s="143" t="s">
        <v>195</v>
      </c>
      <c r="F134" s="143" t="s">
        <v>195</v>
      </c>
      <c r="G134" s="143" t="s">
        <v>195</v>
      </c>
      <c r="H134" s="143" t="s">
        <v>339</v>
      </c>
      <c r="I134" s="95">
        <f t="shared" si="2"/>
        <v>670.30171191440525</v>
      </c>
      <c r="J134" s="144">
        <v>55</v>
      </c>
      <c r="K134" s="144">
        <v>55</v>
      </c>
      <c r="L134" s="144">
        <v>55.533190578158454</v>
      </c>
      <c r="M134" s="144">
        <v>56</v>
      </c>
      <c r="N134" s="144">
        <v>56</v>
      </c>
      <c r="O134" s="144">
        <v>56.5</v>
      </c>
      <c r="P134" s="144">
        <v>56.267404337513803</v>
      </c>
      <c r="Q134" s="144">
        <v>56.000273140283468</v>
      </c>
      <c r="R134" s="144">
        <v>56</v>
      </c>
      <c r="S134" s="144">
        <v>55.999834642149608</v>
      </c>
      <c r="T134" s="144">
        <v>56.001009216299806</v>
      </c>
      <c r="U134" s="144">
        <v>56</v>
      </c>
    </row>
    <row r="135" spans="2:21">
      <c r="B135" s="97" t="s">
        <v>333</v>
      </c>
      <c r="C135" s="143" t="s">
        <v>170</v>
      </c>
      <c r="D135" s="143" t="s">
        <v>167</v>
      </c>
      <c r="E135" s="143" t="s">
        <v>195</v>
      </c>
      <c r="F135" s="143" t="s">
        <v>195</v>
      </c>
      <c r="G135" s="143" t="s">
        <v>195</v>
      </c>
      <c r="H135" s="143" t="s">
        <v>340</v>
      </c>
      <c r="I135" s="95">
        <f t="shared" si="2"/>
        <v>2337.4062264139297</v>
      </c>
      <c r="J135" s="144">
        <v>194</v>
      </c>
      <c r="K135" s="144">
        <v>194</v>
      </c>
      <c r="L135" s="144">
        <v>194</v>
      </c>
      <c r="M135" s="144">
        <v>193.53209109730849</v>
      </c>
      <c r="N135" s="144">
        <v>190.96894409937889</v>
      </c>
      <c r="O135" s="144">
        <v>195.19047619047618</v>
      </c>
      <c r="P135" s="144">
        <v>195.00357789855067</v>
      </c>
      <c r="Q135" s="144">
        <v>195.67899844720495</v>
      </c>
      <c r="R135" s="144">
        <v>196</v>
      </c>
      <c r="S135" s="144">
        <v>195.99944457436857</v>
      </c>
      <c r="T135" s="144">
        <v>195.99901777362024</v>
      </c>
      <c r="U135" s="144">
        <v>197.0336763330215</v>
      </c>
    </row>
    <row r="136" spans="2:21">
      <c r="B136" s="97" t="s">
        <v>333</v>
      </c>
      <c r="C136" s="143" t="s">
        <v>170</v>
      </c>
      <c r="D136" s="143" t="s">
        <v>167</v>
      </c>
      <c r="E136" s="143" t="s">
        <v>195</v>
      </c>
      <c r="F136" s="143" t="s">
        <v>195</v>
      </c>
      <c r="G136" s="143" t="s">
        <v>195</v>
      </c>
      <c r="H136" s="143" t="s">
        <v>341</v>
      </c>
      <c r="I136" s="95">
        <f t="shared" si="2"/>
        <v>2940.6303782198192</v>
      </c>
      <c r="J136" s="144">
        <v>238.18810916179336</v>
      </c>
      <c r="K136" s="144">
        <v>240.33333333333334</v>
      </c>
      <c r="L136" s="144">
        <v>243</v>
      </c>
      <c r="M136" s="144">
        <v>243</v>
      </c>
      <c r="N136" s="144">
        <v>243</v>
      </c>
      <c r="O136" s="144">
        <v>244.1335282651072</v>
      </c>
      <c r="P136" s="144">
        <v>243.26675428075151</v>
      </c>
      <c r="Q136" s="144">
        <v>243.0005595441007</v>
      </c>
      <c r="R136" s="144">
        <v>249.70951913640823</v>
      </c>
      <c r="S136" s="144">
        <v>251.00071655781531</v>
      </c>
      <c r="T136" s="144">
        <v>250.99785794050965</v>
      </c>
      <c r="U136" s="144">
        <v>251</v>
      </c>
    </row>
    <row r="137" spans="2:21">
      <c r="B137" s="97" t="s">
        <v>333</v>
      </c>
      <c r="C137" s="143" t="s">
        <v>170</v>
      </c>
      <c r="D137" s="143" t="s">
        <v>167</v>
      </c>
      <c r="E137" s="143" t="s">
        <v>195</v>
      </c>
      <c r="F137" s="143" t="s">
        <v>195</v>
      </c>
      <c r="G137" s="143" t="s">
        <v>195</v>
      </c>
      <c r="H137" s="143" t="s">
        <v>342</v>
      </c>
      <c r="I137" s="95">
        <f t="shared" si="2"/>
        <v>1226.7485812663319</v>
      </c>
      <c r="J137" s="144">
        <v>100</v>
      </c>
      <c r="K137" s="144">
        <v>100</v>
      </c>
      <c r="L137" s="144">
        <v>100</v>
      </c>
      <c r="M137" s="144">
        <v>100.24181963288109</v>
      </c>
      <c r="N137" s="144">
        <v>101</v>
      </c>
      <c r="O137" s="144">
        <v>101.50039904229848</v>
      </c>
      <c r="P137" s="144">
        <v>102.00151847954291</v>
      </c>
      <c r="Q137" s="144">
        <v>102.00075891873983</v>
      </c>
      <c r="R137" s="144">
        <v>105</v>
      </c>
      <c r="S137" s="144">
        <v>105.00020098516606</v>
      </c>
      <c r="T137" s="144">
        <v>105.00388420770349</v>
      </c>
      <c r="U137" s="144">
        <v>105</v>
      </c>
    </row>
    <row r="138" spans="2:21">
      <c r="B138" s="97" t="s">
        <v>333</v>
      </c>
      <c r="C138" s="143" t="s">
        <v>170</v>
      </c>
      <c r="D138" s="143" t="s">
        <v>167</v>
      </c>
      <c r="E138" s="143" t="s">
        <v>195</v>
      </c>
      <c r="F138" s="143" t="s">
        <v>195</v>
      </c>
      <c r="G138" s="143" t="s">
        <v>195</v>
      </c>
      <c r="H138" s="143" t="s">
        <v>343</v>
      </c>
      <c r="I138" s="95">
        <f t="shared" si="2"/>
        <v>26579.096109647213</v>
      </c>
      <c r="J138" s="144">
        <v>2217</v>
      </c>
      <c r="K138" s="144">
        <v>2217</v>
      </c>
      <c r="L138" s="144">
        <v>2217</v>
      </c>
      <c r="M138" s="144">
        <v>2217</v>
      </c>
      <c r="N138" s="144">
        <v>2214</v>
      </c>
      <c r="O138" s="144">
        <v>2214</v>
      </c>
      <c r="P138" s="144">
        <v>2213.5192391843398</v>
      </c>
      <c r="Q138" s="144">
        <v>2212.9951223781322</v>
      </c>
      <c r="R138" s="144">
        <v>2213</v>
      </c>
      <c r="S138" s="144">
        <v>2213.0015112488759</v>
      </c>
      <c r="T138" s="144">
        <v>2213.2795534645657</v>
      </c>
      <c r="U138" s="144">
        <v>2217.3006833712984</v>
      </c>
    </row>
    <row r="139" spans="2:21">
      <c r="B139" s="97" t="s">
        <v>333</v>
      </c>
      <c r="C139" s="143" t="s">
        <v>170</v>
      </c>
      <c r="D139" s="143" t="s">
        <v>167</v>
      </c>
      <c r="E139" s="143" t="s">
        <v>195</v>
      </c>
      <c r="F139" s="143" t="s">
        <v>195</v>
      </c>
      <c r="G139" s="143" t="s">
        <v>195</v>
      </c>
      <c r="H139" s="143" t="s">
        <v>344</v>
      </c>
      <c r="I139" s="95">
        <f t="shared" si="2"/>
        <v>20543.462638465189</v>
      </c>
      <c r="J139" s="144">
        <v>1709</v>
      </c>
      <c r="K139" s="144">
        <v>1709.7333333333333</v>
      </c>
      <c r="L139" s="144">
        <v>1711</v>
      </c>
      <c r="M139" s="144">
        <v>1711</v>
      </c>
      <c r="N139" s="144">
        <v>1713</v>
      </c>
      <c r="O139" s="144">
        <v>1713</v>
      </c>
      <c r="P139" s="144">
        <v>1712.9986129753916</v>
      </c>
      <c r="Q139" s="144">
        <v>1713.0034601043999</v>
      </c>
      <c r="R139" s="144">
        <v>1713</v>
      </c>
      <c r="S139" s="144">
        <v>1713.000230492848</v>
      </c>
      <c r="T139" s="144">
        <v>1712.7270015592164</v>
      </c>
      <c r="U139" s="144">
        <v>1712</v>
      </c>
    </row>
    <row r="140" spans="2:21">
      <c r="B140" s="97" t="s">
        <v>333</v>
      </c>
      <c r="C140" s="143" t="s">
        <v>170</v>
      </c>
      <c r="D140" s="143" t="s">
        <v>167</v>
      </c>
      <c r="E140" s="143" t="s">
        <v>195</v>
      </c>
      <c r="F140" s="143" t="s">
        <v>195</v>
      </c>
      <c r="G140" s="143" t="s">
        <v>195</v>
      </c>
      <c r="H140" s="143" t="s">
        <v>345</v>
      </c>
      <c r="I140" s="95">
        <f t="shared" si="2"/>
        <v>983.99704050185335</v>
      </c>
      <c r="J140" s="144">
        <v>82</v>
      </c>
      <c r="K140" s="144">
        <v>82</v>
      </c>
      <c r="L140" s="144">
        <v>82</v>
      </c>
      <c r="M140" s="144">
        <v>82</v>
      </c>
      <c r="N140" s="144">
        <v>82</v>
      </c>
      <c r="O140" s="144">
        <v>82</v>
      </c>
      <c r="P140" s="144">
        <v>81.999119835112836</v>
      </c>
      <c r="Q140" s="144">
        <v>81.999270215043282</v>
      </c>
      <c r="R140" s="144">
        <v>81.999999999999986</v>
      </c>
      <c r="S140" s="144">
        <v>81.999426537548388</v>
      </c>
      <c r="T140" s="144">
        <v>81.999223914148843</v>
      </c>
      <c r="U140" s="144">
        <v>82</v>
      </c>
    </row>
    <row r="141" spans="2:21">
      <c r="B141" s="97" t="s">
        <v>333</v>
      </c>
      <c r="C141" s="143" t="s">
        <v>170</v>
      </c>
      <c r="D141" s="143" t="s">
        <v>167</v>
      </c>
      <c r="E141" s="143" t="s">
        <v>195</v>
      </c>
      <c r="F141" s="143" t="s">
        <v>195</v>
      </c>
      <c r="G141" s="143" t="s">
        <v>195</v>
      </c>
      <c r="H141" s="143" t="s">
        <v>346</v>
      </c>
      <c r="I141" s="95">
        <f t="shared" si="2"/>
        <v>18658.617894870746</v>
      </c>
      <c r="J141" s="144">
        <v>1559</v>
      </c>
      <c r="K141" s="144">
        <v>1559</v>
      </c>
      <c r="L141" s="144">
        <v>1559</v>
      </c>
      <c r="M141" s="144">
        <v>1559</v>
      </c>
      <c r="N141" s="144">
        <v>1556</v>
      </c>
      <c r="O141" s="144">
        <v>1555.096837944664</v>
      </c>
      <c r="P141" s="144">
        <v>1554.9988300395257</v>
      </c>
      <c r="Q141" s="144">
        <v>1553.2476521739127</v>
      </c>
      <c r="R141" s="144">
        <v>1552</v>
      </c>
      <c r="S141" s="144">
        <v>1551.9987192118226</v>
      </c>
      <c r="T141" s="144">
        <v>1549.2758555008209</v>
      </c>
      <c r="U141" s="144">
        <v>1550</v>
      </c>
    </row>
    <row r="142" spans="2:21">
      <c r="B142" s="97" t="s">
        <v>333</v>
      </c>
      <c r="C142" s="143" t="s">
        <v>170</v>
      </c>
      <c r="D142" s="143" t="s">
        <v>167</v>
      </c>
      <c r="E142" s="143" t="s">
        <v>195</v>
      </c>
      <c r="F142" s="143" t="s">
        <v>195</v>
      </c>
      <c r="G142" s="143" t="s">
        <v>195</v>
      </c>
      <c r="H142" s="143" t="s">
        <v>347</v>
      </c>
      <c r="I142" s="95">
        <f t="shared" si="2"/>
        <v>2440.0357828284577</v>
      </c>
      <c r="J142" s="144">
        <v>195</v>
      </c>
      <c r="K142" s="144">
        <v>195</v>
      </c>
      <c r="L142" s="144">
        <v>195</v>
      </c>
      <c r="M142" s="144">
        <v>195</v>
      </c>
      <c r="N142" s="144">
        <v>207</v>
      </c>
      <c r="O142" s="144">
        <v>207</v>
      </c>
      <c r="P142" s="144">
        <v>207.00019038124711</v>
      </c>
      <c r="Q142" s="144">
        <v>206.41303730780149</v>
      </c>
      <c r="R142" s="144">
        <v>206</v>
      </c>
      <c r="S142" s="144">
        <v>205.99870162297128</v>
      </c>
      <c r="T142" s="144">
        <v>209.62385351643775</v>
      </c>
      <c r="U142" s="144">
        <v>211</v>
      </c>
    </row>
    <row r="143" spans="2:21">
      <c r="B143" s="97" t="s">
        <v>333</v>
      </c>
      <c r="C143" s="143" t="s">
        <v>170</v>
      </c>
      <c r="D143" s="143" t="s">
        <v>167</v>
      </c>
      <c r="E143" s="143" t="s">
        <v>195</v>
      </c>
      <c r="F143" s="143" t="s">
        <v>195</v>
      </c>
      <c r="G143" s="143" t="s">
        <v>195</v>
      </c>
      <c r="H143" s="143" t="s">
        <v>348</v>
      </c>
      <c r="I143" s="95">
        <f t="shared" si="2"/>
        <v>3095.9975745689503</v>
      </c>
      <c r="J143" s="144">
        <v>258</v>
      </c>
      <c r="K143" s="144">
        <v>258</v>
      </c>
      <c r="L143" s="144">
        <v>258</v>
      </c>
      <c r="M143" s="144">
        <v>258</v>
      </c>
      <c r="N143" s="144">
        <v>258</v>
      </c>
      <c r="O143" s="144">
        <v>258</v>
      </c>
      <c r="P143" s="144">
        <v>257.99910570311198</v>
      </c>
      <c r="Q143" s="144">
        <v>257.99926788130409</v>
      </c>
      <c r="R143" s="144">
        <v>258</v>
      </c>
      <c r="S143" s="144">
        <v>258</v>
      </c>
      <c r="T143" s="144">
        <v>257.99920098453401</v>
      </c>
      <c r="U143" s="144">
        <v>258</v>
      </c>
    </row>
    <row r="144" spans="2:21">
      <c r="B144" s="97" t="s">
        <v>333</v>
      </c>
      <c r="C144" s="143" t="s">
        <v>171</v>
      </c>
      <c r="D144" s="143" t="s">
        <v>5</v>
      </c>
      <c r="E144" s="143" t="s">
        <v>195</v>
      </c>
      <c r="F144" s="143" t="s">
        <v>195</v>
      </c>
      <c r="G144" s="143" t="s">
        <v>195</v>
      </c>
      <c r="H144" s="143" t="s">
        <v>349</v>
      </c>
      <c r="I144" s="95">
        <f t="shared" si="2"/>
        <v>12</v>
      </c>
      <c r="J144" s="144">
        <v>1</v>
      </c>
      <c r="K144" s="144">
        <v>1</v>
      </c>
      <c r="L144" s="144">
        <v>1</v>
      </c>
      <c r="M144" s="144">
        <v>1</v>
      </c>
      <c r="N144" s="144">
        <v>1</v>
      </c>
      <c r="O144" s="144">
        <v>1</v>
      </c>
      <c r="P144" s="144">
        <v>1</v>
      </c>
      <c r="Q144" s="144">
        <v>1</v>
      </c>
      <c r="R144" s="144">
        <v>1</v>
      </c>
      <c r="S144" s="144">
        <v>1</v>
      </c>
      <c r="T144" s="144">
        <v>1</v>
      </c>
      <c r="U144" s="144">
        <v>1</v>
      </c>
    </row>
    <row r="145" spans="2:21">
      <c r="B145" s="97" t="s">
        <v>333</v>
      </c>
      <c r="C145" s="143" t="s">
        <v>171</v>
      </c>
      <c r="D145" s="143" t="s">
        <v>5</v>
      </c>
      <c r="E145" s="143" t="s">
        <v>195</v>
      </c>
      <c r="F145" s="143" t="s">
        <v>195</v>
      </c>
      <c r="G145" s="143" t="s">
        <v>195</v>
      </c>
      <c r="H145" s="143" t="s">
        <v>350</v>
      </c>
      <c r="I145" s="95">
        <f t="shared" si="2"/>
        <v>79</v>
      </c>
      <c r="J145" s="144">
        <v>7</v>
      </c>
      <c r="K145" s="144">
        <v>7</v>
      </c>
      <c r="L145" s="144">
        <v>7</v>
      </c>
      <c r="M145" s="144">
        <v>7</v>
      </c>
      <c r="N145" s="144">
        <v>7</v>
      </c>
      <c r="O145" s="144">
        <v>7</v>
      </c>
      <c r="P145" s="144">
        <v>7</v>
      </c>
      <c r="Q145" s="144">
        <v>6</v>
      </c>
      <c r="R145" s="144">
        <v>6</v>
      </c>
      <c r="S145" s="144">
        <v>6</v>
      </c>
      <c r="T145" s="144">
        <v>6</v>
      </c>
      <c r="U145" s="144">
        <v>6</v>
      </c>
    </row>
    <row r="146" spans="2:21">
      <c r="B146" s="97" t="s">
        <v>333</v>
      </c>
      <c r="C146" s="143" t="s">
        <v>171</v>
      </c>
      <c r="D146" s="143" t="s">
        <v>5</v>
      </c>
      <c r="E146" s="143" t="s">
        <v>195</v>
      </c>
      <c r="F146" s="143" t="s">
        <v>199</v>
      </c>
      <c r="G146" s="143" t="s">
        <v>195</v>
      </c>
      <c r="H146" s="143" t="s">
        <v>335</v>
      </c>
      <c r="I146" s="95">
        <f t="shared" si="2"/>
        <v>138.90042674253201</v>
      </c>
      <c r="J146" s="144">
        <v>12</v>
      </c>
      <c r="K146" s="144">
        <v>12</v>
      </c>
      <c r="L146" s="144">
        <v>12</v>
      </c>
      <c r="M146" s="144">
        <v>12</v>
      </c>
      <c r="N146" s="144">
        <v>12</v>
      </c>
      <c r="O146" s="144">
        <v>12</v>
      </c>
      <c r="P146" s="144">
        <v>11.900426742532005</v>
      </c>
      <c r="Q146" s="144">
        <v>11</v>
      </c>
      <c r="R146" s="144">
        <v>11</v>
      </c>
      <c r="S146" s="144">
        <v>11</v>
      </c>
      <c r="T146" s="144">
        <v>11</v>
      </c>
      <c r="U146" s="144">
        <v>11</v>
      </c>
    </row>
    <row r="147" spans="2:21">
      <c r="B147" s="145" t="s">
        <v>333</v>
      </c>
      <c r="C147" s="146" t="s">
        <v>171</v>
      </c>
      <c r="D147" s="146" t="s">
        <v>5</v>
      </c>
      <c r="E147" s="146" t="s">
        <v>195</v>
      </c>
      <c r="F147" s="146" t="s">
        <v>200</v>
      </c>
      <c r="G147" s="146" t="s">
        <v>195</v>
      </c>
      <c r="H147" s="146" t="s">
        <v>335</v>
      </c>
      <c r="I147" s="147">
        <f t="shared" ref="I147:I187" si="3">SUM(J147:U147)</f>
        <v>168</v>
      </c>
      <c r="J147" s="148">
        <v>14</v>
      </c>
      <c r="K147" s="148">
        <v>14</v>
      </c>
      <c r="L147" s="148">
        <v>14</v>
      </c>
      <c r="M147" s="148">
        <v>14</v>
      </c>
      <c r="N147" s="148">
        <v>14</v>
      </c>
      <c r="O147" s="148">
        <v>14</v>
      </c>
      <c r="P147" s="148">
        <v>14</v>
      </c>
      <c r="Q147" s="148">
        <v>14</v>
      </c>
      <c r="R147" s="148">
        <v>14</v>
      </c>
      <c r="S147" s="148">
        <v>14</v>
      </c>
      <c r="T147" s="148">
        <v>14</v>
      </c>
      <c r="U147" s="148">
        <v>14</v>
      </c>
    </row>
    <row r="148" spans="2:21">
      <c r="B148" s="140"/>
      <c r="C148" s="141"/>
      <c r="D148" s="141"/>
      <c r="E148" s="141"/>
      <c r="F148" s="141"/>
      <c r="G148" s="141"/>
      <c r="H148" s="141"/>
      <c r="I148" s="13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2:21">
      <c r="B149" s="97" t="s">
        <v>356</v>
      </c>
      <c r="C149" s="143" t="s">
        <v>422</v>
      </c>
      <c r="D149" s="143" t="s">
        <v>4</v>
      </c>
      <c r="E149" s="143" t="s">
        <v>195</v>
      </c>
      <c r="F149" s="143" t="s">
        <v>195</v>
      </c>
      <c r="G149" s="143" t="s">
        <v>195</v>
      </c>
      <c r="H149" s="96" t="s">
        <v>197</v>
      </c>
      <c r="I149" s="95">
        <f t="shared" si="3"/>
        <v>720685046.35999298</v>
      </c>
      <c r="J149" s="144">
        <v>61286809.289050356</v>
      </c>
      <c r="K149" s="144">
        <v>61387093.121732704</v>
      </c>
      <c r="L149" s="144">
        <v>58315334.763820373</v>
      </c>
      <c r="M149" s="144">
        <v>56417442.121799119</v>
      </c>
      <c r="N149" s="144">
        <v>59559959.154200256</v>
      </c>
      <c r="O149" s="144">
        <v>62301561.448207028</v>
      </c>
      <c r="P149" s="144">
        <v>63461428.982384272</v>
      </c>
      <c r="Q149" s="144">
        <v>62451157.372028664</v>
      </c>
      <c r="R149" s="144">
        <v>61302343.107085414</v>
      </c>
      <c r="S149" s="144">
        <v>59500841.694377862</v>
      </c>
      <c r="T149" s="144">
        <v>58267123.927233681</v>
      </c>
      <c r="U149" s="144">
        <v>56433951.378073171</v>
      </c>
    </row>
    <row r="150" spans="2:21">
      <c r="B150" s="97" t="s">
        <v>356</v>
      </c>
      <c r="C150" s="143" t="s">
        <v>422</v>
      </c>
      <c r="D150" s="143" t="s">
        <v>4</v>
      </c>
      <c r="E150" s="143" t="s">
        <v>195</v>
      </c>
      <c r="F150" s="143" t="s">
        <v>195</v>
      </c>
      <c r="G150" s="143" t="s">
        <v>195</v>
      </c>
      <c r="H150" s="96" t="s">
        <v>198</v>
      </c>
      <c r="I150" s="95">
        <f t="shared" si="3"/>
        <v>916418564.89516139</v>
      </c>
      <c r="J150" s="144">
        <v>85940142.427093118</v>
      </c>
      <c r="K150" s="144">
        <v>80717428.538112745</v>
      </c>
      <c r="L150" s="144">
        <v>46287964.206348084</v>
      </c>
      <c r="M150" s="144">
        <v>33892787.591927342</v>
      </c>
      <c r="N150" s="144">
        <v>60321878.929026678</v>
      </c>
      <c r="O150" s="144">
        <v>106632434.83124948</v>
      </c>
      <c r="P150" s="144">
        <v>162289834.52360195</v>
      </c>
      <c r="Q150" s="144">
        <v>120489134.65275899</v>
      </c>
      <c r="R150" s="144">
        <v>83675244.595027789</v>
      </c>
      <c r="S150" s="144">
        <v>56365760.197264336</v>
      </c>
      <c r="T150" s="144">
        <v>45825335.473230891</v>
      </c>
      <c r="U150" s="144">
        <v>33980618.929520011</v>
      </c>
    </row>
    <row r="151" spans="2:21">
      <c r="B151" s="97" t="s">
        <v>356</v>
      </c>
      <c r="C151" s="143" t="s">
        <v>229</v>
      </c>
      <c r="D151" s="143" t="s">
        <v>4</v>
      </c>
      <c r="E151" s="143" t="s">
        <v>195</v>
      </c>
      <c r="F151" s="143" t="s">
        <v>195</v>
      </c>
      <c r="G151" s="143" t="s">
        <v>195</v>
      </c>
      <c r="H151" s="143" t="s">
        <v>197</v>
      </c>
      <c r="I151" s="95">
        <f t="shared" si="3"/>
        <v>13566732.250124412</v>
      </c>
      <c r="J151" s="144">
        <v>1225169.9524731559</v>
      </c>
      <c r="K151" s="144">
        <v>1211890.424221087</v>
      </c>
      <c r="L151" s="144">
        <v>1094737.3701813056</v>
      </c>
      <c r="M151" s="144">
        <v>980881.71096637845</v>
      </c>
      <c r="N151" s="144">
        <v>997309.62858651567</v>
      </c>
      <c r="O151" s="144">
        <v>1172583.1719767647</v>
      </c>
      <c r="P151" s="144">
        <v>1414354.4189865505</v>
      </c>
      <c r="Q151" s="144">
        <v>1293451.5874821479</v>
      </c>
      <c r="R151" s="144">
        <v>1147041.5148013157</v>
      </c>
      <c r="S151" s="144">
        <v>1017514.8013156732</v>
      </c>
      <c r="T151" s="144">
        <v>999767.18380711973</v>
      </c>
      <c r="U151" s="144">
        <v>1012030.4853263962</v>
      </c>
    </row>
    <row r="152" spans="2:21">
      <c r="B152" s="97" t="s">
        <v>356</v>
      </c>
      <c r="C152" s="143" t="s">
        <v>229</v>
      </c>
      <c r="D152" s="143" t="s">
        <v>4</v>
      </c>
      <c r="E152" s="143" t="s">
        <v>195</v>
      </c>
      <c r="F152" s="143" t="s">
        <v>195</v>
      </c>
      <c r="G152" s="143" t="s">
        <v>195</v>
      </c>
      <c r="H152" s="143" t="s">
        <v>198</v>
      </c>
      <c r="I152" s="95">
        <f t="shared" si="3"/>
        <v>7107440.1776486794</v>
      </c>
      <c r="J152" s="144">
        <v>721533.11216026545</v>
      </c>
      <c r="K152" s="144">
        <v>720161.66900599725</v>
      </c>
      <c r="L152" s="144">
        <v>535527.88056654343</v>
      </c>
      <c r="M152" s="144">
        <v>396203.13895623334</v>
      </c>
      <c r="N152" s="144">
        <v>414101.69707796362</v>
      </c>
      <c r="O152" s="144">
        <v>666403.98111522268</v>
      </c>
      <c r="P152" s="144">
        <v>1029284.9326056727</v>
      </c>
      <c r="Q152" s="144">
        <v>816093.40368263319</v>
      </c>
      <c r="R152" s="144">
        <v>577952.74469186959</v>
      </c>
      <c r="S152" s="144">
        <v>413350.9839461419</v>
      </c>
      <c r="T152" s="144">
        <v>405403.43420476827</v>
      </c>
      <c r="U152" s="144">
        <v>411423.19963536918</v>
      </c>
    </row>
    <row r="153" spans="2:21">
      <c r="B153" s="97" t="s">
        <v>356</v>
      </c>
      <c r="C153" s="143" t="s">
        <v>229</v>
      </c>
      <c r="D153" s="143" t="s">
        <v>4</v>
      </c>
      <c r="E153" s="143" t="s">
        <v>195</v>
      </c>
      <c r="F153" s="143" t="s">
        <v>195</v>
      </c>
      <c r="G153" s="143" t="s">
        <v>195</v>
      </c>
      <c r="H153" s="143" t="s">
        <v>282</v>
      </c>
      <c r="I153" s="95">
        <f t="shared" si="3"/>
        <v>930206.40963127534</v>
      </c>
      <c r="J153" s="144">
        <v>104308.77528704208</v>
      </c>
      <c r="K153" s="144">
        <v>105025.15035538544</v>
      </c>
      <c r="L153" s="144">
        <v>75749.863313285954</v>
      </c>
      <c r="M153" s="144">
        <v>53117.140513942039</v>
      </c>
      <c r="N153" s="144">
        <v>48619.874248223066</v>
      </c>
      <c r="O153" s="144">
        <v>79720.065609622747</v>
      </c>
      <c r="P153" s="144">
        <v>163879.98906506287</v>
      </c>
      <c r="Q153" s="144">
        <v>123726.67695413042</v>
      </c>
      <c r="R153" s="144">
        <v>63235.040955157572</v>
      </c>
      <c r="S153" s="144">
        <v>38770.789948632519</v>
      </c>
      <c r="T153" s="144">
        <v>38559.039746629562</v>
      </c>
      <c r="U153" s="144">
        <v>35494.003634161112</v>
      </c>
    </row>
    <row r="154" spans="2:21">
      <c r="B154" s="97" t="s">
        <v>356</v>
      </c>
      <c r="C154" s="143" t="s">
        <v>229</v>
      </c>
      <c r="D154" s="143" t="s">
        <v>5</v>
      </c>
      <c r="E154" s="143" t="s">
        <v>195</v>
      </c>
      <c r="F154" s="143" t="s">
        <v>195</v>
      </c>
      <c r="G154" s="143" t="s">
        <v>195</v>
      </c>
      <c r="H154" s="143" t="s">
        <v>197</v>
      </c>
      <c r="I154" s="95">
        <f t="shared" si="3"/>
        <v>124967365.13654114</v>
      </c>
      <c r="J154" s="144">
        <v>10563023.939447267</v>
      </c>
      <c r="K154" s="144">
        <v>10608230.681218095</v>
      </c>
      <c r="L154" s="144">
        <v>10139222.672064785</v>
      </c>
      <c r="M154" s="144">
        <v>9775471.4838936813</v>
      </c>
      <c r="N154" s="144">
        <v>10154307.340256989</v>
      </c>
      <c r="O154" s="144">
        <v>10828920.348530179</v>
      </c>
      <c r="P154" s="144">
        <v>11293693.426781008</v>
      </c>
      <c r="Q154" s="144">
        <v>10962168.356939811</v>
      </c>
      <c r="R154" s="144">
        <v>10613206.136174142</v>
      </c>
      <c r="S154" s="144">
        <v>10234340.024877066</v>
      </c>
      <c r="T154" s="144">
        <v>10017866.173930328</v>
      </c>
      <c r="U154" s="144">
        <v>9776914.5524277836</v>
      </c>
    </row>
    <row r="155" spans="2:21">
      <c r="B155" s="97" t="s">
        <v>356</v>
      </c>
      <c r="C155" s="143" t="s">
        <v>229</v>
      </c>
      <c r="D155" s="143" t="s">
        <v>5</v>
      </c>
      <c r="E155" s="143" t="s">
        <v>195</v>
      </c>
      <c r="F155" s="143" t="s">
        <v>195</v>
      </c>
      <c r="G155" s="143" t="s">
        <v>195</v>
      </c>
      <c r="H155" s="143" t="s">
        <v>198</v>
      </c>
      <c r="I155" s="95">
        <f t="shared" si="3"/>
        <v>273578624.4422645</v>
      </c>
      <c r="J155" s="144">
        <v>26291703.075156324</v>
      </c>
      <c r="K155" s="144">
        <v>26781846.752583895</v>
      </c>
      <c r="L155" s="144">
        <v>22878136.149036635</v>
      </c>
      <c r="M155" s="144">
        <v>19989234.018119175</v>
      </c>
      <c r="N155" s="144">
        <v>20473396.835523792</v>
      </c>
      <c r="O155" s="144">
        <v>24114729.105525091</v>
      </c>
      <c r="P155" s="144">
        <v>27408871.901879344</v>
      </c>
      <c r="Q155" s="144">
        <v>24705426.845474713</v>
      </c>
      <c r="R155" s="144">
        <v>22100276.022786152</v>
      </c>
      <c r="S155" s="144">
        <v>20003115.484205071</v>
      </c>
      <c r="T155" s="144">
        <v>19344858.216667831</v>
      </c>
      <c r="U155" s="144">
        <v>19487030.035306502</v>
      </c>
    </row>
    <row r="156" spans="2:21">
      <c r="B156" s="97" t="s">
        <v>356</v>
      </c>
      <c r="C156" s="143" t="s">
        <v>229</v>
      </c>
      <c r="D156" s="143" t="s">
        <v>5</v>
      </c>
      <c r="E156" s="143" t="s">
        <v>195</v>
      </c>
      <c r="F156" s="143" t="s">
        <v>195</v>
      </c>
      <c r="G156" s="143" t="s">
        <v>195</v>
      </c>
      <c r="H156" s="143" t="s">
        <v>282</v>
      </c>
      <c r="I156" s="95">
        <f t="shared" si="3"/>
        <v>109715019.69276887</v>
      </c>
      <c r="J156" s="144">
        <v>13318021.186440673</v>
      </c>
      <c r="K156" s="144">
        <v>14095974.986331327</v>
      </c>
      <c r="L156" s="144">
        <v>10260102.651722256</v>
      </c>
      <c r="M156" s="144">
        <v>8413040.8693275023</v>
      </c>
      <c r="N156" s="144">
        <v>7635915.5276107145</v>
      </c>
      <c r="O156" s="144">
        <v>9603262.985237835</v>
      </c>
      <c r="P156" s="144">
        <v>10907862.963248031</v>
      </c>
      <c r="Q156" s="144">
        <v>8541454.8928719983</v>
      </c>
      <c r="R156" s="144">
        <v>7157181.5910037514</v>
      </c>
      <c r="S156" s="144">
        <v>6299847.0081910305</v>
      </c>
      <c r="T156" s="144">
        <v>6227757.211280413</v>
      </c>
      <c r="U156" s="144">
        <v>7254597.8195033306</v>
      </c>
    </row>
    <row r="157" spans="2:21">
      <c r="B157" s="97" t="s">
        <v>356</v>
      </c>
      <c r="C157" s="143" t="s">
        <v>229</v>
      </c>
      <c r="D157" s="143" t="s">
        <v>7</v>
      </c>
      <c r="E157" s="143" t="s">
        <v>195</v>
      </c>
      <c r="F157" s="143" t="s">
        <v>195</v>
      </c>
      <c r="G157" s="143" t="s">
        <v>195</v>
      </c>
      <c r="H157" s="143" t="s">
        <v>197</v>
      </c>
      <c r="I157" s="95">
        <f t="shared" si="3"/>
        <v>2936892.8839031216</v>
      </c>
      <c r="J157" s="144">
        <v>252888.57595493749</v>
      </c>
      <c r="K157" s="144">
        <v>251012.23376166172</v>
      </c>
      <c r="L157" s="144">
        <v>244532.12462594616</v>
      </c>
      <c r="M157" s="144">
        <v>235201.28498503787</v>
      </c>
      <c r="N157" s="144">
        <v>240304.78788945609</v>
      </c>
      <c r="O157" s="144">
        <v>252332.95194508013</v>
      </c>
      <c r="P157" s="144">
        <v>256061.40364699674</v>
      </c>
      <c r="Q157" s="144">
        <v>251647.03726368514</v>
      </c>
      <c r="R157" s="144">
        <v>243442.17263756771</v>
      </c>
      <c r="S157" s="144">
        <v>237335.05200462262</v>
      </c>
      <c r="T157" s="144">
        <v>236901.7009408325</v>
      </c>
      <c r="U157" s="144">
        <v>235233.55824729701</v>
      </c>
    </row>
    <row r="158" spans="2:21">
      <c r="B158" s="97" t="s">
        <v>356</v>
      </c>
      <c r="C158" s="143" t="s">
        <v>229</v>
      </c>
      <c r="D158" s="143" t="s">
        <v>7</v>
      </c>
      <c r="E158" s="143" t="s">
        <v>195</v>
      </c>
      <c r="F158" s="143" t="s">
        <v>195</v>
      </c>
      <c r="G158" s="143" t="s">
        <v>195</v>
      </c>
      <c r="H158" s="143" t="s">
        <v>198</v>
      </c>
      <c r="I158" s="95">
        <f t="shared" si="3"/>
        <v>8697585.3458522987</v>
      </c>
      <c r="J158" s="144">
        <v>752125.68584917695</v>
      </c>
      <c r="K158" s="144">
        <v>760075.92190889374</v>
      </c>
      <c r="L158" s="144">
        <v>692491.76980987634</v>
      </c>
      <c r="M158" s="144">
        <v>643649.22802092636</v>
      </c>
      <c r="N158" s="144">
        <v>684944.74926630082</v>
      </c>
      <c r="O158" s="144">
        <v>794939.00727319124</v>
      </c>
      <c r="P158" s="144">
        <v>885341.76161930081</v>
      </c>
      <c r="Q158" s="144">
        <v>813995.35416953149</v>
      </c>
      <c r="R158" s="144">
        <v>745667.27084412193</v>
      </c>
      <c r="S158" s="144">
        <v>675856.42154324171</v>
      </c>
      <c r="T158" s="144">
        <v>642916.47545657924</v>
      </c>
      <c r="U158" s="144">
        <v>605581.70009115746</v>
      </c>
    </row>
    <row r="159" spans="2:21">
      <c r="B159" s="97" t="s">
        <v>356</v>
      </c>
      <c r="C159" s="143" t="s">
        <v>229</v>
      </c>
      <c r="D159" s="143" t="s">
        <v>7</v>
      </c>
      <c r="E159" s="143" t="s">
        <v>195</v>
      </c>
      <c r="F159" s="143" t="s">
        <v>195</v>
      </c>
      <c r="G159" s="143" t="s">
        <v>195</v>
      </c>
      <c r="H159" s="143" t="s">
        <v>282</v>
      </c>
      <c r="I159" s="95">
        <f t="shared" si="3"/>
        <v>3467787.0508055836</v>
      </c>
      <c r="J159" s="144">
        <v>297350.05467468564</v>
      </c>
      <c r="K159" s="144">
        <v>326696.00874794973</v>
      </c>
      <c r="L159" s="144">
        <v>305237.01476216514</v>
      </c>
      <c r="M159" s="144">
        <v>276133.8162930563</v>
      </c>
      <c r="N159" s="144">
        <v>260851.14816839801</v>
      </c>
      <c r="O159" s="144">
        <v>377989.20174958993</v>
      </c>
      <c r="P159" s="144">
        <v>438098.00367184961</v>
      </c>
      <c r="Q159" s="144">
        <v>317082.05197366659</v>
      </c>
      <c r="R159" s="144">
        <v>236600.02776620854</v>
      </c>
      <c r="S159" s="144">
        <v>216683.18756073859</v>
      </c>
      <c r="T159" s="144">
        <v>195566.35372921964</v>
      </c>
      <c r="U159" s="144">
        <v>219500.18170805572</v>
      </c>
    </row>
    <row r="160" spans="2:21">
      <c r="B160" s="97" t="s">
        <v>356</v>
      </c>
      <c r="C160" s="143" t="s">
        <v>279</v>
      </c>
      <c r="D160" s="143" t="s">
        <v>4</v>
      </c>
      <c r="E160" s="143" t="s">
        <v>176</v>
      </c>
      <c r="F160" s="143" t="s">
        <v>195</v>
      </c>
      <c r="G160" s="143" t="s">
        <v>195</v>
      </c>
      <c r="H160" s="143" t="s">
        <v>197</v>
      </c>
      <c r="I160" s="95">
        <f t="shared" si="3"/>
        <v>1479518.9669764682</v>
      </c>
      <c r="J160" s="144">
        <v>107839.97997663941</v>
      </c>
      <c r="K160" s="144">
        <v>110079.92658101118</v>
      </c>
      <c r="L160" s="144">
        <v>96480.060070081759</v>
      </c>
      <c r="M160" s="144">
        <v>87839.979976639414</v>
      </c>
      <c r="N160" s="144">
        <v>91440.013348907058</v>
      </c>
      <c r="O160" s="144">
        <v>112160.02002336059</v>
      </c>
      <c r="P160" s="144">
        <v>160000</v>
      </c>
      <c r="Q160" s="144">
        <v>159998.97441116284</v>
      </c>
      <c r="R160" s="144">
        <v>166320.07479177293</v>
      </c>
      <c r="S160" s="144">
        <v>134799.93200747919</v>
      </c>
      <c r="T160" s="144">
        <v>129600.09230707766</v>
      </c>
      <c r="U160" s="144">
        <v>122959.91348233599</v>
      </c>
    </row>
    <row r="161" spans="2:21">
      <c r="B161" s="97" t="s">
        <v>356</v>
      </c>
      <c r="C161" s="143" t="s">
        <v>279</v>
      </c>
      <c r="D161" s="143" t="s">
        <v>4</v>
      </c>
      <c r="E161" s="143" t="s">
        <v>176</v>
      </c>
      <c r="F161" s="143" t="s">
        <v>195</v>
      </c>
      <c r="G161" s="143" t="s">
        <v>195</v>
      </c>
      <c r="H161" s="143" t="s">
        <v>198</v>
      </c>
      <c r="I161" s="95">
        <f t="shared" si="3"/>
        <v>811580.59804120462</v>
      </c>
      <c r="J161" s="144">
        <v>43059.916226552537</v>
      </c>
      <c r="K161" s="144">
        <v>35199.963576761977</v>
      </c>
      <c r="L161" s="144">
        <v>36199.963576761977</v>
      </c>
      <c r="M161" s="144">
        <v>30199.963576761973</v>
      </c>
      <c r="N161" s="144">
        <v>60800.036423238031</v>
      </c>
      <c r="O161" s="144">
        <v>101979.96721908577</v>
      </c>
      <c r="P161" s="144">
        <v>150899.83609542888</v>
      </c>
      <c r="Q161" s="144">
        <v>94440.96360684956</v>
      </c>
      <c r="R161" s="144">
        <v>81199.962832187332</v>
      </c>
      <c r="S161" s="144">
        <v>69800.037167812683</v>
      </c>
      <c r="T161" s="144">
        <v>63799.987739763965</v>
      </c>
      <c r="U161" s="144">
        <v>44000</v>
      </c>
    </row>
    <row r="162" spans="2:21">
      <c r="B162" s="97" t="s">
        <v>356</v>
      </c>
      <c r="C162" s="143" t="s">
        <v>279</v>
      </c>
      <c r="D162" s="143" t="s">
        <v>5</v>
      </c>
      <c r="E162" s="143" t="s">
        <v>176</v>
      </c>
      <c r="F162" s="143" t="s">
        <v>195</v>
      </c>
      <c r="G162" s="143" t="s">
        <v>195</v>
      </c>
      <c r="H162" s="143" t="s">
        <v>197</v>
      </c>
      <c r="I162" s="95">
        <f t="shared" si="3"/>
        <v>366850889.9658466</v>
      </c>
      <c r="J162" s="144">
        <v>30180930.585683282</v>
      </c>
      <c r="K162" s="144">
        <v>30728474.386784591</v>
      </c>
      <c r="L162" s="144">
        <v>31804770.565659922</v>
      </c>
      <c r="M162" s="144">
        <v>31748248.289671302</v>
      </c>
      <c r="N162" s="144">
        <v>30800496.746203922</v>
      </c>
      <c r="O162" s="144">
        <v>31340772.567995992</v>
      </c>
      <c r="P162" s="144">
        <v>31637669.381914467</v>
      </c>
      <c r="Q162" s="144">
        <v>30896705.493510351</v>
      </c>
      <c r="R162" s="144">
        <v>30191217.979692362</v>
      </c>
      <c r="S162" s="144">
        <v>29281518.739001863</v>
      </c>
      <c r="T162" s="144">
        <v>29059850.814688381</v>
      </c>
      <c r="U162" s="144">
        <v>29180234.415040199</v>
      </c>
    </row>
    <row r="163" spans="2:21">
      <c r="B163" s="97" t="s">
        <v>356</v>
      </c>
      <c r="C163" s="143" t="s">
        <v>279</v>
      </c>
      <c r="D163" s="143" t="s">
        <v>5</v>
      </c>
      <c r="E163" s="143" t="s">
        <v>176</v>
      </c>
      <c r="F163" s="143" t="s">
        <v>195</v>
      </c>
      <c r="G163" s="143" t="s">
        <v>195</v>
      </c>
      <c r="H163" s="143" t="s">
        <v>198</v>
      </c>
      <c r="I163" s="95">
        <f t="shared" si="3"/>
        <v>459673216.13885874</v>
      </c>
      <c r="J163" s="144">
        <v>42401694.95538152</v>
      </c>
      <c r="K163" s="144">
        <v>42812765.25223095</v>
      </c>
      <c r="L163" s="144">
        <v>43345509.925332375</v>
      </c>
      <c r="M163" s="144">
        <v>44889020.76124569</v>
      </c>
      <c r="N163" s="144">
        <v>42509251.68457476</v>
      </c>
      <c r="O163" s="144">
        <v>43237704.061191022</v>
      </c>
      <c r="P163" s="144">
        <v>40528359.636696324</v>
      </c>
      <c r="Q163" s="144">
        <v>35206610.12213362</v>
      </c>
      <c r="R163" s="144">
        <v>32682223.167859327</v>
      </c>
      <c r="S163" s="144">
        <v>30306793.917341132</v>
      </c>
      <c r="T163" s="144">
        <v>29506019.501333196</v>
      </c>
      <c r="U163" s="144">
        <v>32247263.153538905</v>
      </c>
    </row>
    <row r="164" spans="2:21">
      <c r="B164" s="97" t="s">
        <v>356</v>
      </c>
      <c r="C164" s="143" t="s">
        <v>279</v>
      </c>
      <c r="D164" s="143" t="s">
        <v>5</v>
      </c>
      <c r="E164" s="143" t="s">
        <v>177</v>
      </c>
      <c r="F164" s="143" t="s">
        <v>195</v>
      </c>
      <c r="G164" s="143" t="s">
        <v>195</v>
      </c>
      <c r="H164" s="143" t="s">
        <v>197</v>
      </c>
      <c r="I164" s="95">
        <f t="shared" si="3"/>
        <v>3617831.4520378858</v>
      </c>
      <c r="J164" s="144">
        <v>281440.01334890706</v>
      </c>
      <c r="K164" s="144">
        <v>282000</v>
      </c>
      <c r="L164" s="144">
        <v>296159.85316202237</v>
      </c>
      <c r="M164" s="144">
        <v>315559.98665109294</v>
      </c>
      <c r="N164" s="144">
        <v>326199.89988319704</v>
      </c>
      <c r="O164" s="144">
        <v>309079.92658101115</v>
      </c>
      <c r="P164" s="144">
        <v>308480.06307659234</v>
      </c>
      <c r="Q164" s="144">
        <v>308316.05046388332</v>
      </c>
      <c r="R164" s="144">
        <v>299640.1495835458</v>
      </c>
      <c r="S164" s="144">
        <v>282879.99320074788</v>
      </c>
      <c r="T164" s="144">
        <v>330235.5737653285</v>
      </c>
      <c r="U164" s="144">
        <v>277839.94232155732</v>
      </c>
    </row>
    <row r="165" spans="2:21">
      <c r="B165" s="97" t="s">
        <v>356</v>
      </c>
      <c r="C165" s="143" t="s">
        <v>279</v>
      </c>
      <c r="D165" s="143" t="s">
        <v>5</v>
      </c>
      <c r="E165" s="143" t="s">
        <v>177</v>
      </c>
      <c r="F165" s="143" t="s">
        <v>195</v>
      </c>
      <c r="G165" s="143" t="s">
        <v>195</v>
      </c>
      <c r="H165" s="143" t="s">
        <v>198</v>
      </c>
      <c r="I165" s="95">
        <f t="shared" si="3"/>
        <v>6665225.9040677128</v>
      </c>
      <c r="J165" s="144">
        <v>628419.95993443811</v>
      </c>
      <c r="K165" s="144">
        <v>729300.1274813331</v>
      </c>
      <c r="L165" s="144">
        <v>676079.94900746667</v>
      </c>
      <c r="M165" s="144">
        <v>562560.18940083764</v>
      </c>
      <c r="N165" s="144">
        <v>589560.18940083776</v>
      </c>
      <c r="O165" s="144">
        <v>597519.94172281912</v>
      </c>
      <c r="P165" s="144">
        <v>599599.8907302859</v>
      </c>
      <c r="Q165" s="144">
        <v>518603.6831197245</v>
      </c>
      <c r="R165" s="144">
        <v>444459.95168184349</v>
      </c>
      <c r="S165" s="144">
        <v>422559.9330979372</v>
      </c>
      <c r="T165" s="144">
        <v>487082.06361843419</v>
      </c>
      <c r="U165" s="144">
        <v>409480.02487175498</v>
      </c>
    </row>
    <row r="166" spans="2:21">
      <c r="B166" s="97" t="s">
        <v>356</v>
      </c>
      <c r="C166" s="143" t="s">
        <v>279</v>
      </c>
      <c r="D166" s="143" t="s">
        <v>7</v>
      </c>
      <c r="E166" s="143" t="s">
        <v>176</v>
      </c>
      <c r="F166" s="143" t="s">
        <v>195</v>
      </c>
      <c r="G166" s="143" t="s">
        <v>195</v>
      </c>
      <c r="H166" s="143" t="s">
        <v>197</v>
      </c>
      <c r="I166" s="95">
        <f t="shared" si="3"/>
        <v>34551148.671501786</v>
      </c>
      <c r="J166" s="144">
        <v>2936839.479392624</v>
      </c>
      <c r="K166" s="144">
        <v>2966379.6095444681</v>
      </c>
      <c r="L166" s="144">
        <v>3054000.1668613381</v>
      </c>
      <c r="M166" s="144">
        <v>3262440.1802102453</v>
      </c>
      <c r="N166" s="144">
        <v>2912459.8698481573</v>
      </c>
      <c r="O166" s="144">
        <v>2878620.0567328553</v>
      </c>
      <c r="P166" s="144">
        <v>2757495.5424084053</v>
      </c>
      <c r="Q166" s="144">
        <v>2776444.5634757914</v>
      </c>
      <c r="R166" s="144">
        <v>2760980.1121876589</v>
      </c>
      <c r="S166" s="144">
        <v>2738139.7246302902</v>
      </c>
      <c r="T166" s="144">
        <v>2772709.1354961772</v>
      </c>
      <c r="U166" s="144">
        <v>2734640.2307137721</v>
      </c>
    </row>
    <row r="167" spans="2:21">
      <c r="B167" s="97" t="s">
        <v>356</v>
      </c>
      <c r="C167" s="143" t="s">
        <v>279</v>
      </c>
      <c r="D167" s="143" t="s">
        <v>7</v>
      </c>
      <c r="E167" s="143" t="s">
        <v>176</v>
      </c>
      <c r="F167" s="143" t="s">
        <v>195</v>
      </c>
      <c r="G167" s="143" t="s">
        <v>195</v>
      </c>
      <c r="H167" s="143" t="s">
        <v>198</v>
      </c>
      <c r="I167" s="95">
        <f t="shared" si="3"/>
        <v>52700866.28859859</v>
      </c>
      <c r="J167" s="144">
        <v>4514520.1238390096</v>
      </c>
      <c r="K167" s="144">
        <v>4705560.5536332168</v>
      </c>
      <c r="L167" s="144">
        <v>4810940.4480058271</v>
      </c>
      <c r="M167" s="144">
        <v>5712160.8085958855</v>
      </c>
      <c r="N167" s="144">
        <v>4679039.7013294464</v>
      </c>
      <c r="O167" s="144">
        <v>4530439.6284829723</v>
      </c>
      <c r="P167" s="144">
        <v>3817144.3666615882</v>
      </c>
      <c r="Q167" s="144">
        <v>3952731.3813609476</v>
      </c>
      <c r="R167" s="144">
        <v>4247080.0966363121</v>
      </c>
      <c r="S167" s="144">
        <v>4082599.7026574984</v>
      </c>
      <c r="T167" s="144">
        <v>3878988.9768518135</v>
      </c>
      <c r="U167" s="144">
        <v>3769660.5005440703</v>
      </c>
    </row>
    <row r="168" spans="2:21">
      <c r="B168" s="97" t="s">
        <v>356</v>
      </c>
      <c r="C168" s="143" t="s">
        <v>279</v>
      </c>
      <c r="D168" s="143" t="s">
        <v>7</v>
      </c>
      <c r="E168" s="143" t="s">
        <v>177</v>
      </c>
      <c r="F168" s="143" t="s">
        <v>195</v>
      </c>
      <c r="G168" s="143" t="s">
        <v>195</v>
      </c>
      <c r="H168" s="143" t="s">
        <v>197</v>
      </c>
      <c r="I168" s="95">
        <f t="shared" si="3"/>
        <v>176399.85621714281</v>
      </c>
      <c r="J168" s="144">
        <v>0</v>
      </c>
      <c r="K168" s="144">
        <v>0</v>
      </c>
      <c r="L168" s="144">
        <v>9600.033372267646</v>
      </c>
      <c r="M168" s="144">
        <v>16799.933255464712</v>
      </c>
      <c r="N168" s="144">
        <v>20399.966627732356</v>
      </c>
      <c r="O168" s="144">
        <v>20399.966627732356</v>
      </c>
      <c r="P168" s="144">
        <v>21600.033372267648</v>
      </c>
      <c r="Q168" s="144">
        <v>21600.004753690344</v>
      </c>
      <c r="R168" s="144">
        <v>18000</v>
      </c>
      <c r="S168" s="144">
        <v>16799.932007479179</v>
      </c>
      <c r="T168" s="144">
        <v>14399.986200508571</v>
      </c>
      <c r="U168" s="144">
        <v>16800</v>
      </c>
    </row>
    <row r="169" spans="2:21">
      <c r="B169" s="97" t="s">
        <v>356</v>
      </c>
      <c r="C169" s="143" t="s">
        <v>152</v>
      </c>
      <c r="D169" s="143" t="s">
        <v>179</v>
      </c>
      <c r="E169" s="143" t="s">
        <v>195</v>
      </c>
      <c r="F169" s="143" t="s">
        <v>195</v>
      </c>
      <c r="G169" s="143" t="s">
        <v>195</v>
      </c>
      <c r="H169" s="143" t="s">
        <v>6</v>
      </c>
      <c r="I169" s="95">
        <f t="shared" si="3"/>
        <v>164308137.36823827</v>
      </c>
      <c r="J169" s="144">
        <v>36936926.754385963</v>
      </c>
      <c r="K169" s="144">
        <v>36226819.590643264</v>
      </c>
      <c r="L169" s="144">
        <v>27651940.058479562</v>
      </c>
      <c r="M169" s="144">
        <v>15825708.625730999</v>
      </c>
      <c r="N169" s="144">
        <v>4608879.0935672494</v>
      </c>
      <c r="O169" s="144">
        <v>850167.54385965201</v>
      </c>
      <c r="P169" s="144">
        <v>552067.93524566945</v>
      </c>
      <c r="Q169" s="144">
        <v>532671.36329890345</v>
      </c>
      <c r="R169" s="144">
        <v>2522598.9775631865</v>
      </c>
      <c r="S169" s="144">
        <v>9347050.6958250329</v>
      </c>
      <c r="T169" s="144">
        <v>11847160.082113836</v>
      </c>
      <c r="U169" s="144">
        <v>17406146.647524938</v>
      </c>
    </row>
    <row r="170" spans="2:21">
      <c r="B170" s="97" t="s">
        <v>356</v>
      </c>
      <c r="C170" s="143" t="s">
        <v>252</v>
      </c>
      <c r="D170" s="143" t="s">
        <v>7</v>
      </c>
      <c r="E170" s="143" t="s">
        <v>176</v>
      </c>
      <c r="F170" s="143" t="s">
        <v>195</v>
      </c>
      <c r="G170" s="143" t="s">
        <v>195</v>
      </c>
      <c r="H170" s="143" t="s">
        <v>207</v>
      </c>
      <c r="I170" s="95">
        <f t="shared" si="3"/>
        <v>750000</v>
      </c>
      <c r="J170" s="144">
        <v>60000</v>
      </c>
      <c r="K170" s="144">
        <v>70000</v>
      </c>
      <c r="L170" s="144">
        <v>68000</v>
      </c>
      <c r="M170" s="144">
        <v>67000</v>
      </c>
      <c r="N170" s="144">
        <v>63000</v>
      </c>
      <c r="O170" s="144">
        <v>55000.000000000007</v>
      </c>
      <c r="P170" s="144">
        <v>153000</v>
      </c>
      <c r="Q170" s="144">
        <v>46000.000000000007</v>
      </c>
      <c r="R170" s="144">
        <v>52000</v>
      </c>
      <c r="S170" s="144">
        <v>36000</v>
      </c>
      <c r="T170" s="144">
        <v>43999.999999999993</v>
      </c>
      <c r="U170" s="144">
        <v>35999.999999999993</v>
      </c>
    </row>
    <row r="171" spans="2:21">
      <c r="B171" s="97" t="s">
        <v>356</v>
      </c>
      <c r="C171" s="143" t="s">
        <v>252</v>
      </c>
      <c r="D171" s="143" t="s">
        <v>7</v>
      </c>
      <c r="E171" s="143" t="s">
        <v>176</v>
      </c>
      <c r="F171" s="143" t="s">
        <v>195</v>
      </c>
      <c r="G171" s="143" t="s">
        <v>195</v>
      </c>
      <c r="H171" s="143" t="s">
        <v>208</v>
      </c>
      <c r="I171" s="95">
        <f t="shared" si="3"/>
        <v>927000</v>
      </c>
      <c r="J171" s="144">
        <v>62999.999999999993</v>
      </c>
      <c r="K171" s="144">
        <v>103000</v>
      </c>
      <c r="L171" s="144">
        <v>102000</v>
      </c>
      <c r="M171" s="144">
        <v>52000</v>
      </c>
      <c r="N171" s="144">
        <v>74000</v>
      </c>
      <c r="O171" s="144">
        <v>77000</v>
      </c>
      <c r="P171" s="144">
        <v>219000</v>
      </c>
      <c r="Q171" s="144">
        <v>55000.000000000007</v>
      </c>
      <c r="R171" s="144">
        <v>50000</v>
      </c>
      <c r="S171" s="144">
        <v>35000</v>
      </c>
      <c r="T171" s="144">
        <v>40999.999999999993</v>
      </c>
      <c r="U171" s="144">
        <v>56000</v>
      </c>
    </row>
    <row r="172" spans="2:21">
      <c r="B172" s="97" t="s">
        <v>356</v>
      </c>
      <c r="C172" s="143" t="s">
        <v>172</v>
      </c>
      <c r="D172" s="143" t="s">
        <v>5</v>
      </c>
      <c r="E172" s="143" t="s">
        <v>176</v>
      </c>
      <c r="F172" s="143" t="s">
        <v>195</v>
      </c>
      <c r="G172" s="143" t="s">
        <v>195</v>
      </c>
      <c r="H172" s="143" t="s">
        <v>207</v>
      </c>
      <c r="I172" s="95">
        <f t="shared" si="3"/>
        <v>49173565.341664359</v>
      </c>
      <c r="J172" s="144">
        <v>4545760.4790419163</v>
      </c>
      <c r="K172" s="144">
        <v>4186800.2177463258</v>
      </c>
      <c r="L172" s="144">
        <v>4196600.2540373802</v>
      </c>
      <c r="M172" s="144">
        <v>4618600.2540373802</v>
      </c>
      <c r="N172" s="144">
        <v>4839100.1633097436</v>
      </c>
      <c r="O172" s="144">
        <v>4647900.3810560694</v>
      </c>
      <c r="P172" s="144">
        <v>3969400.7383097732</v>
      </c>
      <c r="Q172" s="144">
        <v>3798200.8582280395</v>
      </c>
      <c r="R172" s="144">
        <v>3726901.0175763187</v>
      </c>
      <c r="S172" s="144">
        <v>3575601.2950971327</v>
      </c>
      <c r="T172" s="144">
        <v>3487899.3115346273</v>
      </c>
      <c r="U172" s="144">
        <v>3580800.3716896391</v>
      </c>
    </row>
    <row r="173" spans="2:21">
      <c r="B173" s="97" t="s">
        <v>356</v>
      </c>
      <c r="C173" s="143" t="s">
        <v>172</v>
      </c>
      <c r="D173" s="143" t="s">
        <v>5</v>
      </c>
      <c r="E173" s="143" t="s">
        <v>176</v>
      </c>
      <c r="F173" s="143" t="s">
        <v>195</v>
      </c>
      <c r="G173" s="143" t="s">
        <v>195</v>
      </c>
      <c r="H173" s="143" t="s">
        <v>208</v>
      </c>
      <c r="I173" s="95">
        <f t="shared" si="3"/>
        <v>74395518.782554358</v>
      </c>
      <c r="J173" s="144">
        <v>8112859.9825251205</v>
      </c>
      <c r="K173" s="144">
        <v>7529459.5893403254</v>
      </c>
      <c r="L173" s="144">
        <v>7530600.0436871992</v>
      </c>
      <c r="M173" s="144">
        <v>7519799.4757536026</v>
      </c>
      <c r="N173" s="144">
        <v>6557899.9563127998</v>
      </c>
      <c r="O173" s="144">
        <v>6384999.5631280039</v>
      </c>
      <c r="P173" s="144">
        <v>5450099.9664139999</v>
      </c>
      <c r="Q173" s="144">
        <v>5191600.5165093066</v>
      </c>
      <c r="R173" s="144">
        <v>5060800.3130590338</v>
      </c>
      <c r="S173" s="144">
        <v>4832199.9105545618</v>
      </c>
      <c r="T173" s="144">
        <v>4698900.0445607966</v>
      </c>
      <c r="U173" s="144">
        <v>5526299.4207096314</v>
      </c>
    </row>
    <row r="174" spans="2:21">
      <c r="B174" s="97" t="s">
        <v>356</v>
      </c>
      <c r="C174" s="143" t="s">
        <v>172</v>
      </c>
      <c r="D174" s="143" t="s">
        <v>5</v>
      </c>
      <c r="E174" s="143" t="s">
        <v>177</v>
      </c>
      <c r="F174" s="143" t="s">
        <v>195</v>
      </c>
      <c r="G174" s="143" t="s">
        <v>195</v>
      </c>
      <c r="H174" s="143" t="s">
        <v>207</v>
      </c>
      <c r="I174" s="95">
        <f t="shared" si="3"/>
        <v>20696100.937098291</v>
      </c>
      <c r="J174" s="144">
        <v>1884300.3118693815</v>
      </c>
      <c r="K174" s="144">
        <v>1908300.1284168041</v>
      </c>
      <c r="L174" s="144">
        <v>1620000</v>
      </c>
      <c r="M174" s="144">
        <v>1708799.8532379381</v>
      </c>
      <c r="N174" s="144">
        <v>1783800.0366905155</v>
      </c>
      <c r="O174" s="144">
        <v>1984200.1467620619</v>
      </c>
      <c r="P174" s="144">
        <v>1844400.0621919683</v>
      </c>
      <c r="Q174" s="144">
        <v>1762499.9821009319</v>
      </c>
      <c r="R174" s="144">
        <v>1626300.0935453696</v>
      </c>
      <c r="S174" s="144">
        <v>1566000</v>
      </c>
      <c r="T174" s="144">
        <v>1513500.1659600434</v>
      </c>
      <c r="U174" s="144">
        <v>1494000.1563232765</v>
      </c>
    </row>
    <row r="175" spans="2:21">
      <c r="B175" s="97" t="s">
        <v>356</v>
      </c>
      <c r="C175" s="143" t="s">
        <v>172</v>
      </c>
      <c r="D175" s="143" t="s">
        <v>5</v>
      </c>
      <c r="E175" s="143" t="s">
        <v>177</v>
      </c>
      <c r="F175" s="143" t="s">
        <v>195</v>
      </c>
      <c r="G175" s="143" t="s">
        <v>195</v>
      </c>
      <c r="H175" s="143" t="s">
        <v>208</v>
      </c>
      <c r="I175" s="95">
        <f t="shared" si="3"/>
        <v>30822000.819300748</v>
      </c>
      <c r="J175" s="144">
        <v>3251700.08853475</v>
      </c>
      <c r="K175" s="144">
        <v>3297300.1328021251</v>
      </c>
      <c r="L175" s="144">
        <v>2836200.08853475</v>
      </c>
      <c r="M175" s="144">
        <v>2733899.7343957499</v>
      </c>
      <c r="N175" s="144">
        <v>2392800.1328021251</v>
      </c>
      <c r="O175" s="144">
        <v>2665799.6901283758</v>
      </c>
      <c r="P175" s="144">
        <v>2498700.1681999713</v>
      </c>
      <c r="Q175" s="144">
        <v>2383200.0594378808</v>
      </c>
      <c r="R175" s="144">
        <v>2238599.9546690839</v>
      </c>
      <c r="S175" s="144">
        <v>2166600.1813236629</v>
      </c>
      <c r="T175" s="144">
        <v>2095500.3688529488</v>
      </c>
      <c r="U175" s="144">
        <v>2261700.2196193263</v>
      </c>
    </row>
    <row r="176" spans="2:21">
      <c r="B176" s="97" t="s">
        <v>356</v>
      </c>
      <c r="C176" s="143" t="s">
        <v>172</v>
      </c>
      <c r="D176" s="143" t="s">
        <v>7</v>
      </c>
      <c r="E176" s="143" t="s">
        <v>176</v>
      </c>
      <c r="F176" s="143" t="s">
        <v>195</v>
      </c>
      <c r="G176" s="143" t="s">
        <v>195</v>
      </c>
      <c r="H176" s="143" t="s">
        <v>207</v>
      </c>
      <c r="I176" s="95">
        <f t="shared" si="3"/>
        <v>77212653.977065504</v>
      </c>
      <c r="J176" s="144">
        <v>5981099.9818544723</v>
      </c>
      <c r="K176" s="144">
        <v>5502800.2177463248</v>
      </c>
      <c r="L176" s="144">
        <v>5806950.4627109431</v>
      </c>
      <c r="M176" s="144">
        <v>6679700.4173471248</v>
      </c>
      <c r="N176" s="144">
        <v>7459900.0181455277</v>
      </c>
      <c r="O176" s="144">
        <v>6717500.272182907</v>
      </c>
      <c r="P176" s="144">
        <v>6435449.8676014375</v>
      </c>
      <c r="Q176" s="144">
        <v>6593900.9282419104</v>
      </c>
      <c r="R176" s="144">
        <v>6660550.9713228494</v>
      </c>
      <c r="S176" s="144">
        <v>6835050.8788159098</v>
      </c>
      <c r="T176" s="144">
        <v>6671899.8759172084</v>
      </c>
      <c r="U176" s="144">
        <v>5867850.0851788763</v>
      </c>
    </row>
    <row r="177" spans="2:21">
      <c r="B177" s="97" t="s">
        <v>356</v>
      </c>
      <c r="C177" s="143" t="s">
        <v>172</v>
      </c>
      <c r="D177" s="143" t="s">
        <v>7</v>
      </c>
      <c r="E177" s="143" t="s">
        <v>176</v>
      </c>
      <c r="F177" s="143" t="s">
        <v>195</v>
      </c>
      <c r="G177" s="143" t="s">
        <v>195</v>
      </c>
      <c r="H177" s="143" t="s">
        <v>208</v>
      </c>
      <c r="I177" s="95">
        <f t="shared" si="3"/>
        <v>121576649.19191363</v>
      </c>
      <c r="J177" s="144">
        <v>11942100.043687198</v>
      </c>
      <c r="K177" s="144">
        <v>10897600.480559196</v>
      </c>
      <c r="L177" s="144">
        <v>11450200.0873744</v>
      </c>
      <c r="M177" s="144">
        <v>10292150.065530799</v>
      </c>
      <c r="N177" s="144">
        <v>10471200.305810399</v>
      </c>
      <c r="O177" s="144">
        <v>9436850.1529051978</v>
      </c>
      <c r="P177" s="144">
        <v>8911049.9205385335</v>
      </c>
      <c r="Q177" s="144">
        <v>9327799.6660547331</v>
      </c>
      <c r="R177" s="144">
        <v>9346349.7316636853</v>
      </c>
      <c r="S177" s="144">
        <v>9608300.0894454382</v>
      </c>
      <c r="T177" s="144">
        <v>9325749.4086626694</v>
      </c>
      <c r="U177" s="144">
        <v>10567299.239681387</v>
      </c>
    </row>
    <row r="178" spans="2:21">
      <c r="B178" s="97" t="s">
        <v>356</v>
      </c>
      <c r="C178" s="143" t="s">
        <v>172</v>
      </c>
      <c r="D178" s="143" t="s">
        <v>7</v>
      </c>
      <c r="E178" s="143" t="s">
        <v>177</v>
      </c>
      <c r="F178" s="143" t="s">
        <v>195</v>
      </c>
      <c r="G178" s="143" t="s">
        <v>195</v>
      </c>
      <c r="H178" s="143" t="s">
        <v>207</v>
      </c>
      <c r="I178" s="95">
        <f t="shared" si="3"/>
        <v>167400.11911145085</v>
      </c>
      <c r="J178" s="144">
        <v>8999.9999999999982</v>
      </c>
      <c r="K178" s="144">
        <v>8999.9999999999982</v>
      </c>
      <c r="L178" s="144">
        <v>8999.9999999999982</v>
      </c>
      <c r="M178" s="144">
        <v>10800.036690515502</v>
      </c>
      <c r="N178" s="144">
        <v>14399.926618968997</v>
      </c>
      <c r="O178" s="144">
        <v>17999.999999999996</v>
      </c>
      <c r="P178" s="144">
        <v>19800.036690515499</v>
      </c>
      <c r="Q178" s="144">
        <v>18000.142128554435</v>
      </c>
      <c r="R178" s="144">
        <v>18000</v>
      </c>
      <c r="S178" s="144">
        <v>14400</v>
      </c>
      <c r="T178" s="144">
        <v>14400.008247551727</v>
      </c>
      <c r="U178" s="144">
        <v>12599.968735344693</v>
      </c>
    </row>
    <row r="179" spans="2:21">
      <c r="B179" s="97" t="s">
        <v>356</v>
      </c>
      <c r="C179" s="143" t="s">
        <v>172</v>
      </c>
      <c r="D179" s="143" t="s">
        <v>7</v>
      </c>
      <c r="E179" s="143" t="s">
        <v>177</v>
      </c>
      <c r="F179" s="143" t="s">
        <v>195</v>
      </c>
      <c r="G179" s="143" t="s">
        <v>195</v>
      </c>
      <c r="H179" s="143" t="s">
        <v>208</v>
      </c>
      <c r="I179" s="95">
        <f t="shared" si="3"/>
        <v>266399.6814608078</v>
      </c>
      <c r="J179" s="144">
        <v>19799.911465250112</v>
      </c>
      <c r="K179" s="144">
        <v>18000</v>
      </c>
      <c r="L179" s="144">
        <v>19799.911465250112</v>
      </c>
      <c r="M179" s="144">
        <v>21600.044267374946</v>
      </c>
      <c r="N179" s="144">
        <v>19799.911465250112</v>
      </c>
      <c r="O179" s="144">
        <v>25200.088534749888</v>
      </c>
      <c r="P179" s="144">
        <v>28799.911465250112</v>
      </c>
      <c r="Q179" s="144">
        <v>25199.921779588607</v>
      </c>
      <c r="R179" s="144">
        <v>25199.909338168629</v>
      </c>
      <c r="S179" s="144">
        <v>21599.954669084316</v>
      </c>
      <c r="T179" s="144">
        <v>21600.153614062008</v>
      </c>
      <c r="U179" s="144">
        <v>19799.963396778916</v>
      </c>
    </row>
    <row r="180" spans="2:21">
      <c r="B180" s="97" t="s">
        <v>356</v>
      </c>
      <c r="C180" s="143" t="s">
        <v>287</v>
      </c>
      <c r="D180" s="143" t="s">
        <v>7</v>
      </c>
      <c r="E180" s="143" t="s">
        <v>177</v>
      </c>
      <c r="F180" s="143" t="s">
        <v>195</v>
      </c>
      <c r="G180" s="143" t="s">
        <v>195</v>
      </c>
      <c r="H180" s="143" t="s">
        <v>207</v>
      </c>
      <c r="I180" s="95">
        <f t="shared" si="3"/>
        <v>210164400.0636223</v>
      </c>
      <c r="J180" s="144">
        <v>15346799.925691992</v>
      </c>
      <c r="K180" s="144">
        <v>15350399.962845996</v>
      </c>
      <c r="L180" s="144">
        <v>15530399.962845996</v>
      </c>
      <c r="M180" s="144">
        <v>14734799.925691994</v>
      </c>
      <c r="N180" s="144">
        <v>18835200.074308004</v>
      </c>
      <c r="O180" s="144">
        <v>18417600.037154004</v>
      </c>
      <c r="P180" s="144">
        <v>19529999.999999996</v>
      </c>
      <c r="Q180" s="144">
        <v>19339200.074308004</v>
      </c>
      <c r="R180" s="144">
        <v>17888399.9244713</v>
      </c>
      <c r="S180" s="144">
        <v>17830800.037764352</v>
      </c>
      <c r="T180" s="144">
        <v>17859600.0755287</v>
      </c>
      <c r="U180" s="144">
        <v>19501200.063011974</v>
      </c>
    </row>
    <row r="181" spans="2:21">
      <c r="B181" s="97" t="s">
        <v>356</v>
      </c>
      <c r="C181" s="143" t="s">
        <v>287</v>
      </c>
      <c r="D181" s="143" t="s">
        <v>7</v>
      </c>
      <c r="E181" s="143" t="s">
        <v>177</v>
      </c>
      <c r="F181" s="143" t="s">
        <v>195</v>
      </c>
      <c r="G181" s="143" t="s">
        <v>195</v>
      </c>
      <c r="H181" s="143" t="s">
        <v>208</v>
      </c>
      <c r="I181" s="95">
        <f t="shared" si="3"/>
        <v>330066000</v>
      </c>
      <c r="J181" s="144">
        <v>30672000</v>
      </c>
      <c r="K181" s="144">
        <v>30376800.000000004</v>
      </c>
      <c r="L181" s="144">
        <v>31071600</v>
      </c>
      <c r="M181" s="144">
        <v>29523600</v>
      </c>
      <c r="N181" s="144">
        <v>26348400.000000004</v>
      </c>
      <c r="O181" s="144">
        <v>25696800.000000004</v>
      </c>
      <c r="P181" s="144">
        <v>27352800.000000004</v>
      </c>
      <c r="Q181" s="144">
        <v>26928000</v>
      </c>
      <c r="R181" s="144">
        <v>25088399.954159979</v>
      </c>
      <c r="S181" s="144">
        <v>25045200.091680039</v>
      </c>
      <c r="T181" s="144">
        <v>24728399.954159983</v>
      </c>
      <c r="U181" s="144">
        <v>27234000.000000004</v>
      </c>
    </row>
    <row r="182" spans="2:21">
      <c r="B182" s="97" t="s">
        <v>356</v>
      </c>
      <c r="C182" s="143" t="s">
        <v>169</v>
      </c>
      <c r="D182" s="143" t="s">
        <v>4</v>
      </c>
      <c r="E182" s="143" t="s">
        <v>195</v>
      </c>
      <c r="F182" s="143" t="s">
        <v>195</v>
      </c>
      <c r="G182" s="143" t="s">
        <v>195</v>
      </c>
      <c r="H182" s="143" t="s">
        <v>6</v>
      </c>
      <c r="I182" s="95">
        <f t="shared" si="3"/>
        <v>877307.93333333358</v>
      </c>
      <c r="J182" s="144">
        <v>73894.2</v>
      </c>
      <c r="K182" s="144">
        <v>73699.06666666668</v>
      </c>
      <c r="L182" s="144">
        <v>73716.7</v>
      </c>
      <c r="M182" s="144">
        <v>73555.233333333337</v>
      </c>
      <c r="N182" s="144">
        <v>73434.766666666663</v>
      </c>
      <c r="O182" s="144">
        <v>73339.533333333326</v>
      </c>
      <c r="P182" s="144">
        <v>73049.400000000038</v>
      </c>
      <c r="Q182" s="144">
        <v>72374.766666666736</v>
      </c>
      <c r="R182" s="144">
        <v>73170.233333333337</v>
      </c>
      <c r="S182" s="144">
        <v>72954.3</v>
      </c>
      <c r="T182" s="144">
        <v>71307.499999999985</v>
      </c>
      <c r="U182" s="144">
        <v>72812.233333333337</v>
      </c>
    </row>
    <row r="183" spans="2:21">
      <c r="B183" s="97" t="s">
        <v>356</v>
      </c>
      <c r="C183" s="143" t="s">
        <v>169</v>
      </c>
      <c r="D183" s="143" t="s">
        <v>5</v>
      </c>
      <c r="E183" s="143" t="s">
        <v>195</v>
      </c>
      <c r="F183" s="143" t="s">
        <v>195</v>
      </c>
      <c r="G183" s="143" t="s">
        <v>195</v>
      </c>
      <c r="H183" s="143" t="s">
        <v>6</v>
      </c>
      <c r="I183" s="95">
        <f t="shared" si="3"/>
        <v>1836975.6</v>
      </c>
      <c r="J183" s="144">
        <v>153879.56666666665</v>
      </c>
      <c r="K183" s="144">
        <v>153989.93333333332</v>
      </c>
      <c r="L183" s="144">
        <v>153804.93333333335</v>
      </c>
      <c r="M183" s="144">
        <v>153658.09999999998</v>
      </c>
      <c r="N183" s="144">
        <v>153992.23333333328</v>
      </c>
      <c r="O183" s="144">
        <v>153959.80000000002</v>
      </c>
      <c r="P183" s="144">
        <v>152720.13333333342</v>
      </c>
      <c r="Q183" s="144">
        <v>150383.4666666667</v>
      </c>
      <c r="R183" s="144">
        <v>153277.23333333334</v>
      </c>
      <c r="S183" s="144">
        <v>153439.39999999994</v>
      </c>
      <c r="T183" s="144">
        <v>150855.2999999999</v>
      </c>
      <c r="U183" s="144">
        <v>153015.5</v>
      </c>
    </row>
    <row r="184" spans="2:21">
      <c r="B184" s="97" t="s">
        <v>356</v>
      </c>
      <c r="C184" s="143" t="s">
        <v>169</v>
      </c>
      <c r="D184" s="143" t="s">
        <v>7</v>
      </c>
      <c r="E184" s="143" t="s">
        <v>195</v>
      </c>
      <c r="F184" s="143" t="s">
        <v>195</v>
      </c>
      <c r="G184" s="143" t="s">
        <v>195</v>
      </c>
      <c r="H184" s="143" t="s">
        <v>6</v>
      </c>
      <c r="I184" s="95">
        <f t="shared" si="3"/>
        <v>121898.83333333334</v>
      </c>
      <c r="J184" s="144">
        <v>10183</v>
      </c>
      <c r="K184" s="144">
        <v>10183</v>
      </c>
      <c r="L184" s="144">
        <v>10183</v>
      </c>
      <c r="M184" s="144">
        <v>10183</v>
      </c>
      <c r="N184" s="144">
        <v>10183</v>
      </c>
      <c r="O184" s="144">
        <v>10190.6</v>
      </c>
      <c r="P184" s="144">
        <v>10137.700000000001</v>
      </c>
      <c r="Q184" s="144">
        <v>10017.433333333334</v>
      </c>
      <c r="R184" s="144">
        <v>10183</v>
      </c>
      <c r="S184" s="144">
        <v>10238.433333333332</v>
      </c>
      <c r="T184" s="144">
        <v>10009.6</v>
      </c>
      <c r="U184" s="144">
        <v>10207.066666666666</v>
      </c>
    </row>
    <row r="185" spans="2:21">
      <c r="B185" s="97" t="s">
        <v>356</v>
      </c>
      <c r="C185" s="143" t="s">
        <v>170</v>
      </c>
      <c r="D185" s="143" t="s">
        <v>167</v>
      </c>
      <c r="E185" s="143" t="s">
        <v>195</v>
      </c>
      <c r="F185" s="143" t="s">
        <v>195</v>
      </c>
      <c r="G185" s="143" t="s">
        <v>195</v>
      </c>
      <c r="H185" s="143" t="s">
        <v>6</v>
      </c>
      <c r="I185" s="95">
        <f t="shared" si="3"/>
        <v>1959801.2666666666</v>
      </c>
      <c r="J185" s="144">
        <v>163006.46666666667</v>
      </c>
      <c r="K185" s="144">
        <v>163088.66666666666</v>
      </c>
      <c r="L185" s="144">
        <v>162830.33333333331</v>
      </c>
      <c r="M185" s="144">
        <v>162859.96666666665</v>
      </c>
      <c r="N185" s="144">
        <v>163095.83333333334</v>
      </c>
      <c r="O185" s="144">
        <v>164187.66666666669</v>
      </c>
      <c r="P185" s="144">
        <v>162816.1333333333</v>
      </c>
      <c r="Q185" s="144">
        <v>160283.76666666669</v>
      </c>
      <c r="R185" s="144">
        <v>164197.9</v>
      </c>
      <c r="S185" s="144">
        <v>164592.63333333333</v>
      </c>
      <c r="T185" s="144">
        <v>164450.66666666666</v>
      </c>
      <c r="U185" s="144">
        <v>164391.23333333334</v>
      </c>
    </row>
    <row r="186" spans="2:21">
      <c r="B186" s="97" t="s">
        <v>356</v>
      </c>
      <c r="C186" s="143" t="s">
        <v>227</v>
      </c>
      <c r="D186" s="143" t="s">
        <v>167</v>
      </c>
      <c r="E186" s="143" t="s">
        <v>195</v>
      </c>
      <c r="F186" s="143" t="s">
        <v>195</v>
      </c>
      <c r="G186" s="143" t="s">
        <v>195</v>
      </c>
      <c r="H186" s="143" t="s">
        <v>6</v>
      </c>
      <c r="I186" s="95">
        <f t="shared" si="3"/>
        <v>2111889.0151406806</v>
      </c>
      <c r="J186" s="144">
        <v>158363.61702127676</v>
      </c>
      <c r="K186" s="144">
        <v>162842.12765957462</v>
      </c>
      <c r="L186" s="144">
        <v>169489.7872340426</v>
      </c>
      <c r="M186" s="144">
        <v>176370.21276595755</v>
      </c>
      <c r="N186" s="144">
        <v>186075.53191489371</v>
      </c>
      <c r="O186" s="144">
        <v>198288.72340425549</v>
      </c>
      <c r="P186" s="144">
        <v>197496.10062028089</v>
      </c>
      <c r="Q186" s="144">
        <v>187005.58371957624</v>
      </c>
      <c r="R186" s="144">
        <v>178879.33634992465</v>
      </c>
      <c r="S186" s="144">
        <v>171695.3320424766</v>
      </c>
      <c r="T186" s="144">
        <v>164700.59671370871</v>
      </c>
      <c r="U186" s="144">
        <v>160682.06569471274</v>
      </c>
    </row>
    <row r="187" spans="2:21">
      <c r="B187" s="145" t="s">
        <v>356</v>
      </c>
      <c r="C187" s="146" t="s">
        <v>171</v>
      </c>
      <c r="D187" s="146" t="s">
        <v>5</v>
      </c>
      <c r="E187" s="146" t="s">
        <v>195</v>
      </c>
      <c r="F187" s="146" t="s">
        <v>195</v>
      </c>
      <c r="G187" s="146" t="s">
        <v>195</v>
      </c>
      <c r="H187" s="146" t="s">
        <v>6</v>
      </c>
      <c r="I187" s="147">
        <f t="shared" si="3"/>
        <v>312414.5359818064</v>
      </c>
      <c r="J187" s="148">
        <v>23048.088531187124</v>
      </c>
      <c r="K187" s="148">
        <v>18517.303822937629</v>
      </c>
      <c r="L187" s="148">
        <v>14981.891348088531</v>
      </c>
      <c r="M187" s="148">
        <v>24668.008048289736</v>
      </c>
      <c r="N187" s="148">
        <v>32598.189134808854</v>
      </c>
      <c r="O187" s="148">
        <v>27807.042253521126</v>
      </c>
      <c r="P187" s="148">
        <v>27808.113844752465</v>
      </c>
      <c r="Q187" s="148">
        <v>34191.613541325234</v>
      </c>
      <c r="R187" s="148">
        <v>38441.122635753505</v>
      </c>
      <c r="S187" s="148">
        <v>30227.374415293882</v>
      </c>
      <c r="T187" s="148">
        <v>23255.123302816024</v>
      </c>
      <c r="U187" s="148">
        <v>16870.665103032334</v>
      </c>
    </row>
    <row r="188" spans="2:21">
      <c r="B188" s="140"/>
      <c r="C188" s="139"/>
      <c r="D188" s="139"/>
      <c r="E188" s="139"/>
      <c r="F188" s="139"/>
      <c r="G188" s="139"/>
      <c r="H188" s="139"/>
      <c r="I188" s="13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2:21">
      <c r="B189" s="97" t="s">
        <v>354</v>
      </c>
      <c r="C189" s="143" t="s">
        <v>422</v>
      </c>
      <c r="D189" s="95" t="s">
        <v>4</v>
      </c>
      <c r="E189" s="97" t="s">
        <v>195</v>
      </c>
      <c r="F189" s="97" t="s">
        <v>195</v>
      </c>
      <c r="G189" s="97" t="s">
        <v>195</v>
      </c>
      <c r="H189" s="97" t="s">
        <v>6</v>
      </c>
      <c r="I189" s="95">
        <f t="shared" ref="I189:I193" si="4">SUM(J189:V189)</f>
        <v>-19485564.170899998</v>
      </c>
      <c r="J189" s="150">
        <v>-19039258.281599998</v>
      </c>
      <c r="K189" s="150">
        <v>-2639370.7416000003</v>
      </c>
      <c r="L189" s="150">
        <v>2270928.5372000001</v>
      </c>
      <c r="M189" s="150">
        <v>3743165.0382000003</v>
      </c>
      <c r="N189" s="150">
        <v>17904121.6589</v>
      </c>
      <c r="O189" s="150">
        <v>10441493.345000001</v>
      </c>
      <c r="P189" s="150">
        <v>-22661821.320000004</v>
      </c>
      <c r="Q189" s="150">
        <v>-5226767.5455</v>
      </c>
      <c r="R189" s="150">
        <v>9430121.4316000007</v>
      </c>
      <c r="S189" s="150">
        <v>-17517733.873599999</v>
      </c>
      <c r="T189" s="150">
        <v>-666818.16029999999</v>
      </c>
      <c r="U189" s="150">
        <v>4476375.7407999998</v>
      </c>
    </row>
    <row r="190" spans="2:21">
      <c r="B190" s="97" t="s">
        <v>354</v>
      </c>
      <c r="C190" s="97" t="s">
        <v>229</v>
      </c>
      <c r="D190" s="97" t="s">
        <v>5</v>
      </c>
      <c r="E190" s="97" t="s">
        <v>195</v>
      </c>
      <c r="F190" s="97" t="s">
        <v>195</v>
      </c>
      <c r="G190" s="97" t="s">
        <v>195</v>
      </c>
      <c r="H190" s="97" t="s">
        <v>6</v>
      </c>
      <c r="I190" s="95">
        <f t="shared" si="4"/>
        <v>-858022.95925769093</v>
      </c>
      <c r="J190" s="150">
        <v>-2905921.9758012621</v>
      </c>
      <c r="K190" s="150">
        <v>-299444.62906759832</v>
      </c>
      <c r="L190" s="150">
        <v>313515.14540020784</v>
      </c>
      <c r="M190" s="150">
        <v>210986.65549915773</v>
      </c>
      <c r="N190" s="150">
        <v>735000.16187917721</v>
      </c>
      <c r="O190" s="150">
        <v>529754.07496228884</v>
      </c>
      <c r="P190" s="150">
        <v>-1284110.4754462757</v>
      </c>
      <c r="Q190" s="150">
        <v>-295508.74150549911</v>
      </c>
      <c r="R190" s="150">
        <v>332250.47660146432</v>
      </c>
      <c r="S190" s="150">
        <v>-235542.56365846482</v>
      </c>
      <c r="T190" s="150">
        <v>1376913.8102822206</v>
      </c>
      <c r="U190" s="150">
        <v>664085.10159689258</v>
      </c>
    </row>
    <row r="191" spans="2:21">
      <c r="B191" s="97" t="s">
        <v>354</v>
      </c>
      <c r="C191" s="97" t="s">
        <v>279</v>
      </c>
      <c r="D191" s="97" t="s">
        <v>5</v>
      </c>
      <c r="E191" s="97" t="s">
        <v>195</v>
      </c>
      <c r="F191" s="97" t="s">
        <v>195</v>
      </c>
      <c r="G191" s="97" t="s">
        <v>195</v>
      </c>
      <c r="H191" s="97" t="s">
        <v>6</v>
      </c>
      <c r="I191" s="95">
        <f t="shared" si="4"/>
        <v>-127447.37919797213</v>
      </c>
      <c r="J191" s="150">
        <v>-4167497.5791301895</v>
      </c>
      <c r="K191" s="150">
        <v>-451859.45575063111</v>
      </c>
      <c r="L191" s="150">
        <v>522798.74801745563</v>
      </c>
      <c r="M191" s="150">
        <v>420535.28553669073</v>
      </c>
      <c r="N191" s="150">
        <v>1535166.5523953503</v>
      </c>
      <c r="O191" s="150">
        <v>839300.06142040144</v>
      </c>
      <c r="P191" s="150">
        <v>-1898257.3467174903</v>
      </c>
      <c r="Q191" s="150">
        <v>-457479.2307066184</v>
      </c>
      <c r="R191" s="150">
        <v>522411.24795534747</v>
      </c>
      <c r="S191" s="150">
        <v>-397132.46755711682</v>
      </c>
      <c r="T191" s="150">
        <v>2262002.3911791504</v>
      </c>
      <c r="U191" s="150">
        <v>1142564.4141596786</v>
      </c>
    </row>
    <row r="192" spans="2:21">
      <c r="B192" s="97" t="s">
        <v>354</v>
      </c>
      <c r="C192" s="97" t="s">
        <v>172</v>
      </c>
      <c r="D192" s="97" t="s">
        <v>5</v>
      </c>
      <c r="E192" s="97" t="s">
        <v>195</v>
      </c>
      <c r="F192" s="97" t="s">
        <v>195</v>
      </c>
      <c r="G192" s="97" t="s">
        <v>195</v>
      </c>
      <c r="H192" s="97" t="s">
        <v>6</v>
      </c>
      <c r="I192" s="95">
        <f t="shared" si="4"/>
        <v>-223992.30364433755</v>
      </c>
      <c r="J192" s="150">
        <v>-1078256.8476685488</v>
      </c>
      <c r="K192" s="150">
        <v>-95439.097081770495</v>
      </c>
      <c r="L192" s="150">
        <v>117846.16578233648</v>
      </c>
      <c r="M192" s="150">
        <v>91607.809064151545</v>
      </c>
      <c r="N192" s="150">
        <v>302456.3133254727</v>
      </c>
      <c r="O192" s="150">
        <v>187349.74011730956</v>
      </c>
      <c r="P192" s="150">
        <v>-355960.63213623391</v>
      </c>
      <c r="Q192" s="150">
        <v>-86551.635187882435</v>
      </c>
      <c r="R192" s="150">
        <v>100386.25844318837</v>
      </c>
      <c r="S192" s="150">
        <v>-80836.761384418292</v>
      </c>
      <c r="T192" s="150">
        <v>446721.21953862917</v>
      </c>
      <c r="U192" s="150">
        <v>226685.16354342879</v>
      </c>
    </row>
    <row r="193" spans="2:21">
      <c r="B193" s="145" t="s">
        <v>354</v>
      </c>
      <c r="C193" s="145" t="s">
        <v>152</v>
      </c>
      <c r="D193" s="145" t="s">
        <v>179</v>
      </c>
      <c r="E193" s="145" t="s">
        <v>195</v>
      </c>
      <c r="F193" s="145" t="s">
        <v>195</v>
      </c>
      <c r="G193" s="145" t="s">
        <v>195</v>
      </c>
      <c r="H193" s="145" t="s">
        <v>6</v>
      </c>
      <c r="I193" s="147">
        <f t="shared" si="4"/>
        <v>-889650.20250000036</v>
      </c>
      <c r="J193" s="151">
        <v>-3894980.6418000003</v>
      </c>
      <c r="K193" s="151">
        <v>-418164.83589999995</v>
      </c>
      <c r="L193" s="151">
        <v>388314.98879999999</v>
      </c>
      <c r="M193" s="151">
        <v>13500.8513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2006566.1688000001</v>
      </c>
      <c r="U193" s="151">
        <v>1015113.2663</v>
      </c>
    </row>
    <row r="194" spans="2:21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2:21">
      <c r="B195" s="97" t="s">
        <v>333</v>
      </c>
      <c r="C195" s="143" t="s">
        <v>422</v>
      </c>
      <c r="D195" s="143" t="s">
        <v>4</v>
      </c>
      <c r="E195" s="143" t="s">
        <v>195</v>
      </c>
      <c r="F195" s="143" t="s">
        <v>195</v>
      </c>
      <c r="G195" s="143" t="s">
        <v>195</v>
      </c>
      <c r="H195" s="96" t="s">
        <v>197</v>
      </c>
      <c r="I195" s="95">
        <f t="shared" ref="I195:I202" si="5">SUM(J195:V195)</f>
        <v>717227158.07384765</v>
      </c>
      <c r="J195" s="9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95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95">
        <f t="shared" si="6"/>
        <v>59581355.617611021</v>
      </c>
      <c r="M195" s="95">
        <f t="shared" si="6"/>
        <v>58755823.914918318</v>
      </c>
      <c r="N195" s="95">
        <f t="shared" si="6"/>
        <v>68455124.358087093</v>
      </c>
      <c r="O195" s="95">
        <f t="shared" si="6"/>
        <v>66152304.06704881</v>
      </c>
      <c r="P195" s="95">
        <f t="shared" si="6"/>
        <v>57090915.072624795</v>
      </c>
      <c r="Q195" s="95">
        <f t="shared" si="6"/>
        <v>60666872.024507716</v>
      </c>
      <c r="R195" s="95">
        <f t="shared" si="6"/>
        <v>65289776.949130207</v>
      </c>
      <c r="S195" s="95">
        <f t="shared" si="6"/>
        <v>50504980.134270266</v>
      </c>
      <c r="T195" s="95">
        <f t="shared" si="6"/>
        <v>57893863.687184468</v>
      </c>
      <c r="U195" s="95">
        <f t="shared" si="6"/>
        <v>59227965.33010406</v>
      </c>
    </row>
    <row r="196" spans="2:21">
      <c r="B196" s="97" t="s">
        <v>333</v>
      </c>
      <c r="C196" s="143" t="s">
        <v>422</v>
      </c>
      <c r="D196" s="143" t="s">
        <v>4</v>
      </c>
      <c r="E196" s="143" t="s">
        <v>195</v>
      </c>
      <c r="F196" s="143" t="s">
        <v>195</v>
      </c>
      <c r="G196" s="143" t="s">
        <v>195</v>
      </c>
      <c r="H196" s="96" t="s">
        <v>198</v>
      </c>
      <c r="I196" s="95">
        <f t="shared" si="5"/>
        <v>900390889.01040673</v>
      </c>
      <c r="J196" s="95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95">
        <f t="shared" si="7"/>
        <v>79218227.69121328</v>
      </c>
      <c r="L196" s="95">
        <f t="shared" si="7"/>
        <v>47292871.889757439</v>
      </c>
      <c r="M196" s="95">
        <f t="shared" si="7"/>
        <v>35297570.837008141</v>
      </c>
      <c r="N196" s="95">
        <f t="shared" si="7"/>
        <v>69330835.384039849</v>
      </c>
      <c r="O196" s="95">
        <f t="shared" si="7"/>
        <v>113223185.55740769</v>
      </c>
      <c r="P196" s="95">
        <f t="shared" si="7"/>
        <v>145998527.11336142</v>
      </c>
      <c r="Q196" s="95">
        <f t="shared" si="7"/>
        <v>117046652.45477994</v>
      </c>
      <c r="R196" s="95">
        <f t="shared" si="7"/>
        <v>89117932.184582993</v>
      </c>
      <c r="S196" s="95">
        <f t="shared" si="7"/>
        <v>47843887.883771934</v>
      </c>
      <c r="T196" s="95">
        <f t="shared" si="7"/>
        <v>45531777.552980103</v>
      </c>
      <c r="U196" s="95">
        <f t="shared" si="7"/>
        <v>35662980.718289115</v>
      </c>
    </row>
    <row r="197" spans="2:21">
      <c r="B197" s="97" t="s">
        <v>333</v>
      </c>
      <c r="C197" s="143" t="s">
        <v>229</v>
      </c>
      <c r="D197" s="143" t="s">
        <v>4</v>
      </c>
      <c r="E197" s="143" t="s">
        <v>195</v>
      </c>
      <c r="F197" s="143" t="s">
        <v>195</v>
      </c>
      <c r="G197" s="143" t="s">
        <v>195</v>
      </c>
      <c r="H197" s="143" t="s">
        <v>197</v>
      </c>
      <c r="I197" s="95">
        <f t="shared" si="5"/>
        <v>13566732.250124412</v>
      </c>
      <c r="J197" s="95">
        <f t="shared" si="7"/>
        <v>1225169.9524731559</v>
      </c>
      <c r="K197" s="95">
        <f t="shared" si="7"/>
        <v>1211890.424221087</v>
      </c>
      <c r="L197" s="95">
        <f t="shared" si="7"/>
        <v>1094737.3701813056</v>
      </c>
      <c r="M197" s="95">
        <f t="shared" si="7"/>
        <v>980881.71096637845</v>
      </c>
      <c r="N197" s="95">
        <f t="shared" si="7"/>
        <v>997309.62858651567</v>
      </c>
      <c r="O197" s="95">
        <f t="shared" si="7"/>
        <v>1172583.1719767647</v>
      </c>
      <c r="P197" s="95">
        <f t="shared" si="7"/>
        <v>1414354.4189865505</v>
      </c>
      <c r="Q197" s="95">
        <f t="shared" si="7"/>
        <v>1293451.5874821479</v>
      </c>
      <c r="R197" s="95">
        <f t="shared" si="7"/>
        <v>1147041.5148013157</v>
      </c>
      <c r="S197" s="95">
        <f t="shared" si="7"/>
        <v>1017514.8013156732</v>
      </c>
      <c r="T197" s="95">
        <f t="shared" si="7"/>
        <v>999767.18380711973</v>
      </c>
      <c r="U197" s="95">
        <f t="shared" si="7"/>
        <v>1012030.4853263962</v>
      </c>
    </row>
    <row r="198" spans="2:21">
      <c r="B198" s="97" t="s">
        <v>333</v>
      </c>
      <c r="C198" s="143" t="s">
        <v>229</v>
      </c>
      <c r="D198" s="143" t="s">
        <v>4</v>
      </c>
      <c r="E198" s="143" t="s">
        <v>195</v>
      </c>
      <c r="F198" s="143" t="s">
        <v>195</v>
      </c>
      <c r="G198" s="143" t="s">
        <v>195</v>
      </c>
      <c r="H198" s="143" t="s">
        <v>198</v>
      </c>
      <c r="I198" s="95">
        <f t="shared" si="5"/>
        <v>7107440.1776486794</v>
      </c>
      <c r="J198" s="95">
        <f t="shared" si="7"/>
        <v>721533.11216026545</v>
      </c>
      <c r="K198" s="95">
        <f t="shared" si="7"/>
        <v>720161.66900599725</v>
      </c>
      <c r="L198" s="95">
        <f t="shared" si="7"/>
        <v>535527.88056654343</v>
      </c>
      <c r="M198" s="95">
        <f t="shared" si="7"/>
        <v>396203.13895623334</v>
      </c>
      <c r="N198" s="95">
        <f t="shared" si="7"/>
        <v>414101.69707796362</v>
      </c>
      <c r="O198" s="95">
        <f t="shared" si="7"/>
        <v>666403.98111522268</v>
      </c>
      <c r="P198" s="95">
        <f t="shared" si="7"/>
        <v>1029284.9326056727</v>
      </c>
      <c r="Q198" s="95">
        <f t="shared" si="7"/>
        <v>816093.40368263319</v>
      </c>
      <c r="R198" s="95">
        <f t="shared" si="7"/>
        <v>577952.74469186959</v>
      </c>
      <c r="S198" s="95">
        <f t="shared" si="7"/>
        <v>413350.9839461419</v>
      </c>
      <c r="T198" s="95">
        <f t="shared" si="7"/>
        <v>405403.43420476827</v>
      </c>
      <c r="U198" s="95">
        <f t="shared" si="7"/>
        <v>411423.19963536918</v>
      </c>
    </row>
    <row r="199" spans="2:21">
      <c r="B199" s="97" t="s">
        <v>333</v>
      </c>
      <c r="C199" s="143" t="s">
        <v>229</v>
      </c>
      <c r="D199" s="143" t="s">
        <v>4</v>
      </c>
      <c r="E199" s="143" t="s">
        <v>195</v>
      </c>
      <c r="F199" s="143" t="s">
        <v>195</v>
      </c>
      <c r="G199" s="143" t="s">
        <v>195</v>
      </c>
      <c r="H199" s="143" t="s">
        <v>282</v>
      </c>
      <c r="I199" s="95">
        <f t="shared" si="5"/>
        <v>930206.40963127534</v>
      </c>
      <c r="J199" s="95">
        <f t="shared" si="7"/>
        <v>104308.77528704208</v>
      </c>
      <c r="K199" s="95">
        <f t="shared" si="7"/>
        <v>105025.15035538544</v>
      </c>
      <c r="L199" s="95">
        <f t="shared" si="7"/>
        <v>75749.863313285954</v>
      </c>
      <c r="M199" s="95">
        <f t="shared" si="7"/>
        <v>53117.140513942039</v>
      </c>
      <c r="N199" s="95">
        <f t="shared" si="7"/>
        <v>48619.874248223066</v>
      </c>
      <c r="O199" s="95">
        <f t="shared" si="7"/>
        <v>79720.065609622747</v>
      </c>
      <c r="P199" s="95">
        <f t="shared" si="7"/>
        <v>163879.98906506287</v>
      </c>
      <c r="Q199" s="95">
        <f t="shared" si="7"/>
        <v>123726.67695413042</v>
      </c>
      <c r="R199" s="95">
        <f t="shared" si="7"/>
        <v>63235.040955157572</v>
      </c>
      <c r="S199" s="95">
        <f t="shared" si="7"/>
        <v>38770.789948632519</v>
      </c>
      <c r="T199" s="95">
        <f t="shared" si="7"/>
        <v>38559.039746629562</v>
      </c>
      <c r="U199" s="95">
        <f t="shared" si="7"/>
        <v>35494.003634161112</v>
      </c>
    </row>
    <row r="200" spans="2:21">
      <c r="B200" s="97" t="s">
        <v>333</v>
      </c>
      <c r="C200" s="143" t="s">
        <v>229</v>
      </c>
      <c r="D200" s="143" t="s">
        <v>5</v>
      </c>
      <c r="E200" s="143" t="s">
        <v>195</v>
      </c>
      <c r="F200" s="143" t="s">
        <v>195</v>
      </c>
      <c r="G200" s="143" t="s">
        <v>195</v>
      </c>
      <c r="H200" s="143" t="s">
        <v>197</v>
      </c>
      <c r="I200" s="95">
        <f t="shared" si="5"/>
        <v>124967405.83695066</v>
      </c>
      <c r="J200" s="95">
        <f t="shared" si="7"/>
        <v>9951231.1934418622</v>
      </c>
      <c r="K200" s="95">
        <f t="shared" si="7"/>
        <v>10546532.85137712</v>
      </c>
      <c r="L200" s="95">
        <f t="shared" si="7"/>
        <v>10212674.297046848</v>
      </c>
      <c r="M200" s="95">
        <f t="shared" si="7"/>
        <v>9829494.9459978361</v>
      </c>
      <c r="N200" s="95">
        <f t="shared" si="7"/>
        <v>10349359.914914433</v>
      </c>
      <c r="O200" s="95">
        <f t="shared" si="7"/>
        <v>10957698.402225677</v>
      </c>
      <c r="P200" s="95">
        <f t="shared" si="7"/>
        <v>11001368.797965545</v>
      </c>
      <c r="Q200" s="95">
        <f t="shared" si="7"/>
        <v>10888893.392461982</v>
      </c>
      <c r="R200" s="95">
        <f t="shared" si="7"/>
        <v>10701648.175141117</v>
      </c>
      <c r="S200" s="95">
        <f t="shared" si="7"/>
        <v>10168362.995355733</v>
      </c>
      <c r="T200" s="95">
        <f t="shared" si="7"/>
        <v>10405434.35687157</v>
      </c>
      <c r="U200" s="95">
        <f t="shared" si="7"/>
        <v>9954706.5141509417</v>
      </c>
    </row>
    <row r="201" spans="2:21">
      <c r="B201" s="97" t="s">
        <v>333</v>
      </c>
      <c r="C201" s="143" t="s">
        <v>229</v>
      </c>
      <c r="D201" s="143" t="s">
        <v>5</v>
      </c>
      <c r="E201" s="143" t="s">
        <v>195</v>
      </c>
      <c r="F201" s="143" t="s">
        <v>195</v>
      </c>
      <c r="G201" s="143" t="s">
        <v>195</v>
      </c>
      <c r="H201" s="143" t="s">
        <v>198</v>
      </c>
      <c r="I201" s="95">
        <f t="shared" si="5"/>
        <v>273139740.90305042</v>
      </c>
      <c r="J201" s="95">
        <f t="shared" si="7"/>
        <v>24768931.441416152</v>
      </c>
      <c r="K201" s="95">
        <f t="shared" si="7"/>
        <v>26626082.622502003</v>
      </c>
      <c r="L201" s="95">
        <f t="shared" si="7"/>
        <v>23043872.352990165</v>
      </c>
      <c r="M201" s="95">
        <f t="shared" si="7"/>
        <v>20099703.127281651</v>
      </c>
      <c r="N201" s="95">
        <f t="shared" si="7"/>
        <v>20866667.260668457</v>
      </c>
      <c r="O201" s="95">
        <f t="shared" si="7"/>
        <v>24401502.650777474</v>
      </c>
      <c r="P201" s="95">
        <f t="shared" si="7"/>
        <v>26699423.893846143</v>
      </c>
      <c r="Q201" s="95">
        <f t="shared" si="7"/>
        <v>24540287.138113283</v>
      </c>
      <c r="R201" s="95">
        <f t="shared" si="7"/>
        <v>22284442.187855355</v>
      </c>
      <c r="S201" s="95">
        <f t="shared" si="7"/>
        <v>19874162.748844311</v>
      </c>
      <c r="T201" s="95">
        <f t="shared" si="7"/>
        <v>20093266.252682593</v>
      </c>
      <c r="U201" s="95">
        <f t="shared" si="7"/>
        <v>19841399.226072818</v>
      </c>
    </row>
    <row r="202" spans="2:21">
      <c r="B202" s="97" t="s">
        <v>333</v>
      </c>
      <c r="C202" s="143" t="s">
        <v>229</v>
      </c>
      <c r="D202" s="143" t="s">
        <v>5</v>
      </c>
      <c r="E202" s="143" t="s">
        <v>195</v>
      </c>
      <c r="F202" s="143" t="s">
        <v>195</v>
      </c>
      <c r="G202" s="143" t="s">
        <v>195</v>
      </c>
      <c r="H202" s="143" t="s">
        <v>282</v>
      </c>
      <c r="I202" s="95">
        <f t="shared" si="5"/>
        <v>109295839.57231574</v>
      </c>
      <c r="J202" s="95">
        <f t="shared" si="7"/>
        <v>12546663.590384986</v>
      </c>
      <c r="K202" s="95">
        <f t="shared" si="7"/>
        <v>14013992.317186594</v>
      </c>
      <c r="L202" s="95">
        <f t="shared" si="7"/>
        <v>10334429.968186872</v>
      </c>
      <c r="M202" s="95">
        <f t="shared" si="7"/>
        <v>8459534.9535600282</v>
      </c>
      <c r="N202" s="95">
        <f t="shared" si="7"/>
        <v>7782592.689687781</v>
      </c>
      <c r="O202" s="95">
        <f t="shared" si="7"/>
        <v>9717465.4612522423</v>
      </c>
      <c r="P202" s="95">
        <f t="shared" si="7"/>
        <v>10625525.124650419</v>
      </c>
      <c r="Q202" s="95">
        <f t="shared" si="7"/>
        <v>8484360.8232057579</v>
      </c>
      <c r="R202" s="95">
        <f t="shared" si="7"/>
        <v>7216823.8635690371</v>
      </c>
      <c r="S202" s="95">
        <f t="shared" si="7"/>
        <v>6259234.2094146591</v>
      </c>
      <c r="T202" s="95">
        <f t="shared" si="7"/>
        <v>6468694.8026066311</v>
      </c>
      <c r="U202" s="95">
        <f t="shared" si="7"/>
        <v>7386521.7686107475</v>
      </c>
    </row>
    <row r="203" spans="2:21">
      <c r="B203" s="97" t="s">
        <v>333</v>
      </c>
      <c r="C203" s="143" t="s">
        <v>229</v>
      </c>
      <c r="D203" s="143" t="s">
        <v>7</v>
      </c>
      <c r="E203" s="143" t="s">
        <v>195</v>
      </c>
      <c r="F203" s="143" t="s">
        <v>195</v>
      </c>
      <c r="G203" s="143" t="s">
        <v>195</v>
      </c>
      <c r="H203" s="143" t="s">
        <v>197</v>
      </c>
      <c r="I203" s="95">
        <f t="shared" ref="I203:I207" si="8">SUM(J203:V203)</f>
        <v>2936892.8839031216</v>
      </c>
      <c r="J203" s="95">
        <f t="shared" si="7"/>
        <v>252888.57595493749</v>
      </c>
      <c r="K203" s="95">
        <f t="shared" si="7"/>
        <v>251012.23376166172</v>
      </c>
      <c r="L203" s="95">
        <f t="shared" si="7"/>
        <v>244532.12462594616</v>
      </c>
      <c r="M203" s="95">
        <f t="shared" si="7"/>
        <v>235201.28498503787</v>
      </c>
      <c r="N203" s="95">
        <f t="shared" si="7"/>
        <v>240304.78788945609</v>
      </c>
      <c r="O203" s="95">
        <f t="shared" si="7"/>
        <v>252332.95194508013</v>
      </c>
      <c r="P203" s="95">
        <f t="shared" si="7"/>
        <v>256061.40364699674</v>
      </c>
      <c r="Q203" s="95">
        <f t="shared" si="7"/>
        <v>251647.03726368514</v>
      </c>
      <c r="R203" s="95">
        <f t="shared" si="7"/>
        <v>243442.17263756771</v>
      </c>
      <c r="S203" s="95">
        <f t="shared" si="7"/>
        <v>237335.05200462262</v>
      </c>
      <c r="T203" s="95">
        <f t="shared" si="7"/>
        <v>236901.7009408325</v>
      </c>
      <c r="U203" s="95">
        <f t="shared" si="7"/>
        <v>235233.55824729701</v>
      </c>
    </row>
    <row r="204" spans="2:21">
      <c r="B204" s="97" t="s">
        <v>333</v>
      </c>
      <c r="C204" s="143" t="s">
        <v>229</v>
      </c>
      <c r="D204" s="143" t="s">
        <v>7</v>
      </c>
      <c r="E204" s="143" t="s">
        <v>195</v>
      </c>
      <c r="F204" s="143" t="s">
        <v>195</v>
      </c>
      <c r="G204" s="143" t="s">
        <v>195</v>
      </c>
      <c r="H204" s="143" t="s">
        <v>198</v>
      </c>
      <c r="I204" s="95">
        <f t="shared" si="8"/>
        <v>8697585.3458522987</v>
      </c>
      <c r="J204" s="95">
        <f t="shared" si="7"/>
        <v>752125.68584917695</v>
      </c>
      <c r="K204" s="95">
        <f t="shared" si="7"/>
        <v>760075.92190889374</v>
      </c>
      <c r="L204" s="95">
        <f t="shared" si="7"/>
        <v>692491.76980987634</v>
      </c>
      <c r="M204" s="95">
        <f t="shared" si="7"/>
        <v>643649.22802092636</v>
      </c>
      <c r="N204" s="95">
        <f t="shared" si="7"/>
        <v>684944.74926630082</v>
      </c>
      <c r="O204" s="95">
        <f t="shared" si="7"/>
        <v>794939.00727319124</v>
      </c>
      <c r="P204" s="95">
        <f t="shared" si="7"/>
        <v>885341.76161930081</v>
      </c>
      <c r="Q204" s="95">
        <f t="shared" si="7"/>
        <v>813995.35416953149</v>
      </c>
      <c r="R204" s="95">
        <f t="shared" si="7"/>
        <v>745667.27084412193</v>
      </c>
      <c r="S204" s="95">
        <f t="shared" si="7"/>
        <v>675856.42154324171</v>
      </c>
      <c r="T204" s="95">
        <f t="shared" si="7"/>
        <v>642916.47545657924</v>
      </c>
      <c r="U204" s="95">
        <f t="shared" si="7"/>
        <v>605581.70009115746</v>
      </c>
    </row>
    <row r="205" spans="2:21">
      <c r="B205" s="97" t="s">
        <v>333</v>
      </c>
      <c r="C205" s="143" t="s">
        <v>229</v>
      </c>
      <c r="D205" s="143" t="s">
        <v>7</v>
      </c>
      <c r="E205" s="143" t="s">
        <v>195</v>
      </c>
      <c r="F205" s="143" t="s">
        <v>195</v>
      </c>
      <c r="G205" s="143" t="s">
        <v>195</v>
      </c>
      <c r="H205" s="143" t="s">
        <v>282</v>
      </c>
      <c r="I205" s="95">
        <f t="shared" si="8"/>
        <v>3467787.0508055836</v>
      </c>
      <c r="J205" s="95">
        <f t="shared" si="7"/>
        <v>297350.05467468564</v>
      </c>
      <c r="K205" s="95">
        <f t="shared" si="7"/>
        <v>326696.00874794973</v>
      </c>
      <c r="L205" s="95">
        <f t="shared" si="7"/>
        <v>305237.01476216514</v>
      </c>
      <c r="M205" s="95">
        <f t="shared" si="7"/>
        <v>276133.8162930563</v>
      </c>
      <c r="N205" s="95">
        <f t="shared" si="7"/>
        <v>260851.14816839801</v>
      </c>
      <c r="O205" s="95">
        <f t="shared" si="7"/>
        <v>377989.20174958993</v>
      </c>
      <c r="P205" s="95">
        <f t="shared" si="7"/>
        <v>438098.00367184961</v>
      </c>
      <c r="Q205" s="95">
        <f t="shared" si="7"/>
        <v>317082.05197366659</v>
      </c>
      <c r="R205" s="95">
        <f t="shared" si="7"/>
        <v>236600.02776620854</v>
      </c>
      <c r="S205" s="95">
        <f t="shared" si="7"/>
        <v>216683.18756073859</v>
      </c>
      <c r="T205" s="95">
        <f t="shared" si="7"/>
        <v>195566.35372921964</v>
      </c>
      <c r="U205" s="95">
        <f t="shared" si="7"/>
        <v>219500.18170805572</v>
      </c>
    </row>
    <row r="206" spans="2:21">
      <c r="B206" s="97" t="s">
        <v>333</v>
      </c>
      <c r="C206" s="143" t="s">
        <v>279</v>
      </c>
      <c r="D206" s="143" t="s">
        <v>4</v>
      </c>
      <c r="E206" s="143" t="s">
        <v>176</v>
      </c>
      <c r="F206" s="143" t="s">
        <v>195</v>
      </c>
      <c r="G206" s="143" t="s">
        <v>195</v>
      </c>
      <c r="H206" s="143" t="s">
        <v>197</v>
      </c>
      <c r="I206" s="95">
        <f t="shared" si="8"/>
        <v>1479518.9669764682</v>
      </c>
      <c r="J206" s="95">
        <f t="shared" si="7"/>
        <v>107839.97997663941</v>
      </c>
      <c r="K206" s="95">
        <f t="shared" si="7"/>
        <v>110079.92658101118</v>
      </c>
      <c r="L206" s="95">
        <f t="shared" si="7"/>
        <v>96480.060070081759</v>
      </c>
      <c r="M206" s="95">
        <f t="shared" si="7"/>
        <v>87839.979976639414</v>
      </c>
      <c r="N206" s="95">
        <f t="shared" si="7"/>
        <v>91440.013348907058</v>
      </c>
      <c r="O206" s="95">
        <f t="shared" si="7"/>
        <v>112160.02002336059</v>
      </c>
      <c r="P206" s="95">
        <f t="shared" si="7"/>
        <v>160000</v>
      </c>
      <c r="Q206" s="95">
        <f t="shared" si="7"/>
        <v>159998.97441116284</v>
      </c>
      <c r="R206" s="95">
        <f t="shared" si="7"/>
        <v>166320.07479177293</v>
      </c>
      <c r="S206" s="95">
        <f t="shared" si="7"/>
        <v>134799.93200747919</v>
      </c>
      <c r="T206" s="95">
        <f t="shared" si="7"/>
        <v>129600.09230707766</v>
      </c>
      <c r="U206" s="95">
        <f t="shared" si="7"/>
        <v>122959.91348233599</v>
      </c>
    </row>
    <row r="207" spans="2:21">
      <c r="B207" s="97" t="s">
        <v>333</v>
      </c>
      <c r="C207" s="143" t="s">
        <v>279</v>
      </c>
      <c r="D207" s="143" t="s">
        <v>4</v>
      </c>
      <c r="E207" s="143" t="s">
        <v>176</v>
      </c>
      <c r="F207" s="143" t="s">
        <v>195</v>
      </c>
      <c r="G207" s="143" t="s">
        <v>195</v>
      </c>
      <c r="H207" s="143" t="s">
        <v>198</v>
      </c>
      <c r="I207" s="95">
        <f t="shared" si="8"/>
        <v>811580.59804120462</v>
      </c>
      <c r="J207" s="95">
        <f t="shared" si="7"/>
        <v>43059.916226552537</v>
      </c>
      <c r="K207" s="95">
        <f t="shared" si="7"/>
        <v>35199.963576761977</v>
      </c>
      <c r="L207" s="95">
        <f t="shared" si="7"/>
        <v>36199.963576761977</v>
      </c>
      <c r="M207" s="95">
        <f t="shared" si="7"/>
        <v>30199.963576761973</v>
      </c>
      <c r="N207" s="95">
        <f t="shared" si="7"/>
        <v>60800.036423238031</v>
      </c>
      <c r="O207" s="95">
        <f t="shared" si="7"/>
        <v>101979.96721908577</v>
      </c>
      <c r="P207" s="95">
        <f t="shared" si="7"/>
        <v>150899.83609542888</v>
      </c>
      <c r="Q207" s="95">
        <f t="shared" si="7"/>
        <v>94440.96360684956</v>
      </c>
      <c r="R207" s="95">
        <f t="shared" si="7"/>
        <v>81199.962832187332</v>
      </c>
      <c r="S207" s="95">
        <f t="shared" si="7"/>
        <v>69800.037167812683</v>
      </c>
      <c r="T207" s="95">
        <f t="shared" si="7"/>
        <v>63799.987739763965</v>
      </c>
      <c r="U207" s="95">
        <f t="shared" si="7"/>
        <v>44000</v>
      </c>
    </row>
    <row r="208" spans="2:21">
      <c r="B208" s="97" t="s">
        <v>333</v>
      </c>
      <c r="C208" s="143" t="s">
        <v>279</v>
      </c>
      <c r="D208" s="143" t="s">
        <v>5</v>
      </c>
      <c r="E208" s="143" t="s">
        <v>176</v>
      </c>
      <c r="F208" s="143" t="s">
        <v>195</v>
      </c>
      <c r="G208" s="143" t="s">
        <v>195</v>
      </c>
      <c r="H208" s="143" t="s">
        <v>197</v>
      </c>
      <c r="I208" s="95">
        <f t="shared" ref="I208:I217" si="9">SUM(J208:V208)</f>
        <v>366995069.57076186</v>
      </c>
      <c r="J208" s="95">
        <f t="shared" si="7"/>
        <v>28469477.308910172</v>
      </c>
      <c r="K208" s="95">
        <f t="shared" si="7"/>
        <v>30542230.541089352</v>
      </c>
      <c r="L208" s="95">
        <f t="shared" si="7"/>
        <v>32023201.250412263</v>
      </c>
      <c r="M208" s="95">
        <f t="shared" si="7"/>
        <v>31920488.39312603</v>
      </c>
      <c r="N208" s="95">
        <f t="shared" si="7"/>
        <v>31437526.971320581</v>
      </c>
      <c r="O208" s="95">
        <f t="shared" si="7"/>
        <v>31689242.935409028</v>
      </c>
      <c r="P208" s="95">
        <f t="shared" si="7"/>
        <v>30815812.787537012</v>
      </c>
      <c r="Q208" s="95">
        <f t="shared" si="7"/>
        <v>30685521.400300626</v>
      </c>
      <c r="R208" s="95">
        <f t="shared" si="7"/>
        <v>30439140.668190736</v>
      </c>
      <c r="S208" s="95">
        <f t="shared" si="7"/>
        <v>29088652.292769294</v>
      </c>
      <c r="T208" s="95">
        <f t="shared" si="7"/>
        <v>30166787.883841891</v>
      </c>
      <c r="U208" s="95">
        <f t="shared" si="7"/>
        <v>29716987.137854874</v>
      </c>
    </row>
    <row r="209" spans="2:21">
      <c r="B209" s="97" t="s">
        <v>333</v>
      </c>
      <c r="C209" s="143" t="s">
        <v>279</v>
      </c>
      <c r="D209" s="143" t="s">
        <v>5</v>
      </c>
      <c r="E209" s="143" t="s">
        <v>176</v>
      </c>
      <c r="F209" s="143" t="s">
        <v>195</v>
      </c>
      <c r="G209" s="143" t="s">
        <v>195</v>
      </c>
      <c r="H209" s="143" t="s">
        <v>198</v>
      </c>
      <c r="I209" s="95">
        <f t="shared" si="9"/>
        <v>459402853.69111091</v>
      </c>
      <c r="J209" s="95">
        <f t="shared" si="7"/>
        <v>39997245.577450633</v>
      </c>
      <c r="K209" s="95">
        <f t="shared" si="7"/>
        <v>42553279.084936805</v>
      </c>
      <c r="L209" s="95">
        <f t="shared" si="7"/>
        <v>43643200.782569766</v>
      </c>
      <c r="M209" s="95">
        <f t="shared" si="7"/>
        <v>45132551.979388952</v>
      </c>
      <c r="N209" s="95">
        <f t="shared" si="7"/>
        <v>43388447.834990837</v>
      </c>
      <c r="O209" s="95">
        <f t="shared" si="7"/>
        <v>43718453.493503526</v>
      </c>
      <c r="P209" s="95">
        <f t="shared" si="7"/>
        <v>39475548.216719836</v>
      </c>
      <c r="Q209" s="95">
        <f t="shared" si="7"/>
        <v>34965967.11781095</v>
      </c>
      <c r="R209" s="95">
        <f t="shared" si="7"/>
        <v>32950601.364437208</v>
      </c>
      <c r="S209" s="95">
        <f t="shared" si="7"/>
        <v>30107174.36578574</v>
      </c>
      <c r="T209" s="95">
        <f t="shared" si="7"/>
        <v>30629951.86277131</v>
      </c>
      <c r="U209" s="95">
        <f t="shared" si="7"/>
        <v>32840432.010745272</v>
      </c>
    </row>
    <row r="210" spans="2:21">
      <c r="B210" s="97" t="s">
        <v>333</v>
      </c>
      <c r="C210" s="143" t="s">
        <v>279</v>
      </c>
      <c r="D210" s="143" t="s">
        <v>5</v>
      </c>
      <c r="E210" s="143" t="s">
        <v>177</v>
      </c>
      <c r="F210" s="143" t="s">
        <v>195</v>
      </c>
      <c r="G210" s="143" t="s">
        <v>195</v>
      </c>
      <c r="H210" s="143" t="s">
        <v>197</v>
      </c>
      <c r="I210" s="95">
        <f t="shared" si="9"/>
        <v>3622258.3859375762</v>
      </c>
      <c r="J210" s="95">
        <f t="shared" si="7"/>
        <v>265480.55074408127</v>
      </c>
      <c r="K210" s="95">
        <f t="shared" si="7"/>
        <v>280290.81119274034</v>
      </c>
      <c r="L210" s="95">
        <f t="shared" si="7"/>
        <v>298193.83732137299</v>
      </c>
      <c r="M210" s="95">
        <f t="shared" si="7"/>
        <v>317271.95778887189</v>
      </c>
      <c r="N210" s="95">
        <f t="shared" si="7"/>
        <v>332946.51820457965</v>
      </c>
      <c r="O210" s="95">
        <f t="shared" si="7"/>
        <v>312516.51051786228</v>
      </c>
      <c r="P210" s="95">
        <f t="shared" si="7"/>
        <v>300466.62912186503</v>
      </c>
      <c r="Q210" s="95">
        <f t="shared" si="7"/>
        <v>306208.65925504087</v>
      </c>
      <c r="R210" s="95">
        <f t="shared" si="7"/>
        <v>302100.71912786749</v>
      </c>
      <c r="S210" s="95">
        <f t="shared" si="7"/>
        <v>281016.76815818029</v>
      </c>
      <c r="T210" s="95">
        <f t="shared" si="7"/>
        <v>342814.78487295238</v>
      </c>
      <c r="U210" s="95">
        <f t="shared" si="7"/>
        <v>282950.63963216229</v>
      </c>
    </row>
    <row r="211" spans="2:21">
      <c r="B211" s="97" t="s">
        <v>333</v>
      </c>
      <c r="C211" s="143" t="s">
        <v>279</v>
      </c>
      <c r="D211" s="143" t="s">
        <v>5</v>
      </c>
      <c r="E211" s="143" t="s">
        <v>177</v>
      </c>
      <c r="F211" s="143" t="s">
        <v>195</v>
      </c>
      <c r="G211" s="143" t="s">
        <v>195</v>
      </c>
      <c r="H211" s="143" t="s">
        <v>198</v>
      </c>
      <c r="I211" s="95">
        <f t="shared" si="9"/>
        <v>6659534.4338027984</v>
      </c>
      <c r="J211" s="95">
        <f t="shared" si="7"/>
        <v>592784.4981130719</v>
      </c>
      <c r="K211" s="95">
        <f t="shared" si="7"/>
        <v>724879.87352734676</v>
      </c>
      <c r="L211" s="95">
        <f t="shared" si="7"/>
        <v>680723.17087583872</v>
      </c>
      <c r="M211" s="95">
        <f t="shared" si="7"/>
        <v>565612.18220175814</v>
      </c>
      <c r="N211" s="95">
        <f t="shared" si="7"/>
        <v>601753.74794206885</v>
      </c>
      <c r="O211" s="95">
        <f t="shared" si="7"/>
        <v>604163.61948082666</v>
      </c>
      <c r="P211" s="95">
        <f t="shared" si="7"/>
        <v>584023.99232146109</v>
      </c>
      <c r="Q211" s="95">
        <f t="shared" si="7"/>
        <v>515058.94115434354</v>
      </c>
      <c r="R211" s="95">
        <f t="shared" si="7"/>
        <v>448109.74501661188</v>
      </c>
      <c r="S211" s="95">
        <f t="shared" si="7"/>
        <v>419776.68837134732</v>
      </c>
      <c r="T211" s="95">
        <f t="shared" si="7"/>
        <v>505635.81309833546</v>
      </c>
      <c r="U211" s="95">
        <f t="shared" si="7"/>
        <v>417012.16169978713</v>
      </c>
    </row>
    <row r="212" spans="2:21">
      <c r="B212" s="97" t="s">
        <v>333</v>
      </c>
      <c r="C212" s="143" t="s">
        <v>279</v>
      </c>
      <c r="D212" s="143" t="s">
        <v>7</v>
      </c>
      <c r="E212" s="143" t="s">
        <v>176</v>
      </c>
      <c r="F212" s="143" t="s">
        <v>195</v>
      </c>
      <c r="G212" s="143" t="s">
        <v>195</v>
      </c>
      <c r="H212" s="143" t="s">
        <v>197</v>
      </c>
      <c r="I212" s="95">
        <f t="shared" si="9"/>
        <v>34551148.671501786</v>
      </c>
      <c r="J212" s="95">
        <f t="shared" si="7"/>
        <v>2936839.479392624</v>
      </c>
      <c r="K212" s="95">
        <f t="shared" si="7"/>
        <v>2966379.6095444681</v>
      </c>
      <c r="L212" s="95">
        <f t="shared" si="7"/>
        <v>3054000.1668613381</v>
      </c>
      <c r="M212" s="95">
        <f t="shared" si="7"/>
        <v>3262440.1802102453</v>
      </c>
      <c r="N212" s="95">
        <f t="shared" si="7"/>
        <v>2912459.8698481573</v>
      </c>
      <c r="O212" s="95">
        <f t="shared" si="7"/>
        <v>2878620.0567328553</v>
      </c>
      <c r="P212" s="95">
        <f t="shared" si="7"/>
        <v>2757495.5424084053</v>
      </c>
      <c r="Q212" s="95">
        <f t="shared" si="7"/>
        <v>2776444.5634757914</v>
      </c>
      <c r="R212" s="95">
        <f t="shared" si="7"/>
        <v>2760980.1121876589</v>
      </c>
      <c r="S212" s="95">
        <f t="shared" si="7"/>
        <v>2738139.7246302902</v>
      </c>
      <c r="T212" s="95">
        <f t="shared" si="7"/>
        <v>2772709.1354961772</v>
      </c>
      <c r="U212" s="95">
        <f t="shared" si="7"/>
        <v>2734640.2307137721</v>
      </c>
    </row>
    <row r="213" spans="2:21">
      <c r="B213" s="97" t="s">
        <v>333</v>
      </c>
      <c r="C213" s="143" t="s">
        <v>279</v>
      </c>
      <c r="D213" s="143" t="s">
        <v>7</v>
      </c>
      <c r="E213" s="143" t="s">
        <v>176</v>
      </c>
      <c r="F213" s="143" t="s">
        <v>195</v>
      </c>
      <c r="G213" s="143" t="s">
        <v>195</v>
      </c>
      <c r="H213" s="143" t="s">
        <v>198</v>
      </c>
      <c r="I213" s="95">
        <f t="shared" si="9"/>
        <v>52700866.28859859</v>
      </c>
      <c r="J213" s="95">
        <f t="shared" si="7"/>
        <v>4514520.1238390096</v>
      </c>
      <c r="K213" s="95">
        <f t="shared" si="7"/>
        <v>4705560.5536332168</v>
      </c>
      <c r="L213" s="95">
        <f t="shared" si="7"/>
        <v>4810940.4480058271</v>
      </c>
      <c r="M213" s="95">
        <f t="shared" si="7"/>
        <v>5712160.8085958855</v>
      </c>
      <c r="N213" s="95">
        <f t="shared" si="7"/>
        <v>4679039.7013294464</v>
      </c>
      <c r="O213" s="95">
        <f t="shared" si="7"/>
        <v>4530439.6284829723</v>
      </c>
      <c r="P213" s="95">
        <f t="shared" si="7"/>
        <v>3817144.3666615882</v>
      </c>
      <c r="Q213" s="95">
        <f t="shared" si="7"/>
        <v>3952731.3813609476</v>
      </c>
      <c r="R213" s="95">
        <f t="shared" si="7"/>
        <v>4247080.0966363121</v>
      </c>
      <c r="S213" s="95">
        <f t="shared" si="7"/>
        <v>4082599.7026574984</v>
      </c>
      <c r="T213" s="95">
        <f t="shared" si="7"/>
        <v>3878988.9768518135</v>
      </c>
      <c r="U213" s="95">
        <f t="shared" si="7"/>
        <v>3769660.5005440703</v>
      </c>
    </row>
    <row r="214" spans="2:21">
      <c r="B214" s="97" t="s">
        <v>333</v>
      </c>
      <c r="C214" s="143" t="s">
        <v>279</v>
      </c>
      <c r="D214" s="143" t="s">
        <v>7</v>
      </c>
      <c r="E214" s="143" t="s">
        <v>177</v>
      </c>
      <c r="F214" s="143" t="s">
        <v>195</v>
      </c>
      <c r="G214" s="143" t="s">
        <v>195</v>
      </c>
      <c r="H214" s="143" t="s">
        <v>197</v>
      </c>
      <c r="I214" s="95">
        <f t="shared" si="9"/>
        <v>176399.85621714281</v>
      </c>
      <c r="J214" s="95">
        <f t="shared" si="7"/>
        <v>0</v>
      </c>
      <c r="K214" s="95">
        <f t="shared" si="7"/>
        <v>0</v>
      </c>
      <c r="L214" s="95">
        <f t="shared" si="7"/>
        <v>9600.033372267646</v>
      </c>
      <c r="M214" s="95">
        <f t="shared" si="7"/>
        <v>16799.933255464712</v>
      </c>
      <c r="N214" s="95">
        <f t="shared" si="7"/>
        <v>20399.966627732356</v>
      </c>
      <c r="O214" s="95">
        <f t="shared" si="7"/>
        <v>20399.966627732356</v>
      </c>
      <c r="P214" s="95">
        <f t="shared" si="7"/>
        <v>21600.033372267648</v>
      </c>
      <c r="Q214" s="95">
        <f t="shared" si="7"/>
        <v>21600.004753690344</v>
      </c>
      <c r="R214" s="95">
        <f t="shared" si="7"/>
        <v>18000</v>
      </c>
      <c r="S214" s="95">
        <f t="shared" si="7"/>
        <v>16799.932007479179</v>
      </c>
      <c r="T214" s="95">
        <f t="shared" si="7"/>
        <v>14399.986200508571</v>
      </c>
      <c r="U214" s="95">
        <f t="shared" si="7"/>
        <v>16800</v>
      </c>
    </row>
    <row r="215" spans="2:21">
      <c r="B215" s="97" t="s">
        <v>333</v>
      </c>
      <c r="C215" s="143" t="s">
        <v>152</v>
      </c>
      <c r="D215" s="143" t="s">
        <v>179</v>
      </c>
      <c r="E215" s="143" t="s">
        <v>195</v>
      </c>
      <c r="F215" s="143" t="s">
        <v>195</v>
      </c>
      <c r="G215" s="143" t="s">
        <v>195</v>
      </c>
      <c r="H215" s="143" t="s">
        <v>6</v>
      </c>
      <c r="I215" s="95">
        <f t="shared" si="9"/>
        <v>163418487.16573825</v>
      </c>
      <c r="J215" s="95">
        <f t="shared" si="7"/>
        <v>33041946.112585962</v>
      </c>
      <c r="K215" s="95">
        <f t="shared" si="7"/>
        <v>35808654.754743263</v>
      </c>
      <c r="L215" s="95">
        <f t="shared" si="7"/>
        <v>28040255.047279563</v>
      </c>
      <c r="M215" s="95">
        <f t="shared" si="7"/>
        <v>15839209.477030998</v>
      </c>
      <c r="N215" s="95">
        <f t="shared" si="7"/>
        <v>4608879.0935672494</v>
      </c>
      <c r="O215" s="95">
        <f t="shared" si="7"/>
        <v>850167.54385965201</v>
      </c>
      <c r="P215" s="95">
        <f t="shared" si="7"/>
        <v>552067.93524566945</v>
      </c>
      <c r="Q215" s="95">
        <f t="shared" si="7"/>
        <v>532671.36329890345</v>
      </c>
      <c r="R215" s="95">
        <f t="shared" si="7"/>
        <v>2522598.9775631865</v>
      </c>
      <c r="S215" s="95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95">
        <f t="shared" si="10"/>
        <v>13853726.250913836</v>
      </c>
      <c r="U215" s="95">
        <f t="shared" si="10"/>
        <v>18421259.913824938</v>
      </c>
    </row>
    <row r="216" spans="2:21">
      <c r="B216" s="97" t="s">
        <v>333</v>
      </c>
      <c r="C216" s="143" t="s">
        <v>252</v>
      </c>
      <c r="D216" s="143" t="s">
        <v>7</v>
      </c>
      <c r="E216" s="143" t="s">
        <v>176</v>
      </c>
      <c r="F216" s="143" t="s">
        <v>195</v>
      </c>
      <c r="G216" s="143" t="s">
        <v>195</v>
      </c>
      <c r="H216" s="143" t="s">
        <v>207</v>
      </c>
      <c r="I216" s="95">
        <f t="shared" si="9"/>
        <v>750000</v>
      </c>
      <c r="J216" s="95">
        <f t="shared" si="7"/>
        <v>60000</v>
      </c>
      <c r="K216" s="95">
        <f t="shared" si="10"/>
        <v>70000</v>
      </c>
      <c r="L216" s="95">
        <f t="shared" si="10"/>
        <v>68000</v>
      </c>
      <c r="M216" s="95">
        <f t="shared" si="10"/>
        <v>67000</v>
      </c>
      <c r="N216" s="95">
        <f t="shared" si="10"/>
        <v>63000</v>
      </c>
      <c r="O216" s="95">
        <f t="shared" si="10"/>
        <v>55000.000000000007</v>
      </c>
      <c r="P216" s="95">
        <f t="shared" si="10"/>
        <v>153000</v>
      </c>
      <c r="Q216" s="95">
        <f t="shared" si="10"/>
        <v>46000.000000000007</v>
      </c>
      <c r="R216" s="95">
        <f t="shared" si="10"/>
        <v>52000</v>
      </c>
      <c r="S216" s="95">
        <f t="shared" si="10"/>
        <v>36000</v>
      </c>
      <c r="T216" s="95">
        <f t="shared" si="10"/>
        <v>43999.999999999993</v>
      </c>
      <c r="U216" s="95">
        <f t="shared" si="10"/>
        <v>35999.999999999993</v>
      </c>
    </row>
    <row r="217" spans="2:21">
      <c r="B217" s="97" t="s">
        <v>333</v>
      </c>
      <c r="C217" s="143" t="s">
        <v>252</v>
      </c>
      <c r="D217" s="143" t="s">
        <v>7</v>
      </c>
      <c r="E217" s="143" t="s">
        <v>176</v>
      </c>
      <c r="F217" s="143" t="s">
        <v>195</v>
      </c>
      <c r="G217" s="143" t="s">
        <v>195</v>
      </c>
      <c r="H217" s="143" t="s">
        <v>208</v>
      </c>
      <c r="I217" s="95">
        <f t="shared" si="9"/>
        <v>927000</v>
      </c>
      <c r="J217" s="95">
        <f t="shared" si="7"/>
        <v>62999.999999999993</v>
      </c>
      <c r="K217" s="95">
        <f t="shared" si="10"/>
        <v>103000</v>
      </c>
      <c r="L217" s="95">
        <f t="shared" si="10"/>
        <v>102000</v>
      </c>
      <c r="M217" s="95">
        <f t="shared" si="10"/>
        <v>52000</v>
      </c>
      <c r="N217" s="95">
        <f t="shared" si="10"/>
        <v>74000</v>
      </c>
      <c r="O217" s="95">
        <f t="shared" si="10"/>
        <v>77000</v>
      </c>
      <c r="P217" s="95">
        <f t="shared" si="10"/>
        <v>219000</v>
      </c>
      <c r="Q217" s="95">
        <f t="shared" si="10"/>
        <v>55000.000000000007</v>
      </c>
      <c r="R217" s="95">
        <f t="shared" si="10"/>
        <v>50000</v>
      </c>
      <c r="S217" s="95">
        <f t="shared" si="10"/>
        <v>35000</v>
      </c>
      <c r="T217" s="95">
        <f t="shared" si="10"/>
        <v>40999.999999999993</v>
      </c>
      <c r="U217" s="95">
        <f t="shared" si="10"/>
        <v>56000</v>
      </c>
    </row>
    <row r="218" spans="2:21">
      <c r="B218" s="97" t="s">
        <v>333</v>
      </c>
      <c r="C218" s="143" t="s">
        <v>172</v>
      </c>
      <c r="D218" s="143" t="s">
        <v>5</v>
      </c>
      <c r="E218" s="143" t="s">
        <v>176</v>
      </c>
      <c r="F218" s="143" t="s">
        <v>195</v>
      </c>
      <c r="G218" s="143" t="s">
        <v>195</v>
      </c>
      <c r="H218" s="143" t="s">
        <v>207</v>
      </c>
      <c r="I218" s="95">
        <f t="shared" ref="I218:I230" si="11">SUM(J218:V218)</f>
        <v>49153349.825124249</v>
      </c>
      <c r="J218" s="95">
        <f t="shared" si="7"/>
        <v>4270312.2184463236</v>
      </c>
      <c r="K218" s="95">
        <f t="shared" si="10"/>
        <v>4163186.7124442765</v>
      </c>
      <c r="L218" s="95">
        <f t="shared" si="10"/>
        <v>4227159.5454999702</v>
      </c>
      <c r="M218" s="95">
        <f t="shared" si="10"/>
        <v>4644117.2503544381</v>
      </c>
      <c r="N218" s="95">
        <f t="shared" si="10"/>
        <v>4933080.7694660686</v>
      </c>
      <c r="O218" s="95">
        <f t="shared" si="10"/>
        <v>4703424.7381990533</v>
      </c>
      <c r="P218" s="95">
        <f t="shared" si="10"/>
        <v>3866734.795827521</v>
      </c>
      <c r="Q218" s="95">
        <f t="shared" si="10"/>
        <v>3773173.9875640604</v>
      </c>
      <c r="R218" s="95">
        <f t="shared" si="10"/>
        <v>3756470.4031548444</v>
      </c>
      <c r="S218" s="95">
        <f t="shared" si="10"/>
        <v>3551793.1836941871</v>
      </c>
      <c r="T218" s="95">
        <f t="shared" si="10"/>
        <v>3619990.2802257468</v>
      </c>
      <c r="U218" s="95">
        <f t="shared" si="10"/>
        <v>3643905.9402477699</v>
      </c>
    </row>
    <row r="219" spans="2:21">
      <c r="B219" s="97" t="s">
        <v>333</v>
      </c>
      <c r="C219" s="143" t="s">
        <v>172</v>
      </c>
      <c r="D219" s="143" t="s">
        <v>5</v>
      </c>
      <c r="E219" s="143" t="s">
        <v>176</v>
      </c>
      <c r="F219" s="143" t="s">
        <v>195</v>
      </c>
      <c r="G219" s="143" t="s">
        <v>195</v>
      </c>
      <c r="H219" s="143" t="s">
        <v>208</v>
      </c>
      <c r="I219" s="95">
        <f t="shared" si="11"/>
        <v>74269628.808923334</v>
      </c>
      <c r="J219" s="95">
        <f t="shared" si="7"/>
        <v>7621264.9719773745</v>
      </c>
      <c r="K219" s="95">
        <f t="shared" si="10"/>
        <v>7486993.5234456984</v>
      </c>
      <c r="L219" s="95">
        <f t="shared" si="10"/>
        <v>7585437.2422985816</v>
      </c>
      <c r="M219" s="95">
        <f t="shared" si="10"/>
        <v>7561345.1140365619</v>
      </c>
      <c r="N219" s="95">
        <f t="shared" si="10"/>
        <v>6685261.5302020404</v>
      </c>
      <c r="O219" s="95">
        <f t="shared" si="10"/>
        <v>6461275.5086163962</v>
      </c>
      <c r="P219" s="95">
        <f t="shared" si="10"/>
        <v>5309136.7111109728</v>
      </c>
      <c r="Q219" s="95">
        <f t="shared" si="10"/>
        <v>5157392.3428198453</v>
      </c>
      <c r="R219" s="95">
        <f t="shared" si="10"/>
        <v>5100952.9103743453</v>
      </c>
      <c r="S219" s="95">
        <f t="shared" si="10"/>
        <v>4800024.7477506055</v>
      </c>
      <c r="T219" s="95">
        <f t="shared" si="10"/>
        <v>4876853.0768103683</v>
      </c>
      <c r="U219" s="95">
        <f t="shared" si="10"/>
        <v>5623691.129480538</v>
      </c>
    </row>
    <row r="220" spans="2:21">
      <c r="B220" s="97" t="s">
        <v>333</v>
      </c>
      <c r="C220" s="143" t="s">
        <v>172</v>
      </c>
      <c r="D220" s="143" t="s">
        <v>5</v>
      </c>
      <c r="E220" s="143" t="s">
        <v>177</v>
      </c>
      <c r="F220" s="143" t="s">
        <v>195</v>
      </c>
      <c r="G220" s="143" t="s">
        <v>195</v>
      </c>
      <c r="H220" s="143" t="s">
        <v>207</v>
      </c>
      <c r="I220" s="95">
        <f t="shared" si="11"/>
        <v>20677549.9030241</v>
      </c>
      <c r="J220" s="95">
        <f t="shared" si="7"/>
        <v>1770122.0031491765</v>
      </c>
      <c r="K220" s="95">
        <f t="shared" si="10"/>
        <v>1897537.3375367254</v>
      </c>
      <c r="L220" s="95">
        <f t="shared" si="10"/>
        <v>1631796.7042778896</v>
      </c>
      <c r="M220" s="95">
        <f t="shared" si="10"/>
        <v>1718240.6875087859</v>
      </c>
      <c r="N220" s="95">
        <f t="shared" si="10"/>
        <v>1818443.3800916134</v>
      </c>
      <c r="O220" s="95">
        <f t="shared" si="10"/>
        <v>2007903.6318972025</v>
      </c>
      <c r="P220" s="95">
        <f t="shared" si="10"/>
        <v>1796695.8662231094</v>
      </c>
      <c r="Q220" s="95">
        <f t="shared" si="10"/>
        <v>1750886.6260032021</v>
      </c>
      <c r="R220" s="95">
        <f t="shared" si="10"/>
        <v>1639203.2252104301</v>
      </c>
      <c r="S220" s="95">
        <f t="shared" si="10"/>
        <v>1555572.8020604155</v>
      </c>
      <c r="T220" s="95">
        <f t="shared" si="10"/>
        <v>1570818.2491898802</v>
      </c>
      <c r="U220" s="95">
        <f t="shared" si="10"/>
        <v>1520329.3898756707</v>
      </c>
    </row>
    <row r="221" spans="2:21">
      <c r="B221" s="97" t="s">
        <v>333</v>
      </c>
      <c r="C221" s="143" t="s">
        <v>172</v>
      </c>
      <c r="D221" s="143" t="s">
        <v>5</v>
      </c>
      <c r="E221" s="143" t="s">
        <v>177</v>
      </c>
      <c r="F221" s="143" t="s">
        <v>195</v>
      </c>
      <c r="G221" s="143" t="s">
        <v>195</v>
      </c>
      <c r="H221" s="143" t="s">
        <v>208</v>
      </c>
      <c r="I221" s="95">
        <f t="shared" si="11"/>
        <v>30762665.039901745</v>
      </c>
      <c r="J221" s="95">
        <f t="shared" si="7"/>
        <v>3054664.8207297451</v>
      </c>
      <c r="K221" s="95">
        <f t="shared" si="10"/>
        <v>3278703.3977971091</v>
      </c>
      <c r="L221" s="95">
        <f t="shared" si="10"/>
        <v>2856853.0599652245</v>
      </c>
      <c r="M221" s="95">
        <f t="shared" si="10"/>
        <v>2749004.0745890369</v>
      </c>
      <c r="N221" s="95">
        <f t="shared" si="10"/>
        <v>2439270.922680934</v>
      </c>
      <c r="O221" s="95">
        <f t="shared" si="10"/>
        <v>2697645.6424791683</v>
      </c>
      <c r="P221" s="95">
        <f t="shared" si="10"/>
        <v>2434072.9298178758</v>
      </c>
      <c r="Q221" s="95">
        <f t="shared" si="10"/>
        <v>2367496.8247011681</v>
      </c>
      <c r="R221" s="95">
        <f t="shared" si="10"/>
        <v>2256361.0985533739</v>
      </c>
      <c r="S221" s="95">
        <f t="shared" si="10"/>
        <v>2152173.8920857306</v>
      </c>
      <c r="T221" s="95">
        <f t="shared" si="10"/>
        <v>2174859.5042210501</v>
      </c>
      <c r="U221" s="95">
        <f t="shared" si="10"/>
        <v>2301558.8722813232</v>
      </c>
    </row>
    <row r="222" spans="2:21">
      <c r="B222" s="97" t="s">
        <v>333</v>
      </c>
      <c r="C222" s="143" t="s">
        <v>172</v>
      </c>
      <c r="D222" s="143" t="s">
        <v>7</v>
      </c>
      <c r="E222" s="143" t="s">
        <v>176</v>
      </c>
      <c r="F222" s="143" t="s">
        <v>195</v>
      </c>
      <c r="G222" s="143" t="s">
        <v>195</v>
      </c>
      <c r="H222" s="143" t="s">
        <v>207</v>
      </c>
      <c r="I222" s="95">
        <f t="shared" si="11"/>
        <v>77212653.977065504</v>
      </c>
      <c r="J222" s="95">
        <f t="shared" si="7"/>
        <v>5981099.9818544723</v>
      </c>
      <c r="K222" s="95">
        <f t="shared" si="10"/>
        <v>5502800.2177463248</v>
      </c>
      <c r="L222" s="95">
        <f t="shared" si="10"/>
        <v>5806950.4627109431</v>
      </c>
      <c r="M222" s="95">
        <f t="shared" si="10"/>
        <v>6679700.4173471248</v>
      </c>
      <c r="N222" s="95">
        <f t="shared" si="10"/>
        <v>7459900.0181455277</v>
      </c>
      <c r="O222" s="95">
        <f t="shared" si="10"/>
        <v>6717500.272182907</v>
      </c>
      <c r="P222" s="95">
        <f t="shared" si="10"/>
        <v>6435449.8676014375</v>
      </c>
      <c r="Q222" s="95">
        <f t="shared" si="10"/>
        <v>6593900.9282419104</v>
      </c>
      <c r="R222" s="95">
        <f t="shared" si="10"/>
        <v>6660550.9713228494</v>
      </c>
      <c r="S222" s="95">
        <f t="shared" si="10"/>
        <v>6835050.8788159098</v>
      </c>
      <c r="T222" s="95">
        <f t="shared" si="10"/>
        <v>6671899.8759172084</v>
      </c>
      <c r="U222" s="95">
        <f t="shared" si="10"/>
        <v>5867850.0851788763</v>
      </c>
    </row>
    <row r="223" spans="2:21">
      <c r="B223" s="97" t="s">
        <v>333</v>
      </c>
      <c r="C223" s="143" t="s">
        <v>172</v>
      </c>
      <c r="D223" s="143" t="s">
        <v>7</v>
      </c>
      <c r="E223" s="143" t="s">
        <v>176</v>
      </c>
      <c r="F223" s="143" t="s">
        <v>195</v>
      </c>
      <c r="G223" s="143" t="s">
        <v>195</v>
      </c>
      <c r="H223" s="143" t="s">
        <v>208</v>
      </c>
      <c r="I223" s="95">
        <f t="shared" si="11"/>
        <v>121576649.19191363</v>
      </c>
      <c r="J223" s="95">
        <f t="shared" si="7"/>
        <v>11942100.043687198</v>
      </c>
      <c r="K223" s="95">
        <f t="shared" si="10"/>
        <v>10897600.480559196</v>
      </c>
      <c r="L223" s="95">
        <f t="shared" si="10"/>
        <v>11450200.0873744</v>
      </c>
      <c r="M223" s="95">
        <f t="shared" si="10"/>
        <v>10292150.065530799</v>
      </c>
      <c r="N223" s="95">
        <f t="shared" si="10"/>
        <v>10471200.305810399</v>
      </c>
      <c r="O223" s="95">
        <f t="shared" si="10"/>
        <v>9436850.1529051978</v>
      </c>
      <c r="P223" s="95">
        <f t="shared" si="10"/>
        <v>8911049.9205385335</v>
      </c>
      <c r="Q223" s="95">
        <f t="shared" si="10"/>
        <v>9327799.6660547331</v>
      </c>
      <c r="R223" s="95">
        <f t="shared" si="10"/>
        <v>9346349.7316636853</v>
      </c>
      <c r="S223" s="95">
        <f t="shared" si="10"/>
        <v>9608300.0894454382</v>
      </c>
      <c r="T223" s="95">
        <f t="shared" si="10"/>
        <v>9325749.4086626694</v>
      </c>
      <c r="U223" s="95">
        <f t="shared" si="10"/>
        <v>10567299.239681387</v>
      </c>
    </row>
    <row r="224" spans="2:21">
      <c r="B224" s="97" t="s">
        <v>333</v>
      </c>
      <c r="C224" s="143" t="s">
        <v>172</v>
      </c>
      <c r="D224" s="143" t="s">
        <v>7</v>
      </c>
      <c r="E224" s="143" t="s">
        <v>177</v>
      </c>
      <c r="F224" s="143" t="s">
        <v>195</v>
      </c>
      <c r="G224" s="143" t="s">
        <v>195</v>
      </c>
      <c r="H224" s="143" t="s">
        <v>207</v>
      </c>
      <c r="I224" s="95">
        <f t="shared" si="11"/>
        <v>167400.11911145085</v>
      </c>
      <c r="J224" s="95">
        <f t="shared" si="7"/>
        <v>8999.9999999999982</v>
      </c>
      <c r="K224" s="95">
        <f t="shared" si="10"/>
        <v>8999.9999999999982</v>
      </c>
      <c r="L224" s="95">
        <f t="shared" si="10"/>
        <v>8999.9999999999982</v>
      </c>
      <c r="M224" s="95">
        <f t="shared" si="10"/>
        <v>10800.036690515502</v>
      </c>
      <c r="N224" s="95">
        <f t="shared" si="10"/>
        <v>14399.926618968997</v>
      </c>
      <c r="O224" s="95">
        <f t="shared" si="10"/>
        <v>17999.999999999996</v>
      </c>
      <c r="P224" s="95">
        <f t="shared" si="10"/>
        <v>19800.036690515499</v>
      </c>
      <c r="Q224" s="95">
        <f t="shared" si="10"/>
        <v>18000.142128554435</v>
      </c>
      <c r="R224" s="95">
        <f t="shared" si="10"/>
        <v>18000</v>
      </c>
      <c r="S224" s="95">
        <f t="shared" si="10"/>
        <v>14400</v>
      </c>
      <c r="T224" s="95">
        <f t="shared" si="10"/>
        <v>14400.008247551727</v>
      </c>
      <c r="U224" s="95">
        <f t="shared" si="10"/>
        <v>12599.968735344693</v>
      </c>
    </row>
    <row r="225" spans="2:21">
      <c r="B225" s="97" t="s">
        <v>333</v>
      </c>
      <c r="C225" s="143" t="s">
        <v>172</v>
      </c>
      <c r="D225" s="143" t="s">
        <v>7</v>
      </c>
      <c r="E225" s="143" t="s">
        <v>177</v>
      </c>
      <c r="F225" s="143" t="s">
        <v>195</v>
      </c>
      <c r="G225" s="143" t="s">
        <v>195</v>
      </c>
      <c r="H225" s="143" t="s">
        <v>208</v>
      </c>
      <c r="I225" s="95">
        <f t="shared" si="11"/>
        <v>266399.6814608078</v>
      </c>
      <c r="J225" s="95">
        <f t="shared" si="7"/>
        <v>19799.911465250112</v>
      </c>
      <c r="K225" s="95">
        <f t="shared" si="10"/>
        <v>18000</v>
      </c>
      <c r="L225" s="95">
        <f t="shared" si="10"/>
        <v>19799.911465250112</v>
      </c>
      <c r="M225" s="95">
        <f t="shared" si="10"/>
        <v>21600.044267374946</v>
      </c>
      <c r="N225" s="95">
        <f t="shared" si="10"/>
        <v>19799.911465250112</v>
      </c>
      <c r="O225" s="95">
        <f t="shared" si="10"/>
        <v>25200.088534749888</v>
      </c>
      <c r="P225" s="95">
        <f t="shared" si="10"/>
        <v>28799.911465250112</v>
      </c>
      <c r="Q225" s="95">
        <f t="shared" si="10"/>
        <v>25199.921779588607</v>
      </c>
      <c r="R225" s="95">
        <f t="shared" si="10"/>
        <v>25199.909338168629</v>
      </c>
      <c r="S225" s="95">
        <f t="shared" si="10"/>
        <v>21599.954669084316</v>
      </c>
      <c r="T225" s="95">
        <f t="shared" si="10"/>
        <v>21600.153614062008</v>
      </c>
      <c r="U225" s="95">
        <f t="shared" si="10"/>
        <v>19799.963396778916</v>
      </c>
    </row>
    <row r="226" spans="2:21">
      <c r="B226" s="97" t="s">
        <v>333</v>
      </c>
      <c r="C226" s="143" t="s">
        <v>287</v>
      </c>
      <c r="D226" s="143" t="s">
        <v>7</v>
      </c>
      <c r="E226" s="143" t="s">
        <v>177</v>
      </c>
      <c r="F226" s="143" t="s">
        <v>195</v>
      </c>
      <c r="G226" s="143" t="s">
        <v>195</v>
      </c>
      <c r="H226" s="143" t="s">
        <v>207</v>
      </c>
      <c r="I226" s="95">
        <f t="shared" si="11"/>
        <v>210164400.0636223</v>
      </c>
      <c r="J226" s="95">
        <f t="shared" si="7"/>
        <v>15346799.925691992</v>
      </c>
      <c r="K226" s="95">
        <f t="shared" si="10"/>
        <v>15350399.962845996</v>
      </c>
      <c r="L226" s="95">
        <f t="shared" si="10"/>
        <v>15530399.962845996</v>
      </c>
      <c r="M226" s="95">
        <f t="shared" si="10"/>
        <v>14734799.925691994</v>
      </c>
      <c r="N226" s="95">
        <f t="shared" si="10"/>
        <v>18835200.074308004</v>
      </c>
      <c r="O226" s="95">
        <f t="shared" si="10"/>
        <v>18417600.037154004</v>
      </c>
      <c r="P226" s="95">
        <f t="shared" si="10"/>
        <v>19529999.999999996</v>
      </c>
      <c r="Q226" s="95">
        <f t="shared" si="10"/>
        <v>19339200.074308004</v>
      </c>
      <c r="R226" s="95">
        <f t="shared" si="10"/>
        <v>17888399.9244713</v>
      </c>
      <c r="S226" s="95">
        <f t="shared" si="10"/>
        <v>17830800.037764352</v>
      </c>
      <c r="T226" s="95">
        <f t="shared" si="10"/>
        <v>17859600.0755287</v>
      </c>
      <c r="U226" s="95">
        <f t="shared" si="10"/>
        <v>19501200.063011974</v>
      </c>
    </row>
    <row r="227" spans="2:21">
      <c r="B227" s="97" t="s">
        <v>333</v>
      </c>
      <c r="C227" s="143" t="s">
        <v>287</v>
      </c>
      <c r="D227" s="143" t="s">
        <v>7</v>
      </c>
      <c r="E227" s="143" t="s">
        <v>177</v>
      </c>
      <c r="F227" s="143" t="s">
        <v>195</v>
      </c>
      <c r="G227" s="143" t="s">
        <v>195</v>
      </c>
      <c r="H227" s="143" t="s">
        <v>208</v>
      </c>
      <c r="I227" s="95">
        <f t="shared" si="11"/>
        <v>330066000</v>
      </c>
      <c r="J227" s="95">
        <f t="shared" si="7"/>
        <v>30672000</v>
      </c>
      <c r="K227" s="95">
        <f t="shared" si="10"/>
        <v>30376800.000000004</v>
      </c>
      <c r="L227" s="95">
        <f t="shared" si="10"/>
        <v>31071600</v>
      </c>
      <c r="M227" s="95">
        <f t="shared" si="10"/>
        <v>29523600</v>
      </c>
      <c r="N227" s="95">
        <f t="shared" si="10"/>
        <v>26348400.000000004</v>
      </c>
      <c r="O227" s="95">
        <f t="shared" si="10"/>
        <v>25696800.000000004</v>
      </c>
      <c r="P227" s="95">
        <f t="shared" si="10"/>
        <v>27352800.000000004</v>
      </c>
      <c r="Q227" s="95">
        <f t="shared" si="10"/>
        <v>26928000</v>
      </c>
      <c r="R227" s="95">
        <f t="shared" si="10"/>
        <v>25088399.954159979</v>
      </c>
      <c r="S227" s="95">
        <f t="shared" si="10"/>
        <v>25045200.091680039</v>
      </c>
      <c r="T227" s="95">
        <f t="shared" si="10"/>
        <v>24728399.954159983</v>
      </c>
      <c r="U227" s="95">
        <f t="shared" si="10"/>
        <v>27234000.000000004</v>
      </c>
    </row>
    <row r="228" spans="2:21">
      <c r="B228" s="97" t="s">
        <v>333</v>
      </c>
      <c r="C228" s="143" t="s">
        <v>169</v>
      </c>
      <c r="D228" s="143" t="s">
        <v>4</v>
      </c>
      <c r="E228" s="143" t="s">
        <v>195</v>
      </c>
      <c r="F228" s="143" t="s">
        <v>195</v>
      </c>
      <c r="G228" s="143" t="s">
        <v>195</v>
      </c>
      <c r="H228" s="143" t="s">
        <v>6</v>
      </c>
      <c r="I228" s="95">
        <f t="shared" si="11"/>
        <v>877307.93333333358</v>
      </c>
      <c r="J228" s="95">
        <f t="shared" si="7"/>
        <v>73894.2</v>
      </c>
      <c r="K228" s="95">
        <f t="shared" si="10"/>
        <v>73699.06666666668</v>
      </c>
      <c r="L228" s="95">
        <f t="shared" si="10"/>
        <v>73716.7</v>
      </c>
      <c r="M228" s="95">
        <f t="shared" si="10"/>
        <v>73555.233333333337</v>
      </c>
      <c r="N228" s="95">
        <f t="shared" si="10"/>
        <v>73434.766666666663</v>
      </c>
      <c r="O228" s="95">
        <f t="shared" si="10"/>
        <v>73339.533333333326</v>
      </c>
      <c r="P228" s="95">
        <f t="shared" si="10"/>
        <v>73049.400000000038</v>
      </c>
      <c r="Q228" s="95">
        <f t="shared" si="10"/>
        <v>72374.766666666736</v>
      </c>
      <c r="R228" s="95">
        <f t="shared" si="10"/>
        <v>73170.233333333337</v>
      </c>
      <c r="S228" s="95">
        <f t="shared" si="10"/>
        <v>72954.3</v>
      </c>
      <c r="T228" s="95">
        <f t="shared" si="10"/>
        <v>71307.499999999985</v>
      </c>
      <c r="U228" s="95">
        <f t="shared" si="10"/>
        <v>72812.233333333337</v>
      </c>
    </row>
    <row r="229" spans="2:21">
      <c r="B229" s="97" t="s">
        <v>333</v>
      </c>
      <c r="C229" s="143" t="s">
        <v>169</v>
      </c>
      <c r="D229" s="143" t="s">
        <v>5</v>
      </c>
      <c r="E229" s="143" t="s">
        <v>195</v>
      </c>
      <c r="F229" s="143" t="s">
        <v>195</v>
      </c>
      <c r="G229" s="143" t="s">
        <v>195</v>
      </c>
      <c r="H229" s="143" t="s">
        <v>6</v>
      </c>
      <c r="I229" s="95">
        <f t="shared" si="11"/>
        <v>1836975.6</v>
      </c>
      <c r="J229" s="95">
        <f t="shared" si="7"/>
        <v>153879.56666666665</v>
      </c>
      <c r="K229" s="95">
        <f t="shared" si="10"/>
        <v>153989.93333333332</v>
      </c>
      <c r="L229" s="95">
        <f t="shared" si="10"/>
        <v>153804.93333333335</v>
      </c>
      <c r="M229" s="95">
        <f t="shared" si="10"/>
        <v>153658.09999999998</v>
      </c>
      <c r="N229" s="95">
        <f t="shared" si="10"/>
        <v>153992.23333333328</v>
      </c>
      <c r="O229" s="95">
        <f t="shared" si="10"/>
        <v>153959.80000000002</v>
      </c>
      <c r="P229" s="95">
        <f t="shared" si="10"/>
        <v>152720.13333333342</v>
      </c>
      <c r="Q229" s="95">
        <f t="shared" si="10"/>
        <v>150383.4666666667</v>
      </c>
      <c r="R229" s="95">
        <f t="shared" si="10"/>
        <v>153277.23333333334</v>
      </c>
      <c r="S229" s="95">
        <f t="shared" si="10"/>
        <v>153439.39999999994</v>
      </c>
      <c r="T229" s="95">
        <f t="shared" si="10"/>
        <v>150855.2999999999</v>
      </c>
      <c r="U229" s="95">
        <f t="shared" si="10"/>
        <v>153015.5</v>
      </c>
    </row>
    <row r="230" spans="2:21">
      <c r="B230" s="97" t="s">
        <v>333</v>
      </c>
      <c r="C230" s="143" t="s">
        <v>169</v>
      </c>
      <c r="D230" s="143" t="s">
        <v>7</v>
      </c>
      <c r="E230" s="143" t="s">
        <v>195</v>
      </c>
      <c r="F230" s="143" t="s">
        <v>195</v>
      </c>
      <c r="G230" s="143" t="s">
        <v>195</v>
      </c>
      <c r="H230" s="143" t="s">
        <v>6</v>
      </c>
      <c r="I230" s="95">
        <f t="shared" si="11"/>
        <v>121898.83333333334</v>
      </c>
      <c r="J230" s="95">
        <f t="shared" si="7"/>
        <v>10183</v>
      </c>
      <c r="K230" s="95">
        <f t="shared" si="10"/>
        <v>10183</v>
      </c>
      <c r="L230" s="95">
        <f t="shared" si="10"/>
        <v>10183</v>
      </c>
      <c r="M230" s="95">
        <f t="shared" si="10"/>
        <v>10183</v>
      </c>
      <c r="N230" s="95">
        <f t="shared" si="10"/>
        <v>10183</v>
      </c>
      <c r="O230" s="95">
        <f t="shared" si="10"/>
        <v>10190.6</v>
      </c>
      <c r="P230" s="95">
        <f t="shared" si="10"/>
        <v>10137.700000000001</v>
      </c>
      <c r="Q230" s="95">
        <f t="shared" si="10"/>
        <v>10017.433333333334</v>
      </c>
      <c r="R230" s="95">
        <f t="shared" si="10"/>
        <v>10183</v>
      </c>
      <c r="S230" s="95">
        <f t="shared" si="10"/>
        <v>10238.433333333332</v>
      </c>
      <c r="T230" s="95">
        <f t="shared" si="10"/>
        <v>10009.6</v>
      </c>
      <c r="U230" s="95">
        <f t="shared" si="10"/>
        <v>10207.066666666666</v>
      </c>
    </row>
    <row r="231" spans="2:21">
      <c r="B231" s="97" t="s">
        <v>333</v>
      </c>
      <c r="C231" s="143" t="s">
        <v>170</v>
      </c>
      <c r="D231" s="143" t="s">
        <v>167</v>
      </c>
      <c r="E231" s="143" t="s">
        <v>195</v>
      </c>
      <c r="F231" s="143" t="s">
        <v>195</v>
      </c>
      <c r="G231" s="143" t="s">
        <v>195</v>
      </c>
      <c r="H231" s="143" t="s">
        <v>6</v>
      </c>
      <c r="I231" s="95">
        <f t="shared" ref="I231:I232" si="12">SUM(J231:V231)</f>
        <v>1959801.2666666666</v>
      </c>
      <c r="J231" s="95">
        <f t="shared" si="7"/>
        <v>163006.46666666667</v>
      </c>
      <c r="K231" s="95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95">
        <f t="shared" si="13"/>
        <v>162830.33333333331</v>
      </c>
      <c r="M231" s="95">
        <f t="shared" si="13"/>
        <v>162859.96666666665</v>
      </c>
      <c r="N231" s="95">
        <f t="shared" si="13"/>
        <v>163095.83333333334</v>
      </c>
      <c r="O231" s="95">
        <f t="shared" si="13"/>
        <v>164187.66666666669</v>
      </c>
      <c r="P231" s="95">
        <f t="shared" si="13"/>
        <v>162816.1333333333</v>
      </c>
      <c r="Q231" s="95">
        <f t="shared" si="13"/>
        <v>160283.76666666669</v>
      </c>
      <c r="R231" s="95">
        <f t="shared" si="13"/>
        <v>164197.9</v>
      </c>
      <c r="S231" s="95">
        <f t="shared" si="13"/>
        <v>164592.63333333333</v>
      </c>
      <c r="T231" s="95">
        <f t="shared" si="13"/>
        <v>164450.66666666666</v>
      </c>
      <c r="U231" s="95">
        <f t="shared" si="13"/>
        <v>164391.23333333334</v>
      </c>
    </row>
    <row r="232" spans="2:21">
      <c r="B232" s="97" t="s">
        <v>333</v>
      </c>
      <c r="C232" s="143" t="s">
        <v>227</v>
      </c>
      <c r="D232" s="143" t="s">
        <v>167</v>
      </c>
      <c r="E232" s="143" t="s">
        <v>195</v>
      </c>
      <c r="F232" s="143" t="s">
        <v>195</v>
      </c>
      <c r="G232" s="143" t="s">
        <v>195</v>
      </c>
      <c r="H232" s="143" t="s">
        <v>6</v>
      </c>
      <c r="I232" s="95">
        <f t="shared" si="12"/>
        <v>2111889.0151406806</v>
      </c>
      <c r="J232" s="95">
        <f t="shared" si="7"/>
        <v>158363.61702127676</v>
      </c>
      <c r="K232" s="95">
        <f t="shared" si="13"/>
        <v>162842.12765957462</v>
      </c>
      <c r="L232" s="95">
        <f t="shared" si="13"/>
        <v>169489.7872340426</v>
      </c>
      <c r="M232" s="95">
        <f t="shared" si="13"/>
        <v>176370.21276595755</v>
      </c>
      <c r="N232" s="95">
        <f t="shared" si="13"/>
        <v>186075.53191489371</v>
      </c>
      <c r="O232" s="95">
        <f t="shared" si="13"/>
        <v>198288.72340425549</v>
      </c>
      <c r="P232" s="95">
        <f t="shared" si="13"/>
        <v>197496.10062028089</v>
      </c>
      <c r="Q232" s="95">
        <f t="shared" si="13"/>
        <v>187005.58371957624</v>
      </c>
      <c r="R232" s="95">
        <f t="shared" si="13"/>
        <v>178879.33634992465</v>
      </c>
      <c r="S232" s="95">
        <f t="shared" si="13"/>
        <v>171695.3320424766</v>
      </c>
      <c r="T232" s="95">
        <f t="shared" si="13"/>
        <v>164700.59671370871</v>
      </c>
      <c r="U232" s="95">
        <f t="shared" si="13"/>
        <v>160682.06569471274</v>
      </c>
    </row>
    <row r="233" spans="2:21">
      <c r="B233" s="145" t="s">
        <v>333</v>
      </c>
      <c r="C233" s="146" t="s">
        <v>171</v>
      </c>
      <c r="D233" s="146" t="s">
        <v>5</v>
      </c>
      <c r="E233" s="146" t="s">
        <v>195</v>
      </c>
      <c r="F233" s="146" t="s">
        <v>195</v>
      </c>
      <c r="G233" s="146" t="s">
        <v>195</v>
      </c>
      <c r="H233" s="146" t="s">
        <v>6</v>
      </c>
      <c r="I233" s="147">
        <f>SUM(J233:V233)</f>
        <v>312414.5359818064</v>
      </c>
      <c r="J233" s="95">
        <f t="shared" si="7"/>
        <v>23048.088531187124</v>
      </c>
      <c r="K233" s="95">
        <f t="shared" si="13"/>
        <v>18517.303822937629</v>
      </c>
      <c r="L233" s="95">
        <f t="shared" si="13"/>
        <v>14981.891348088531</v>
      </c>
      <c r="M233" s="95">
        <f t="shared" si="13"/>
        <v>24668.008048289736</v>
      </c>
      <c r="N233" s="95">
        <f t="shared" si="13"/>
        <v>32598.189134808854</v>
      </c>
      <c r="O233" s="95">
        <f t="shared" si="13"/>
        <v>27807.042253521126</v>
      </c>
      <c r="P233" s="95">
        <f t="shared" si="13"/>
        <v>27808.113844752465</v>
      </c>
      <c r="Q233" s="95">
        <f t="shared" si="13"/>
        <v>34191.613541325234</v>
      </c>
      <c r="R233" s="95">
        <f t="shared" si="13"/>
        <v>38441.122635753505</v>
      </c>
      <c r="S233" s="95">
        <f t="shared" si="13"/>
        <v>30227.374415293882</v>
      </c>
      <c r="T233" s="95">
        <f t="shared" si="13"/>
        <v>23255.123302816024</v>
      </c>
      <c r="U233" s="95">
        <f t="shared" si="13"/>
        <v>16870.665103032334</v>
      </c>
    </row>
    <row r="234" spans="2:21">
      <c r="B234" s="97"/>
      <c r="C234" s="95"/>
      <c r="D234" s="95"/>
      <c r="E234" s="95"/>
      <c r="F234" s="95"/>
      <c r="G234" s="95"/>
      <c r="H234" s="95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</row>
    <row r="235" spans="2:21">
      <c r="B235" s="97" t="s">
        <v>333</v>
      </c>
      <c r="C235" s="143" t="s">
        <v>422</v>
      </c>
      <c r="D235" s="95" t="s">
        <v>4</v>
      </c>
      <c r="E235" s="95" t="s">
        <v>195</v>
      </c>
      <c r="F235" s="95" t="s">
        <v>195</v>
      </c>
      <c r="G235" s="95" t="s">
        <v>195</v>
      </c>
      <c r="H235" s="97" t="s">
        <v>332</v>
      </c>
      <c r="I235" s="95">
        <f>SUMIFS(RVN!E:E,RVN!A:A,D235,RVN!B:B,"U")*SUMIFS(I$195:I$233,C$195:C$233,C235,D$195:D$233,D235,E$195:E$233,E235)/SUMIFS(I$195:I$233,D$195:D$233,D235)</f>
        <v>13848912.754029613</v>
      </c>
      <c r="J235" s="95">
        <f>SUMIFS(J$195:J$233,$C$195:$C$233,$C235,$D$195:$D$233,$D235,$E$195:$E$233,$E235)/SUMIFS($I$195:$I$233,$C$195:$C$233,$C235,$D$195:$D$233,$D235,$E$195:$E$233,$E235)*$I235</f>
        <v>1097453.2496810246</v>
      </c>
      <c r="K235" s="95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95">
        <f t="shared" si="14"/>
        <v>914982.28217205743</v>
      </c>
      <c r="M235" s="95">
        <f t="shared" si="14"/>
        <v>805219.29171571182</v>
      </c>
      <c r="N235" s="95">
        <f t="shared" si="14"/>
        <v>1179626.8832673107</v>
      </c>
      <c r="O235" s="95">
        <f t="shared" si="14"/>
        <v>1535687.3091877999</v>
      </c>
      <c r="P235" s="95">
        <f t="shared" si="14"/>
        <v>1738709.5619809011</v>
      </c>
      <c r="Q235" s="95">
        <f t="shared" si="14"/>
        <v>1521458.7276402779</v>
      </c>
      <c r="R235" s="95">
        <f t="shared" si="14"/>
        <v>1321930.6598345567</v>
      </c>
      <c r="S235" s="95">
        <f t="shared" si="14"/>
        <v>841994.12530942063</v>
      </c>
      <c r="T235" s="95">
        <f t="shared" si="14"/>
        <v>885457.90191100817</v>
      </c>
      <c r="U235" s="95">
        <f t="shared" si="14"/>
        <v>812389.81930267799</v>
      </c>
    </row>
    <row r="236" spans="2:21">
      <c r="B236" s="97" t="s">
        <v>333</v>
      </c>
      <c r="C236" s="95" t="s">
        <v>229</v>
      </c>
      <c r="D236" s="95" t="s">
        <v>4</v>
      </c>
      <c r="E236" s="95" t="s">
        <v>195</v>
      </c>
      <c r="F236" s="95" t="s">
        <v>195</v>
      </c>
      <c r="G236" s="95" t="s">
        <v>195</v>
      </c>
      <c r="H236" s="97" t="s">
        <v>332</v>
      </c>
      <c r="I236" s="95">
        <f>SUMIFS(RVN!E:E,RVN!A:A,D236,RVN!B:B,"U")*SUMIFS(I$195:I$233,C$195:C$233,C236,D$195:D$233,D236,E$195:E$233,E236)/SUMIFS(I$195:I$233,D$195:D$233,D236)</f>
        <v>184961.56009356948</v>
      </c>
      <c r="J236" s="95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95">
        <f t="shared" si="15"/>
        <v>17440.028609005345</v>
      </c>
      <c r="L236" s="95">
        <f t="shared" si="15"/>
        <v>14605.706528976394</v>
      </c>
      <c r="M236" s="95">
        <f t="shared" si="15"/>
        <v>12244.387741529499</v>
      </c>
      <c r="N236" s="95">
        <f t="shared" si="15"/>
        <v>12499.76454095472</v>
      </c>
      <c r="O236" s="95">
        <f t="shared" si="15"/>
        <v>16426.627361274364</v>
      </c>
      <c r="P236" s="95">
        <f t="shared" si="15"/>
        <v>22323.754311654699</v>
      </c>
      <c r="Q236" s="95">
        <f t="shared" si="15"/>
        <v>19119.707859079092</v>
      </c>
      <c r="R236" s="95">
        <f t="shared" si="15"/>
        <v>15309.566810748254</v>
      </c>
      <c r="S236" s="95">
        <f t="shared" si="15"/>
        <v>12581.999036735697</v>
      </c>
      <c r="T236" s="95">
        <f t="shared" si="15"/>
        <v>12360.202154483843</v>
      </c>
      <c r="U236" s="95">
        <f t="shared" si="15"/>
        <v>12490.488275942047</v>
      </c>
    </row>
    <row r="237" spans="2:21">
      <c r="B237" s="97" t="s">
        <v>333</v>
      </c>
      <c r="C237" s="95" t="s">
        <v>229</v>
      </c>
      <c r="D237" s="95" t="s">
        <v>5</v>
      </c>
      <c r="E237" s="95" t="s">
        <v>195</v>
      </c>
      <c r="F237" s="95" t="s">
        <v>195</v>
      </c>
      <c r="G237" s="95" t="s">
        <v>195</v>
      </c>
      <c r="H237" s="97" t="s">
        <v>332</v>
      </c>
      <c r="I237" s="95">
        <f>SUMIFS(RVN!E:E,RVN!A:A,D237,RVN!B:B,"U")*SUMIFS(I$195:I$233,C$195:C$233,C237,D$195:D$233,D237,E$195:E$233,E237)/SUMIFS(I$195:I$233,D$195:D$233,D237)</f>
        <v>3360124.9887542012</v>
      </c>
      <c r="J237" s="95">
        <f t="shared" si="15"/>
        <v>313010.46352293831</v>
      </c>
      <c r="K237" s="95">
        <f t="shared" si="15"/>
        <v>338968.04821415647</v>
      </c>
      <c r="L237" s="95">
        <f t="shared" si="15"/>
        <v>288668.24549774767</v>
      </c>
      <c r="M237" s="95">
        <f t="shared" si="15"/>
        <v>254217.93842320945</v>
      </c>
      <c r="N237" s="95">
        <f t="shared" si="15"/>
        <v>258256.73216586877</v>
      </c>
      <c r="O237" s="95">
        <f t="shared" si="15"/>
        <v>298506.78385850211</v>
      </c>
      <c r="P237" s="95">
        <f t="shared" si="15"/>
        <v>320026.63068605197</v>
      </c>
      <c r="Q237" s="95">
        <f t="shared" si="15"/>
        <v>290804.33428254892</v>
      </c>
      <c r="R237" s="95">
        <f t="shared" si="15"/>
        <v>266231.81249917962</v>
      </c>
      <c r="S237" s="95">
        <f t="shared" si="15"/>
        <v>240397.5815010618</v>
      </c>
      <c r="T237" s="95">
        <f t="shared" si="15"/>
        <v>244805.55385833306</v>
      </c>
      <c r="U237" s="95">
        <f t="shared" si="15"/>
        <v>246230.86424460288</v>
      </c>
    </row>
    <row r="238" spans="2:21">
      <c r="B238" s="97" t="s">
        <v>333</v>
      </c>
      <c r="C238" s="95" t="s">
        <v>229</v>
      </c>
      <c r="D238" s="95" t="s">
        <v>7</v>
      </c>
      <c r="E238" s="95" t="s">
        <v>195</v>
      </c>
      <c r="F238" s="95" t="s">
        <v>195</v>
      </c>
      <c r="G238" s="95" t="s">
        <v>195</v>
      </c>
      <c r="H238" s="97" t="s">
        <v>332</v>
      </c>
      <c r="I238" s="95">
        <f>SUMIFS(RVN!E:E,RVN!A:A,D238,RVN!B:B,"U")*SUMIFS(I$195:I$233,C$195:C$233,C238,D$195:D$233,D238,E$195:E$233,E238)/SUMIFS(I$195:I$233,D$195:D$233,D238)</f>
        <v>110092.31605423642</v>
      </c>
      <c r="J238" s="95">
        <f t="shared" si="15"/>
        <v>9493.9600969727835</v>
      </c>
      <c r="K238" s="95">
        <f t="shared" si="15"/>
        <v>9752.1632884496412</v>
      </c>
      <c r="L238" s="95">
        <f t="shared" si="15"/>
        <v>9055.8189845389588</v>
      </c>
      <c r="M238" s="95">
        <f t="shared" si="15"/>
        <v>8419.5911975236231</v>
      </c>
      <c r="N238" s="95">
        <f t="shared" si="15"/>
        <v>8646.4228441895448</v>
      </c>
      <c r="O238" s="95">
        <f t="shared" si="15"/>
        <v>10389.852070408933</v>
      </c>
      <c r="P238" s="95">
        <f t="shared" si="15"/>
        <v>11514.229068840383</v>
      </c>
      <c r="Q238" s="95">
        <f t="shared" si="15"/>
        <v>10079.768406360157</v>
      </c>
      <c r="R238" s="95">
        <f t="shared" si="15"/>
        <v>8935.162506580069</v>
      </c>
      <c r="S238" s="95">
        <f t="shared" si="15"/>
        <v>8236.5470332819405</v>
      </c>
      <c r="T238" s="95">
        <f t="shared" si="15"/>
        <v>7839.3255164790562</v>
      </c>
      <c r="U238" s="95">
        <f t="shared" si="15"/>
        <v>7729.4750406113189</v>
      </c>
    </row>
    <row r="239" spans="2:21">
      <c r="B239" s="97" t="s">
        <v>333</v>
      </c>
      <c r="C239" s="95" t="s">
        <v>279</v>
      </c>
      <c r="D239" s="95" t="s">
        <v>4</v>
      </c>
      <c r="E239" s="95" t="s">
        <v>176</v>
      </c>
      <c r="F239" s="95" t="s">
        <v>195</v>
      </c>
      <c r="G239" s="95" t="s">
        <v>195</v>
      </c>
      <c r="H239" s="97" t="s">
        <v>332</v>
      </c>
      <c r="I239" s="95">
        <f>SUMIFS(RVN!E:E,RVN!A:A,D239,RVN!B:B,"U")*SUMIFS(I$195:I$233,C$195:C$233,C239,D$195:D$233,D239,E$195:E$233,E239)/SUMIFS(I$195:I$233,D$195:D$233,D239)</f>
        <v>19614.789810188311</v>
      </c>
      <c r="J239" s="95">
        <f t="shared" si="15"/>
        <v>1291.8992223640057</v>
      </c>
      <c r="K239" s="95">
        <f t="shared" si="15"/>
        <v>1243.7846668047291</v>
      </c>
      <c r="L239" s="95">
        <f t="shared" si="15"/>
        <v>1135.9134345711336</v>
      </c>
      <c r="M239" s="95">
        <f t="shared" si="15"/>
        <v>1010.5753225912734</v>
      </c>
      <c r="N239" s="95">
        <f t="shared" si="15"/>
        <v>1303.3726785898973</v>
      </c>
      <c r="O239" s="95">
        <f t="shared" si="15"/>
        <v>1833.3165890521182</v>
      </c>
      <c r="P239" s="95">
        <f t="shared" si="15"/>
        <v>2661.7066452050044</v>
      </c>
      <c r="Q239" s="95">
        <f t="shared" si="15"/>
        <v>2178.3365418700855</v>
      </c>
      <c r="R239" s="95">
        <f t="shared" si="15"/>
        <v>2119.0932013321003</v>
      </c>
      <c r="S239" s="95">
        <f t="shared" si="15"/>
        <v>1751.6416361038423</v>
      </c>
      <c r="T239" s="95">
        <f t="shared" si="15"/>
        <v>1655.7560296874881</v>
      </c>
      <c r="U239" s="95">
        <f t="shared" si="15"/>
        <v>1429.3938420166321</v>
      </c>
    </row>
    <row r="240" spans="2:21">
      <c r="B240" s="97" t="s">
        <v>333</v>
      </c>
      <c r="C240" s="95" t="s">
        <v>279</v>
      </c>
      <c r="D240" s="95" t="s">
        <v>5</v>
      </c>
      <c r="E240" s="95" t="s">
        <v>176</v>
      </c>
      <c r="F240" s="95" t="s">
        <v>195</v>
      </c>
      <c r="G240" s="95" t="s">
        <v>195</v>
      </c>
      <c r="H240" s="97" t="s">
        <v>332</v>
      </c>
      <c r="I240" s="95">
        <f>SUMIFS(RVN!E:E,RVN!A:A,D240,RVN!B:B,"U")*SUMIFS(I$195:I$233,C$195:C$233,C240,D$195:D$233,D240,E$195:E$233,E240)/SUMIFS(I$195:I$233,D$195:D$233,D240)</f>
        <v>5472573.8466537502</v>
      </c>
      <c r="J240" s="95">
        <f t="shared" si="15"/>
        <v>453400.45816554484</v>
      </c>
      <c r="K240" s="95">
        <f t="shared" si="15"/>
        <v>484053.21822240081</v>
      </c>
      <c r="L240" s="95">
        <f t="shared" si="15"/>
        <v>501078.18664600735</v>
      </c>
      <c r="M240" s="95">
        <f t="shared" si="15"/>
        <v>510260.78560722322</v>
      </c>
      <c r="N240" s="95">
        <f t="shared" si="15"/>
        <v>495512.70792052918</v>
      </c>
      <c r="O240" s="95">
        <f t="shared" si="15"/>
        <v>499364.98591914074</v>
      </c>
      <c r="P240" s="95">
        <f t="shared" si="15"/>
        <v>465483.58006424445</v>
      </c>
      <c r="Q240" s="95">
        <f t="shared" si="15"/>
        <v>434757.40795666934</v>
      </c>
      <c r="R240" s="95">
        <f t="shared" si="15"/>
        <v>419779.66622256231</v>
      </c>
      <c r="S240" s="95">
        <f t="shared" si="15"/>
        <v>392006.71212238906</v>
      </c>
      <c r="T240" s="95">
        <f t="shared" si="15"/>
        <v>402608.28171720589</v>
      </c>
      <c r="U240" s="95">
        <f t="shared" si="15"/>
        <v>414267.8560898322</v>
      </c>
    </row>
    <row r="241" spans="2:21">
      <c r="B241" s="97" t="s">
        <v>333</v>
      </c>
      <c r="C241" s="95" t="s">
        <v>279</v>
      </c>
      <c r="D241" s="95" t="s">
        <v>5</v>
      </c>
      <c r="E241" s="95" t="s">
        <v>177</v>
      </c>
      <c r="F241" s="95" t="s">
        <v>195</v>
      </c>
      <c r="G241" s="95" t="s">
        <v>195</v>
      </c>
      <c r="H241" s="97" t="s">
        <v>332</v>
      </c>
      <c r="I241" s="95">
        <f>SUMIFS(RVN!E:E,RVN!A:A,D241,RVN!B:B,"U")*SUMIFS(I$195:I$233,C$195:C$233,C241,D$195:D$233,D241,E$195:E$233,E241)/SUMIFS(I$195:I$233,D$195:D$233,D241)</f>
        <v>68088.107312671767</v>
      </c>
      <c r="J241" s="95">
        <f t="shared" si="15"/>
        <v>5683.6043843545312</v>
      </c>
      <c r="K241" s="95">
        <f t="shared" si="15"/>
        <v>6656.4431562336458</v>
      </c>
      <c r="L241" s="95">
        <f t="shared" si="15"/>
        <v>6482.5860112997671</v>
      </c>
      <c r="M241" s="95">
        <f t="shared" si="15"/>
        <v>5846.6369749177538</v>
      </c>
      <c r="N241" s="95">
        <f t="shared" si="15"/>
        <v>6189.7738208055907</v>
      </c>
      <c r="O241" s="95">
        <f t="shared" si="15"/>
        <v>6070.4408420788113</v>
      </c>
      <c r="P241" s="95">
        <f t="shared" si="15"/>
        <v>5857.2754193471128</v>
      </c>
      <c r="Q241" s="95">
        <f t="shared" si="15"/>
        <v>5438.5998132285458</v>
      </c>
      <c r="R241" s="95">
        <f t="shared" si="15"/>
        <v>4968.0451148254551</v>
      </c>
      <c r="S241" s="95">
        <f t="shared" si="15"/>
        <v>4640.7957161507484</v>
      </c>
      <c r="T241" s="95">
        <f t="shared" si="15"/>
        <v>5618.611109655516</v>
      </c>
      <c r="U241" s="95">
        <f t="shared" si="15"/>
        <v>4635.2949497742911</v>
      </c>
    </row>
    <row r="242" spans="2:21">
      <c r="B242" s="97" t="s">
        <v>333</v>
      </c>
      <c r="C242" s="95" t="s">
        <v>279</v>
      </c>
      <c r="D242" s="95" t="s">
        <v>7</v>
      </c>
      <c r="E242" s="95" t="s">
        <v>176</v>
      </c>
      <c r="F242" s="95" t="s">
        <v>195</v>
      </c>
      <c r="G242" s="95" t="s">
        <v>195</v>
      </c>
      <c r="H242" s="97" t="s">
        <v>332</v>
      </c>
      <c r="I242" s="95">
        <f>SUMIFS(RVN!E:E,RVN!A:A,D242,RVN!B:B,"U")*SUMIFS(I$195:I$233,C$195:C$233,C242,D$195:D$233,D242,E$195:E$233,E242)/SUMIFS(I$195:I$233,D$195:D$233,D242)</f>
        <v>636048.71381252212</v>
      </c>
      <c r="J242" s="95">
        <f t="shared" si="15"/>
        <v>54318.833713552245</v>
      </c>
      <c r="K242" s="95">
        <f t="shared" si="15"/>
        <v>55926.819288554616</v>
      </c>
      <c r="L242" s="95">
        <f t="shared" si="15"/>
        <v>57333.751714338316</v>
      </c>
      <c r="M242" s="95">
        <f t="shared" si="15"/>
        <v>65422.940874443746</v>
      </c>
      <c r="N242" s="95">
        <f t="shared" si="15"/>
        <v>55340.424405830512</v>
      </c>
      <c r="O242" s="95">
        <f t="shared" si="15"/>
        <v>54010.476268046463</v>
      </c>
      <c r="P242" s="95">
        <f t="shared" si="15"/>
        <v>47927.73278481586</v>
      </c>
      <c r="Q242" s="95">
        <f t="shared" si="15"/>
        <v>49054.267763200864</v>
      </c>
      <c r="R242" s="95">
        <f t="shared" si="15"/>
        <v>51087.274995099709</v>
      </c>
      <c r="S242" s="95">
        <f t="shared" si="15"/>
        <v>49721.746162087322</v>
      </c>
      <c r="T242" s="95">
        <f t="shared" si="15"/>
        <v>48489.470769962529</v>
      </c>
      <c r="U242" s="95">
        <f t="shared" si="15"/>
        <v>47414.97507258987</v>
      </c>
    </row>
    <row r="243" spans="2:21">
      <c r="B243" s="97" t="s">
        <v>333</v>
      </c>
      <c r="C243" s="95" t="s">
        <v>279</v>
      </c>
      <c r="D243" s="95" t="s">
        <v>7</v>
      </c>
      <c r="E243" s="95" t="s">
        <v>177</v>
      </c>
      <c r="F243" s="95" t="s">
        <v>195</v>
      </c>
      <c r="G243" s="95" t="s">
        <v>195</v>
      </c>
      <c r="H243" s="97" t="s">
        <v>332</v>
      </c>
      <c r="I243" s="95">
        <f>SUMIFS(RVN!E:E,RVN!A:A,D243,RVN!B:B,"U")*SUMIFS(I$195:I$233,C$195:C$233,C243,D$195:D$233,D243,E$195:E$233,E243)/SUMIFS(I$195:I$233,D$195:D$233,D243)</f>
        <v>1285.9175998965197</v>
      </c>
      <c r="J243" s="95">
        <f t="shared" si="15"/>
        <v>0</v>
      </c>
      <c r="K243" s="95">
        <f t="shared" si="15"/>
        <v>0</v>
      </c>
      <c r="L243" s="95">
        <f t="shared" si="15"/>
        <v>69.982210517205701</v>
      </c>
      <c r="M243" s="95">
        <f t="shared" si="15"/>
        <v>122.46795611724237</v>
      </c>
      <c r="N243" s="95">
        <f t="shared" si="15"/>
        <v>148.71143710917241</v>
      </c>
      <c r="O243" s="95">
        <f t="shared" si="15"/>
        <v>148.71143710917241</v>
      </c>
      <c r="P243" s="95">
        <f t="shared" si="15"/>
        <v>157.45966956775695</v>
      </c>
      <c r="Q243" s="95">
        <f t="shared" si="15"/>
        <v>157.45946094438827</v>
      </c>
      <c r="R243" s="95">
        <f t="shared" si="15"/>
        <v>131.21618857582686</v>
      </c>
      <c r="S243" s="95">
        <f t="shared" si="15"/>
        <v>122.46794701969209</v>
      </c>
      <c r="T243" s="95">
        <f t="shared" si="15"/>
        <v>104.97285026529094</v>
      </c>
      <c r="U243" s="95">
        <f t="shared" si="15"/>
        <v>122.46844267077174</v>
      </c>
    </row>
    <row r="244" spans="2:21">
      <c r="B244" s="97" t="s">
        <v>333</v>
      </c>
      <c r="C244" s="95" t="s">
        <v>152</v>
      </c>
      <c r="D244" s="95" t="s">
        <v>179</v>
      </c>
      <c r="E244" s="95" t="s">
        <v>195</v>
      </c>
      <c r="F244" s="95" t="s">
        <v>195</v>
      </c>
      <c r="G244" s="95" t="s">
        <v>195</v>
      </c>
      <c r="H244" s="97" t="s">
        <v>332</v>
      </c>
      <c r="I244" s="95">
        <f>SUMIFS(RVN!E:E,RVN!A:A,D244,RVN!B:B,"U")*SUMIFS(I$195:I$233,C$195:C$233,C244,D$195:D$233,D244,E$195:E$233,E244)/SUMIFS(I$195:I$233,D$195:D$233,D244)</f>
        <v>-10577000</v>
      </c>
      <c r="J244" s="95">
        <f t="shared" si="15"/>
        <v>-2138587.0723327408</v>
      </c>
      <c r="K244" s="95">
        <f t="shared" si="15"/>
        <v>-2317657.8605625867</v>
      </c>
      <c r="L244" s="95">
        <f t="shared" si="15"/>
        <v>-1814860.6242712559</v>
      </c>
      <c r="M244" s="95">
        <f t="shared" si="15"/>
        <v>-1025167.4797885468</v>
      </c>
      <c r="N244" s="95">
        <f t="shared" si="15"/>
        <v>-298302.32195957541</v>
      </c>
      <c r="O244" s="95">
        <f t="shared" si="15"/>
        <v>-55025.733424417704</v>
      </c>
      <c r="P244" s="95">
        <f t="shared" si="15"/>
        <v>-35731.713420962791</v>
      </c>
      <c r="Q244" s="95">
        <f t="shared" si="15"/>
        <v>-34476.301349543515</v>
      </c>
      <c r="R244" s="95">
        <f t="shared" si="15"/>
        <v>-163271.18093209091</v>
      </c>
      <c r="S244" s="95">
        <f t="shared" si="15"/>
        <v>-604972.89458734391</v>
      </c>
      <c r="T244" s="95">
        <f t="shared" si="15"/>
        <v>-896660.25611474877</v>
      </c>
      <c r="U244" s="95">
        <f t="shared" si="15"/>
        <v>-1192286.5612561868</v>
      </c>
    </row>
    <row r="245" spans="2:21">
      <c r="B245" s="97" t="s">
        <v>333</v>
      </c>
      <c r="C245" s="95" t="s">
        <v>252</v>
      </c>
      <c r="D245" s="95" t="s">
        <v>7</v>
      </c>
      <c r="E245" s="95" t="s">
        <v>176</v>
      </c>
      <c r="F245" s="95" t="s">
        <v>195</v>
      </c>
      <c r="G245" s="95" t="s">
        <v>195</v>
      </c>
      <c r="H245" s="97" t="s">
        <v>332</v>
      </c>
      <c r="I245" s="95">
        <f>SUMIFS(RVN!E:E,RVN!A:A,D245,RVN!B:B,"U")*SUMIFS(I$195:I$233,C$195:C$233,C245,D$195:D$233,D245,E$195:E$233,E245)/SUMIFS(I$195:I$233,D$195:D$233,D245)</f>
        <v>12224.974902314538</v>
      </c>
      <c r="J245" s="95">
        <f t="shared" si="15"/>
        <v>896.64395526815031</v>
      </c>
      <c r="K245" s="95">
        <f t="shared" si="15"/>
        <v>1261.1333679787806</v>
      </c>
      <c r="L245" s="95">
        <f t="shared" si="15"/>
        <v>1239.2640032161428</v>
      </c>
      <c r="M245" s="95">
        <f t="shared" si="15"/>
        <v>867.48480225129993</v>
      </c>
      <c r="N245" s="95">
        <f t="shared" si="15"/>
        <v>998.70099082712682</v>
      </c>
      <c r="O245" s="95">
        <f t="shared" si="15"/>
        <v>962.25204955606387</v>
      </c>
      <c r="P245" s="95">
        <f t="shared" si="15"/>
        <v>2711.8012305670891</v>
      </c>
      <c r="Q245" s="95">
        <f t="shared" si="15"/>
        <v>736.26861367547315</v>
      </c>
      <c r="R245" s="95">
        <f t="shared" si="15"/>
        <v>743.55840192968572</v>
      </c>
      <c r="S245" s="95">
        <f t="shared" si="15"/>
        <v>517.574966049095</v>
      </c>
      <c r="T245" s="95">
        <f t="shared" si="15"/>
        <v>619.63200160807128</v>
      </c>
      <c r="U245" s="95">
        <f t="shared" si="15"/>
        <v>670.66051938755959</v>
      </c>
    </row>
    <row r="246" spans="2:21">
      <c r="B246" s="97" t="s">
        <v>333</v>
      </c>
      <c r="C246" s="95" t="s">
        <v>172</v>
      </c>
      <c r="D246" s="95" t="s">
        <v>5</v>
      </c>
      <c r="E246" s="95" t="s">
        <v>176</v>
      </c>
      <c r="F246" s="95" t="s">
        <v>195</v>
      </c>
      <c r="G246" s="95" t="s">
        <v>195</v>
      </c>
      <c r="H246" s="97" t="s">
        <v>332</v>
      </c>
      <c r="I246" s="95">
        <f>SUMIFS(RVN!E:E,RVN!A:A,D246,RVN!B:B,"U")*SUMIFS(I$195:I$233,C$195:C$233,C246,D$195:D$233,D246,E$195:E$233,E246)/SUMIFS(I$195:I$233,D$195:D$233,D246)</f>
        <v>817331.87600806251</v>
      </c>
      <c r="J246" s="95">
        <f t="shared" si="15"/>
        <v>78748.42433159762</v>
      </c>
      <c r="K246" s="95">
        <f t="shared" si="15"/>
        <v>77149.844975506363</v>
      </c>
      <c r="L246" s="95">
        <f t="shared" si="15"/>
        <v>78225.400164137813</v>
      </c>
      <c r="M246" s="95">
        <f t="shared" si="15"/>
        <v>80827.035307682425</v>
      </c>
      <c r="N246" s="95">
        <f t="shared" si="15"/>
        <v>76939.007735727879</v>
      </c>
      <c r="O246" s="95">
        <f t="shared" si="15"/>
        <v>73934.898499362956</v>
      </c>
      <c r="P246" s="95">
        <f t="shared" si="15"/>
        <v>60764.47316193748</v>
      </c>
      <c r="Q246" s="95">
        <f t="shared" si="15"/>
        <v>59140.01277079487</v>
      </c>
      <c r="R246" s="95">
        <f t="shared" si="15"/>
        <v>58655.644950115297</v>
      </c>
      <c r="S246" s="95">
        <f t="shared" si="15"/>
        <v>55307.424059383899</v>
      </c>
      <c r="T246" s="95">
        <f t="shared" si="15"/>
        <v>56267.811699345824</v>
      </c>
      <c r="U246" s="95">
        <f t="shared" si="15"/>
        <v>61371.898352470125</v>
      </c>
    </row>
    <row r="247" spans="2:21">
      <c r="B247" s="97" t="s">
        <v>333</v>
      </c>
      <c r="C247" s="95" t="s">
        <v>172</v>
      </c>
      <c r="D247" s="95" t="s">
        <v>5</v>
      </c>
      <c r="E247" s="95" t="s">
        <v>177</v>
      </c>
      <c r="F247" s="95" t="s">
        <v>195</v>
      </c>
      <c r="G247" s="95" t="s">
        <v>195</v>
      </c>
      <c r="H247" s="97" t="s">
        <v>332</v>
      </c>
      <c r="I247" s="95">
        <f>SUMIFS(RVN!E:E,RVN!A:A,D247,RVN!B:B,"U")*SUMIFS(I$195:I$233,C$195:C$233,C247,D$195:D$233,D247,E$195:E$233,E247)/SUMIFS(I$195:I$233,D$195:D$233,D247)</f>
        <v>340647.4859614296</v>
      </c>
      <c r="J247" s="95">
        <f t="shared" si="15"/>
        <v>31950.712174856686</v>
      </c>
      <c r="K247" s="95">
        <f t="shared" si="15"/>
        <v>34278.110913397366</v>
      </c>
      <c r="L247" s="95">
        <f t="shared" si="15"/>
        <v>29724.744720590596</v>
      </c>
      <c r="M247" s="95">
        <f t="shared" si="15"/>
        <v>29582.996476033637</v>
      </c>
      <c r="N247" s="95">
        <f t="shared" si="15"/>
        <v>28195.443483094317</v>
      </c>
      <c r="O247" s="95">
        <f t="shared" si="15"/>
        <v>31161.097055337606</v>
      </c>
      <c r="P247" s="95">
        <f t="shared" si="15"/>
        <v>28017.004898880634</v>
      </c>
      <c r="Q247" s="95">
        <f t="shared" si="15"/>
        <v>27272.76645838613</v>
      </c>
      <c r="R247" s="95">
        <f t="shared" si="15"/>
        <v>25797.213226335283</v>
      </c>
      <c r="S247" s="95">
        <f t="shared" si="15"/>
        <v>24553.446974202063</v>
      </c>
      <c r="T247" s="95">
        <f t="shared" si="15"/>
        <v>24804.634104596815</v>
      </c>
      <c r="U247" s="95">
        <f t="shared" si="15"/>
        <v>25309.315475718464</v>
      </c>
    </row>
    <row r="248" spans="2:21">
      <c r="B248" s="97" t="s">
        <v>333</v>
      </c>
      <c r="C248" s="95" t="s">
        <v>172</v>
      </c>
      <c r="D248" s="95" t="s">
        <v>7</v>
      </c>
      <c r="E248" s="95" t="s">
        <v>176</v>
      </c>
      <c r="F248" s="95" t="s">
        <v>195</v>
      </c>
      <c r="G248" s="95" t="s">
        <v>195</v>
      </c>
      <c r="H248" s="97" t="s">
        <v>332</v>
      </c>
      <c r="I248" s="95">
        <f>SUMIFS(RVN!E:E,RVN!A:A,D248,RVN!B:B,"U")*SUMIFS(I$195:I$233,C$195:C$233,C248,D$195:D$233,D248,E$195:E$233,E248)/SUMIFS(I$195:I$233,D$195:D$233,D248)</f>
        <v>1449131.9273043326</v>
      </c>
      <c r="J248" s="95">
        <f t="shared" si="15"/>
        <v>130656.33302409672</v>
      </c>
      <c r="K248" s="95">
        <f t="shared" si="15"/>
        <v>119555.4483748878</v>
      </c>
      <c r="L248" s="95">
        <f t="shared" si="15"/>
        <v>125800.97338119072</v>
      </c>
      <c r="M248" s="95">
        <f t="shared" si="15"/>
        <v>123721.19630233601</v>
      </c>
      <c r="N248" s="95">
        <f t="shared" si="15"/>
        <v>130713.92452668175</v>
      </c>
      <c r="O248" s="95">
        <f t="shared" si="15"/>
        <v>117761.79398324166</v>
      </c>
      <c r="P248" s="95">
        <f t="shared" si="15"/>
        <v>111872.73389885898</v>
      </c>
      <c r="Q248" s="95">
        <f t="shared" si="15"/>
        <v>116065.82597939351</v>
      </c>
      <c r="R248" s="95">
        <f t="shared" si="15"/>
        <v>116686.91673097873</v>
      </c>
      <c r="S248" s="95">
        <f t="shared" si="15"/>
        <v>119868.54674832703</v>
      </c>
      <c r="T248" s="95">
        <f t="shared" si="15"/>
        <v>116619.47584974307</v>
      </c>
      <c r="U248" s="95">
        <f t="shared" si="15"/>
        <v>119808.75850459657</v>
      </c>
    </row>
    <row r="249" spans="2:21">
      <c r="B249" s="97" t="s">
        <v>333</v>
      </c>
      <c r="C249" s="95" t="s">
        <v>172</v>
      </c>
      <c r="D249" s="95" t="s">
        <v>7</v>
      </c>
      <c r="E249" s="95" t="s">
        <v>177</v>
      </c>
      <c r="F249" s="95" t="s">
        <v>195</v>
      </c>
      <c r="G249" s="95" t="s">
        <v>195</v>
      </c>
      <c r="H249" s="97" t="s">
        <v>332</v>
      </c>
      <c r="I249" s="95">
        <f>SUMIFS(RVN!E:E,RVN!A:A,D249,RVN!B:B,"U")*SUMIFS(I$195:I$233,C$195:C$233,C249,D$195:D$233,D249,E$195:E$233,E249)/SUMIFS(I$195:I$233,D$195:D$233,D249)</f>
        <v>3162.3086908914211</v>
      </c>
      <c r="J249" s="95">
        <f t="shared" si="15"/>
        <v>209.94525632174316</v>
      </c>
      <c r="K249" s="95">
        <f t="shared" si="15"/>
        <v>196.82428286374031</v>
      </c>
      <c r="L249" s="95">
        <f t="shared" si="15"/>
        <v>209.94525632174316</v>
      </c>
      <c r="M249" s="95">
        <f t="shared" si="15"/>
        <v>236.18972960236724</v>
      </c>
      <c r="N249" s="95">
        <f t="shared" si="15"/>
        <v>249.30957796231334</v>
      </c>
      <c r="O249" s="95">
        <f t="shared" si="15"/>
        <v>314.91949798156429</v>
      </c>
      <c r="P249" s="95">
        <f t="shared" si="15"/>
        <v>354.28333122124161</v>
      </c>
      <c r="Q249" s="95">
        <f t="shared" si="15"/>
        <v>314.91931845881498</v>
      </c>
      <c r="R249" s="95">
        <f t="shared" si="15"/>
        <v>314.91819167643104</v>
      </c>
      <c r="S249" s="95">
        <f t="shared" si="15"/>
        <v>262.432046698877</v>
      </c>
      <c r="T249" s="95">
        <f t="shared" si="15"/>
        <v>262.43355708854432</v>
      </c>
      <c r="U249" s="95">
        <f t="shared" si="15"/>
        <v>236.18864469404019</v>
      </c>
    </row>
    <row r="250" spans="2:21">
      <c r="B250" s="97" t="s">
        <v>333</v>
      </c>
      <c r="C250" s="95" t="s">
        <v>287</v>
      </c>
      <c r="D250" s="95" t="s">
        <v>7</v>
      </c>
      <c r="E250" s="95" t="s">
        <v>177</v>
      </c>
      <c r="F250" s="95" t="s">
        <v>195</v>
      </c>
      <c r="G250" s="95" t="s">
        <v>195</v>
      </c>
      <c r="H250" s="97" t="s">
        <v>332</v>
      </c>
      <c r="I250" s="95">
        <f>SUMIFS(RVN!E:E,RVN!A:A,D250,RVN!B:B,"U")*SUMIFS(I$195:I$233,C$195:C$233,C250,D$195:D$233,D250,E$195:E$233,E250)/SUMIFS(I$195:I$233,D$195:D$233,D250)</f>
        <v>3938165.2249523695</v>
      </c>
      <c r="J250" s="95">
        <f t="shared" si="15"/>
        <v>335467.30717126938</v>
      </c>
      <c r="K250" s="95">
        <f t="shared" si="15"/>
        <v>333341.60518718575</v>
      </c>
      <c r="L250" s="95">
        <f t="shared" si="15"/>
        <v>339718.71195197094</v>
      </c>
      <c r="M250" s="95">
        <f t="shared" si="15"/>
        <v>322634.36392855347</v>
      </c>
      <c r="N250" s="95">
        <f t="shared" si="15"/>
        <v>329378.87710473029</v>
      </c>
      <c r="O250" s="95">
        <f t="shared" si="15"/>
        <v>321584.63523248129</v>
      </c>
      <c r="P250" s="95">
        <f t="shared" si="15"/>
        <v>341765.68476459867</v>
      </c>
      <c r="Q250" s="95">
        <f t="shared" si="15"/>
        <v>337278.09165699506</v>
      </c>
      <c r="R250" s="95">
        <f t="shared" si="15"/>
        <v>313291.77095889195</v>
      </c>
      <c r="S250" s="95">
        <f t="shared" si="15"/>
        <v>312556.9621312418</v>
      </c>
      <c r="T250" s="95">
        <f t="shared" si="15"/>
        <v>310457.50238683063</v>
      </c>
      <c r="U250" s="95">
        <f t="shared" si="15"/>
        <v>340689.71247762087</v>
      </c>
    </row>
    <row r="251" spans="2:21">
      <c r="B251" s="97" t="s">
        <v>333</v>
      </c>
      <c r="C251" s="95" t="s">
        <v>169</v>
      </c>
      <c r="D251" s="95" t="s">
        <v>4</v>
      </c>
      <c r="E251" s="95" t="s">
        <v>195</v>
      </c>
      <c r="F251" s="95" t="s">
        <v>195</v>
      </c>
      <c r="G251" s="95" t="s">
        <v>195</v>
      </c>
      <c r="H251" s="97" t="s">
        <v>332</v>
      </c>
      <c r="I251" s="95">
        <f>SUMIFS(RVN!E:E,RVN!A:A,D251,RVN!B:B,"U")*SUMIFS(I$195:I$233,C$195:C$233,C251,D$195:D$233,D251,E$195:E$233,E251)/SUMIFS(I$195:I$233,D$195:D$233,D251)</f>
        <v>7510.896066627859</v>
      </c>
      <c r="J251" s="95">
        <f t="shared" si="15"/>
        <v>632.63038556809147</v>
      </c>
      <c r="K251" s="95">
        <f t="shared" si="15"/>
        <v>630.95979063772018</v>
      </c>
      <c r="L251" s="95">
        <f t="shared" si="15"/>
        <v>631.11075488749225</v>
      </c>
      <c r="M251" s="95">
        <f t="shared" si="15"/>
        <v>629.72839037729091</v>
      </c>
      <c r="N251" s="95">
        <f t="shared" si="15"/>
        <v>628.69703915105879</v>
      </c>
      <c r="O251" s="95">
        <f t="shared" si="15"/>
        <v>627.88171805162733</v>
      </c>
      <c r="P251" s="95">
        <f t="shared" si="15"/>
        <v>625.39779965840034</v>
      </c>
      <c r="Q251" s="95">
        <f t="shared" si="15"/>
        <v>619.62206156550894</v>
      </c>
      <c r="R251" s="95">
        <f t="shared" si="15"/>
        <v>626.43229002782209</v>
      </c>
      <c r="S251" s="95">
        <f t="shared" si="15"/>
        <v>624.5836200655832</v>
      </c>
      <c r="T251" s="95">
        <f t="shared" si="15"/>
        <v>610.48487186946579</v>
      </c>
      <c r="U251" s="95">
        <f t="shared" si="15"/>
        <v>623.36734476779657</v>
      </c>
    </row>
    <row r="252" spans="2:21">
      <c r="B252" s="97" t="s">
        <v>333</v>
      </c>
      <c r="C252" s="95" t="s">
        <v>169</v>
      </c>
      <c r="D252" s="95" t="s">
        <v>5</v>
      </c>
      <c r="E252" s="95" t="s">
        <v>195</v>
      </c>
      <c r="F252" s="95" t="s">
        <v>195</v>
      </c>
      <c r="G252" s="95" t="s">
        <v>195</v>
      </c>
      <c r="H252" s="97" t="s">
        <v>332</v>
      </c>
      <c r="I252" s="95">
        <f>SUMIFS(RVN!E:E,RVN!A:A,D252,RVN!B:B,"U")*SUMIFS(I$195:I$233,C$195:C$233,C252,D$195:D$233,D252,E$195:E$233,E252)/SUMIFS(I$195:I$233,D$195:D$233,D252)</f>
        <v>12164.823195369338</v>
      </c>
      <c r="J252" s="95">
        <f t="shared" si="15"/>
        <v>1019.0215492682912</v>
      </c>
      <c r="K252" s="95">
        <f t="shared" si="15"/>
        <v>1019.7524196111865</v>
      </c>
      <c r="L252" s="95">
        <f t="shared" si="15"/>
        <v>1018.5273122710873</v>
      </c>
      <c r="M252" s="95">
        <f t="shared" si="15"/>
        <v>1017.5549523011524</v>
      </c>
      <c r="N252" s="95">
        <f t="shared" si="15"/>
        <v>1019.7676506754144</v>
      </c>
      <c r="O252" s="95">
        <f t="shared" si="15"/>
        <v>1019.5528705957904</v>
      </c>
      <c r="P252" s="95">
        <f t="shared" si="15"/>
        <v>1011.343547716819</v>
      </c>
      <c r="Q252" s="95">
        <f t="shared" si="15"/>
        <v>995.86966942114998</v>
      </c>
      <c r="R252" s="95">
        <f t="shared" si="15"/>
        <v>1015.032776360977</v>
      </c>
      <c r="S252" s="95">
        <f t="shared" si="15"/>
        <v>1016.1066767590995</v>
      </c>
      <c r="T252" s="95">
        <f t="shared" si="15"/>
        <v>998.99424498855558</v>
      </c>
      <c r="U252" s="95">
        <f t="shared" si="15"/>
        <v>1013.299525399813</v>
      </c>
    </row>
    <row r="253" spans="2:21">
      <c r="B253" s="97" t="s">
        <v>333</v>
      </c>
      <c r="C253" s="95" t="s">
        <v>169</v>
      </c>
      <c r="D253" s="95" t="s">
        <v>7</v>
      </c>
      <c r="E253" s="95" t="s">
        <v>195</v>
      </c>
      <c r="F253" s="95" t="s">
        <v>195</v>
      </c>
      <c r="G253" s="95" t="s">
        <v>195</v>
      </c>
      <c r="H253" s="97" t="s">
        <v>332</v>
      </c>
      <c r="I253" s="95">
        <f>SUMIFS(RVN!E:E,RVN!A:A,D253,RVN!B:B,"U")*SUMIFS(I$195:I$233,C$195:C$233,C253,D$195:D$233,D253,E$195:E$233,E253)/SUMIFS(I$195:I$233,D$195:D$233,D253)</f>
        <v>888.61668343555323</v>
      </c>
      <c r="J253" s="95">
        <f t="shared" si="15"/>
        <v>74.231913792646935</v>
      </c>
      <c r="K253" s="95">
        <f t="shared" si="15"/>
        <v>74.231913792646935</v>
      </c>
      <c r="L253" s="95">
        <f t="shared" si="15"/>
        <v>74.231913792646935</v>
      </c>
      <c r="M253" s="95">
        <f t="shared" si="15"/>
        <v>74.231913792646935</v>
      </c>
      <c r="N253" s="95">
        <f t="shared" si="15"/>
        <v>74.231913792646935</v>
      </c>
      <c r="O253" s="95">
        <f t="shared" si="15"/>
        <v>74.287316183378962</v>
      </c>
      <c r="P253" s="95">
        <f t="shared" si="15"/>
        <v>73.901686384731121</v>
      </c>
      <c r="Q253" s="95">
        <f t="shared" si="15"/>
        <v>73.024967850691141</v>
      </c>
      <c r="R253" s="95">
        <f t="shared" si="15"/>
        <v>74.231913792646935</v>
      </c>
      <c r="S253" s="95">
        <f t="shared" si="15"/>
        <v>74.636011054872128</v>
      </c>
      <c r="T253" s="95">
        <f t="shared" si="15"/>
        <v>72.967864509366478</v>
      </c>
      <c r="U253" s="95">
        <f t="shared" si="15"/>
        <v>74.407354696631657</v>
      </c>
    </row>
    <row r="254" spans="2:21">
      <c r="B254" s="97" t="s">
        <v>333</v>
      </c>
      <c r="C254" s="95" t="s">
        <v>170</v>
      </c>
      <c r="D254" s="95" t="s">
        <v>167</v>
      </c>
      <c r="E254" s="95" t="s">
        <v>195</v>
      </c>
      <c r="F254" s="95" t="s">
        <v>195</v>
      </c>
      <c r="G254" s="95" t="s">
        <v>195</v>
      </c>
      <c r="H254" s="97" t="s">
        <v>332</v>
      </c>
      <c r="I254" s="95">
        <f>SUMIFS(RVN!E:E,RVN!A:A,D254,RVN!B:B,"U")*SUMIFS(I$195:I$233,C$195:C$233,C254,D$195:D$233,D254,E$195:E$233,E254)/SUMIFS(I$195:I$233,D$195:D$233,D254)</f>
        <v>-139583.88973560554</v>
      </c>
      <c r="J254" s="95">
        <f t="shared" si="15"/>
        <v>-11609.889766063012</v>
      </c>
      <c r="K254" s="95">
        <f t="shared" si="15"/>
        <v>-11615.744337101116</v>
      </c>
      <c r="L254" s="95">
        <f t="shared" si="15"/>
        <v>-11597.344935014617</v>
      </c>
      <c r="M254" s="95">
        <f t="shared" si="15"/>
        <v>-11599.455524492665</v>
      </c>
      <c r="N254" s="95">
        <f t="shared" si="15"/>
        <v>-11616.254772126742</v>
      </c>
      <c r="O254" s="95">
        <f t="shared" si="15"/>
        <v>-11694.018954751684</v>
      </c>
      <c r="P254" s="95">
        <f t="shared" si="15"/>
        <v>-11596.333561428955</v>
      </c>
      <c r="Q254" s="95">
        <f t="shared" si="15"/>
        <v>-11415.969564536899</v>
      </c>
      <c r="R254" s="95">
        <f t="shared" si="15"/>
        <v>-11694.747808485949</v>
      </c>
      <c r="S254" s="95">
        <f t="shared" si="15"/>
        <v>-11722.862094874119</v>
      </c>
      <c r="T254" s="95">
        <f t="shared" si="15"/>
        <v>-11712.750733133938</v>
      </c>
      <c r="U254" s="95">
        <f t="shared" si="15"/>
        <v>-11708.517683595846</v>
      </c>
    </row>
    <row r="255" spans="2:21">
      <c r="B255" s="97" t="s">
        <v>333</v>
      </c>
      <c r="C255" s="97" t="s">
        <v>227</v>
      </c>
      <c r="D255" s="95" t="s">
        <v>167</v>
      </c>
      <c r="E255" s="95" t="s">
        <v>195</v>
      </c>
      <c r="F255" s="95" t="s">
        <v>195</v>
      </c>
      <c r="G255" s="95" t="s">
        <v>195</v>
      </c>
      <c r="H255" s="97" t="s">
        <v>332</v>
      </c>
      <c r="I255" s="95">
        <f>SUMIFS(RVN!E:E,RVN!A:A,D255,RVN!B:B,"U")*SUMIFS(I$195:I$233,C$195:C$233,C255,D$195:D$233,D255,E$195:E$233,E255)/SUMIFS(I$195:I$233,D$195:D$233,D255)</f>
        <v>-150416.11026439449</v>
      </c>
      <c r="J255" s="95">
        <f t="shared" si="15"/>
        <v>-11279.20980173001</v>
      </c>
      <c r="K255" s="95">
        <f t="shared" si="15"/>
        <v>-11598.184968114689</v>
      </c>
      <c r="L255" s="95">
        <f t="shared" si="15"/>
        <v>-12071.654496288131</v>
      </c>
      <c r="M255" s="95">
        <f t="shared" si="15"/>
        <v>-12561.702428757508</v>
      </c>
      <c r="N255" s="95">
        <f t="shared" si="15"/>
        <v>-13252.949149012018</v>
      </c>
      <c r="O255" s="95">
        <f t="shared" si="15"/>
        <v>-14122.81529471079</v>
      </c>
      <c r="P255" s="95">
        <f t="shared" si="15"/>
        <v>-14066.36193223878</v>
      </c>
      <c r="Q255" s="95">
        <f t="shared" si="15"/>
        <v>-13319.190686233806</v>
      </c>
      <c r="R255" s="95">
        <f t="shared" si="15"/>
        <v>-12740.410972136075</v>
      </c>
      <c r="S255" s="95">
        <f t="shared" si="15"/>
        <v>-12228.741099192013</v>
      </c>
      <c r="T255" s="95">
        <f t="shared" si="15"/>
        <v>-11730.551623826936</v>
      </c>
      <c r="U255" s="95">
        <f t="shared" si="15"/>
        <v>-11444.33781215373</v>
      </c>
    </row>
    <row r="256" spans="2:21">
      <c r="B256" s="145" t="s">
        <v>333</v>
      </c>
      <c r="C256" s="147" t="s">
        <v>171</v>
      </c>
      <c r="D256" s="147" t="s">
        <v>5</v>
      </c>
      <c r="E256" s="147" t="s">
        <v>195</v>
      </c>
      <c r="F256" s="147" t="s">
        <v>195</v>
      </c>
      <c r="G256" s="147" t="s">
        <v>195</v>
      </c>
      <c r="H256" s="145" t="s">
        <v>332</v>
      </c>
      <c r="I256" s="147">
        <f>SUMIFS(RVN!E:E,RVN!A:A,D256,RVN!B:B,"U")*SUMIFS(I$195:I$233,C$195:C$233,C256,D$195:D$233,D256,E$195:E$233,E256)/SUMIFS(I$195:I$233,D$195:D$233,D256)</f>
        <v>2068.8721145136751</v>
      </c>
      <c r="J256" s="147">
        <f t="shared" si="15"/>
        <v>152.62909424224858</v>
      </c>
      <c r="K256" s="147">
        <f t="shared" si="15"/>
        <v>122.62532341799911</v>
      </c>
      <c r="L256" s="147">
        <f t="shared" si="15"/>
        <v>99.213108427640819</v>
      </c>
      <c r="M256" s="147">
        <f t="shared" si="15"/>
        <v>163.35652824642443</v>
      </c>
      <c r="N256" s="147">
        <f t="shared" si="15"/>
        <v>215.87178801621505</v>
      </c>
      <c r="O256" s="147">
        <f t="shared" si="15"/>
        <v>184.14384633102861</v>
      </c>
      <c r="P256" s="147">
        <f t="shared" si="15"/>
        <v>184.15094262445075</v>
      </c>
      <c r="Q256" s="147">
        <f t="shared" si="15"/>
        <v>226.42376605035884</v>
      </c>
      <c r="R256" s="147">
        <f t="shared" si="15"/>
        <v>254.56487298767144</v>
      </c>
      <c r="S256" s="147">
        <f t="shared" si="15"/>
        <v>200.17177442219739</v>
      </c>
      <c r="T256" s="147">
        <f t="shared" si="15"/>
        <v>154.00012028753696</v>
      </c>
      <c r="U256" s="147">
        <f t="shared" si="15"/>
        <v>111.72094945990342</v>
      </c>
    </row>
    <row r="257" spans="2:21">
      <c r="B257" s="87"/>
      <c r="H257" s="87"/>
    </row>
    <row r="258" spans="2:21">
      <c r="B258" s="217" t="s">
        <v>400</v>
      </c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9"/>
    </row>
    <row r="259" spans="2:21">
      <c r="B259" s="222"/>
      <c r="C259" s="222" t="s">
        <v>209</v>
      </c>
      <c r="D259" s="222" t="s">
        <v>153</v>
      </c>
      <c r="E259" s="222" t="s">
        <v>178</v>
      </c>
      <c r="F259" s="222" t="s">
        <v>193</v>
      </c>
      <c r="G259" s="222" t="s">
        <v>194</v>
      </c>
      <c r="H259" s="222" t="s">
        <v>205</v>
      </c>
      <c r="I259" s="223" t="s">
        <v>217</v>
      </c>
      <c r="J259" s="224">
        <v>44378</v>
      </c>
      <c r="K259" s="224">
        <v>44409</v>
      </c>
      <c r="L259" s="224">
        <v>44440</v>
      </c>
      <c r="M259" s="224">
        <v>44470</v>
      </c>
      <c r="N259" s="224">
        <v>44501</v>
      </c>
      <c r="O259" s="224">
        <v>44531</v>
      </c>
      <c r="P259" s="224">
        <v>44562</v>
      </c>
      <c r="Q259" s="224">
        <v>44593</v>
      </c>
      <c r="R259" s="224">
        <v>44621</v>
      </c>
      <c r="S259" s="224">
        <v>44652</v>
      </c>
      <c r="T259" s="224">
        <v>44682</v>
      </c>
      <c r="U259" s="224">
        <v>44713</v>
      </c>
    </row>
    <row r="260" spans="2:21">
      <c r="B260" s="95"/>
      <c r="C260" s="95"/>
      <c r="D260" s="95"/>
      <c r="E260" s="95"/>
      <c r="F260" s="95"/>
      <c r="G260" s="95"/>
      <c r="H260" s="95"/>
      <c r="I260" s="97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</row>
    <row r="261" spans="2:21">
      <c r="B261" s="95" t="s">
        <v>330</v>
      </c>
      <c r="C261" s="143" t="s">
        <v>422</v>
      </c>
      <c r="D261" s="97" t="s">
        <v>195</v>
      </c>
      <c r="E261" s="136" t="s">
        <v>195</v>
      </c>
      <c r="F261" s="97" t="s">
        <v>195</v>
      </c>
      <c r="G261" s="97" t="s">
        <v>195</v>
      </c>
      <c r="H261" s="97" t="s">
        <v>6</v>
      </c>
      <c r="I261" s="95">
        <f>SUM(J261:U261)</f>
        <v>1631466959.8382835</v>
      </c>
      <c r="J261" s="136">
        <f>IF($C261="Schedule 15,51,53,54",SUM('Normalized Units'!J$228:J$233,'Normalized Units'!J$251:J$256),SUMIFS(J$195:J$256,$C$195:$C$256,$C261,$E$195:$E$256,$E261))</f>
        <v>129285146.6842245</v>
      </c>
      <c r="K261" s="136">
        <f>IF($C261="Schedule 15,51,53,54",SUM('Normalized Units'!K$228:K$233,'Normalized Units'!K$251:K$256),SUMIFS(K$195:K$256,$C$195:$C$256,$C261,$E$195:$E$256,$E261))</f>
        <v>140659153.86027229</v>
      </c>
      <c r="L261" s="136">
        <f>IF($C261="Schedule 15,51,53,54",SUM('Normalized Units'!L$228:L$233,'Normalized Units'!L$251:L$256),SUMIFS(L$195:L$256,$C$195:$C$256,$C261,$E$195:$E$256,$E261))</f>
        <v>107789209.78954051</v>
      </c>
      <c r="M261" s="136">
        <f>IF($C261="Schedule 15,51,53,54",SUM('Normalized Units'!M$228:M$233,'Normalized Units'!M$251:M$256),SUMIFS(M$195:M$256,$C$195:$C$256,$C261,$E$195:$E$256,$E261))</f>
        <v>94858614.043642163</v>
      </c>
      <c r="N261" s="136">
        <f>IF($C261="Schedule 15,51,53,54",SUM('Normalized Units'!N$228:N$233,'Normalized Units'!N$251:N$256),SUMIFS(N$195:N$256,$C$195:$C$256,$C261,$E$195:$E$256,$E261))</f>
        <v>138965586.62539425</v>
      </c>
      <c r="O261" s="136">
        <f>IF($C261="Schedule 15,51,53,54",SUM('Normalized Units'!O$228:O$233,'Normalized Units'!O$251:O$256),SUMIFS(O$195:O$256,$C$195:$C$256,$C261,$E$195:$E$256,$E261))</f>
        <v>180911176.93364429</v>
      </c>
      <c r="P261" s="136">
        <f>IF($C261="Schedule 15,51,53,54",SUM('Normalized Units'!P$228:P$233,'Normalized Units'!P$251:P$256),SUMIFS(P$195:P$256,$C$195:$C$256,$C261,$E$195:$E$256,$E261))</f>
        <v>204828151.74796712</v>
      </c>
      <c r="Q261" s="136">
        <f>IF($C261="Schedule 15,51,53,54",SUM('Normalized Units'!Q$228:Q$233,'Normalized Units'!Q$251:Q$256),SUMIFS(Q$195:Q$256,$C$195:$C$256,$C261,$E$195:$E$256,$E261))</f>
        <v>179234983.20692793</v>
      </c>
      <c r="R261" s="136">
        <f>IF($C261="Schedule 15,51,53,54",SUM('Normalized Units'!R$228:R$233,'Normalized Units'!R$251:R$256),SUMIFS(R$195:R$256,$C$195:$C$256,$C261,$E$195:$E$256,$E261))</f>
        <v>155729639.79354775</v>
      </c>
      <c r="S261" s="136">
        <f>IF($C261="Schedule 15,51,53,54",SUM('Normalized Units'!S$228:S$233,'Normalized Units'!S$251:S$256),SUMIFS(S$195:S$256,$C$195:$C$256,$C261,$E$195:$E$256,$E261))</f>
        <v>99190862.143351629</v>
      </c>
      <c r="T261" s="136">
        <f>IF($C261="Schedule 15,51,53,54",SUM('Normalized Units'!T$228:T$233,'Normalized Units'!T$251:T$256),SUMIFS(T$195:T$256,$C$195:$C$256,$C261,$E$195:$E$256,$E261))</f>
        <v>104311099.14207558</v>
      </c>
      <c r="U261" s="136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95" t="s">
        <v>330</v>
      </c>
      <c r="C262" s="220" t="s">
        <v>229</v>
      </c>
      <c r="D262" s="97" t="s">
        <v>195</v>
      </c>
      <c r="E262" s="220" t="s">
        <v>195</v>
      </c>
      <c r="F262" s="97" t="s">
        <v>195</v>
      </c>
      <c r="G262" s="97" t="s">
        <v>195</v>
      </c>
      <c r="H262" s="97" t="s">
        <v>6</v>
      </c>
      <c r="I262" s="95">
        <f t="shared" ref="I262:I270" si="16">SUM(J262:U262)</f>
        <v>547764809.29518425</v>
      </c>
      <c r="J262" s="136">
        <f>IF($C262="Schedule 15,51,53,54",SUM('Normalized Units'!J$228:J$233,'Normalized Units'!J$251:J$256),SUMIFS(J$195:J$256,$C$195:$C$256,$C262,$E$195:$E$256,$E262))</f>
        <v>50960266.132125355</v>
      </c>
      <c r="K262" s="136">
        <f>IF($C262="Schedule 15,51,53,54",SUM('Normalized Units'!K$228:K$233,'Normalized Units'!K$251:K$256),SUMIFS(K$195:K$256,$C$195:$C$256,$C262,$E$195:$E$256,$E262))</f>
        <v>54927629.43917831</v>
      </c>
      <c r="L262" s="136">
        <f>IF($C262="Schedule 15,51,53,54",SUM('Normalized Units'!L$228:L$233,'Normalized Units'!L$251:L$256),SUMIFS(L$195:L$256,$C$195:$C$256,$C262,$E$195:$E$256,$E262))</f>
        <v>46851582.412494272</v>
      </c>
      <c r="M262" s="136">
        <f>IF($C262="Schedule 15,51,53,54",SUM('Normalized Units'!M$228:M$233,'Normalized Units'!M$251:M$256),SUMIFS(M$195:M$256,$C$195:$C$256,$C262,$E$195:$E$256,$E262))</f>
        <v>41248801.263937339</v>
      </c>
      <c r="N262" s="136">
        <f>IF($C262="Schedule 15,51,53,54",SUM('Normalized Units'!N$228:N$233,'Normalized Units'!N$251:N$256),SUMIFS(N$195:N$256,$C$195:$C$256,$C262,$E$195:$E$256,$E262))</f>
        <v>41924154.670058541</v>
      </c>
      <c r="O262" s="136">
        <f>IF($C262="Schedule 15,51,53,54",SUM('Normalized Units'!O$228:O$233,'Normalized Units'!O$251:O$256),SUMIFS(O$195:O$256,$C$195:$C$256,$C262,$E$195:$E$256,$E262))</f>
        <v>48745958.157215051</v>
      </c>
      <c r="P262" s="136">
        <f>IF($C262="Schedule 15,51,53,54",SUM('Normalized Units'!P$228:P$233,'Normalized Units'!P$251:P$256),SUMIFS(P$195:P$256,$C$195:$C$256,$C262,$E$195:$E$256,$E262))</f>
        <v>52867202.94012408</v>
      </c>
      <c r="Q262" s="136">
        <f>IF($C262="Schedule 15,51,53,54",SUM('Normalized Units'!Q$228:Q$233,'Normalized Units'!Q$251:Q$256),SUMIFS(Q$195:Q$256,$C$195:$C$256,$C262,$E$195:$E$256,$E262))</f>
        <v>47849541.275854804</v>
      </c>
      <c r="R262" s="136">
        <f>IF($C262="Schedule 15,51,53,54",SUM('Normalized Units'!R$228:R$233,'Normalized Units'!R$251:R$256),SUMIFS(R$195:R$256,$C$195:$C$256,$C262,$E$195:$E$256,$E262))</f>
        <v>43507329.54007826</v>
      </c>
      <c r="S262" s="136">
        <f>IF($C262="Schedule 15,51,53,54",SUM('Normalized Units'!S$228:S$233,'Normalized Units'!S$251:S$256),SUMIFS(S$195:S$256,$C$195:$C$256,$C262,$E$195:$E$256,$E262))</f>
        <v>39162487.317504823</v>
      </c>
      <c r="T262" s="136">
        <f>IF($C262="Schedule 15,51,53,54",SUM('Normalized Units'!T$228:T$233,'Normalized Units'!T$251:T$256),SUMIFS(T$195:T$256,$C$195:$C$256,$C262,$E$195:$E$256,$E262))</f>
        <v>39751514.681575239</v>
      </c>
      <c r="U262" s="136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95" t="s">
        <v>330</v>
      </c>
      <c r="C263" s="220" t="s">
        <v>279</v>
      </c>
      <c r="D263" s="97" t="s">
        <v>195</v>
      </c>
      <c r="E263" s="136" t="s">
        <v>176</v>
      </c>
      <c r="F263" s="97" t="s">
        <v>195</v>
      </c>
      <c r="G263" s="97" t="s">
        <v>195</v>
      </c>
      <c r="H263" s="97" t="s">
        <v>6</v>
      </c>
      <c r="I263" s="95">
        <f t="shared" si="16"/>
        <v>922069275.13726711</v>
      </c>
      <c r="J263" s="136">
        <f>IF($C263="Schedule 15,51,53,54",SUM('Normalized Units'!J$228:J$233,'Normalized Units'!J$251:J$256),SUMIFS(J$195:J$256,$C$195:$C$256,$C263,$E$195:$E$256,$E263))</f>
        <v>76577993.57689707</v>
      </c>
      <c r="K263" s="136">
        <f>IF($C263="Schedule 15,51,53,54",SUM('Normalized Units'!K$228:K$233,'Normalized Units'!K$251:K$256),SUMIFS(K$195:K$256,$C$195:$C$256,$C263,$E$195:$E$256,$E263))</f>
        <v>81453953.501539364</v>
      </c>
      <c r="L263" s="136">
        <f>IF($C263="Schedule 15,51,53,54",SUM('Normalized Units'!L$228:L$233,'Normalized Units'!L$251:L$256),SUMIFS(L$195:L$256,$C$195:$C$256,$C263,$E$195:$E$256,$E263))</f>
        <v>84223570.523290947</v>
      </c>
      <c r="M263" s="136">
        <f>IF($C263="Schedule 15,51,53,54",SUM('Normalized Units'!M$228:M$233,'Normalized Units'!M$251:M$256),SUMIFS(M$195:M$256,$C$195:$C$256,$C263,$E$195:$E$256,$E263))</f>
        <v>86722375.606678769</v>
      </c>
      <c r="N263" s="136">
        <f>IF($C263="Schedule 15,51,53,54",SUM('Normalized Units'!N$228:N$233,'Normalized Units'!N$251:N$256),SUMIFS(N$195:N$256,$C$195:$C$256,$C263,$E$195:$E$256,$E263))</f>
        <v>83121870.932266116</v>
      </c>
      <c r="O263" s="136">
        <f>IF($C263="Schedule 15,51,53,54",SUM('Normalized Units'!O$228:O$233,'Normalized Units'!O$251:O$256),SUMIFS(O$195:O$256,$C$195:$C$256,$C263,$E$195:$E$256,$E263))</f>
        <v>83586104.88014707</v>
      </c>
      <c r="P263" s="136">
        <f>IF($C263="Schedule 15,51,53,54",SUM('Normalized Units'!P$228:P$233,'Normalized Units'!P$251:P$256),SUMIFS(P$195:P$256,$C$195:$C$256,$C263,$E$195:$E$256,$E263))</f>
        <v>77692973.768916547</v>
      </c>
      <c r="Q263" s="136">
        <f>IF($C263="Schedule 15,51,53,54",SUM('Normalized Units'!Q$228:Q$233,'Normalized Units'!Q$251:Q$256),SUMIFS(Q$195:Q$256,$C$195:$C$256,$C263,$E$195:$E$256,$E263))</f>
        <v>73121094.41322808</v>
      </c>
      <c r="R263" s="136">
        <f>IF($C263="Schedule 15,51,53,54",SUM('Normalized Units'!R$228:R$233,'Normalized Units'!R$251:R$256),SUMIFS(R$195:R$256,$C$195:$C$256,$C263,$E$195:$E$256,$E263))</f>
        <v>71118308.313494876</v>
      </c>
      <c r="S263" s="136">
        <f>IF($C263="Schedule 15,51,53,54",SUM('Normalized Units'!S$228:S$233,'Normalized Units'!S$251:S$256),SUMIFS(S$195:S$256,$C$195:$C$256,$C263,$E$195:$E$256,$E263))</f>
        <v>66664646.15493869</v>
      </c>
      <c r="T263" s="136">
        <f>IF($C263="Schedule 15,51,53,54",SUM('Normalized Units'!T$228:T$233,'Normalized Units'!T$251:T$256),SUMIFS(T$195:T$256,$C$195:$C$256,$C263,$E$195:$E$256,$E263))</f>
        <v>68094591.447524875</v>
      </c>
      <c r="U263" s="136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95" t="s">
        <v>330</v>
      </c>
      <c r="C264" s="220" t="s">
        <v>279</v>
      </c>
      <c r="D264" s="97" t="s">
        <v>195</v>
      </c>
      <c r="E264" s="136" t="s">
        <v>177</v>
      </c>
      <c r="F264" s="97" t="s">
        <v>195</v>
      </c>
      <c r="G264" s="97" t="s">
        <v>195</v>
      </c>
      <c r="H264" s="97" t="s">
        <v>6</v>
      </c>
      <c r="I264" s="95">
        <f t="shared" si="16"/>
        <v>10527566.700870086</v>
      </c>
      <c r="J264" s="136">
        <f>IF($C264="Schedule 15,51,53,54",SUM('Normalized Units'!J$228:J$233,'Normalized Units'!J$251:J$256),SUMIFS(J$195:J$256,$C$195:$C$256,$C264,$E$195:$E$256,$E264))</f>
        <v>863948.65324150771</v>
      </c>
      <c r="K264" s="136">
        <f>IF($C264="Schedule 15,51,53,54",SUM('Normalized Units'!K$228:K$233,'Normalized Units'!K$251:K$256),SUMIFS(K$195:K$256,$C$195:$C$256,$C264,$E$195:$E$256,$E264))</f>
        <v>1011827.1278763207</v>
      </c>
      <c r="L264" s="136">
        <f>IF($C264="Schedule 15,51,53,54",SUM('Normalized Units'!L$228:L$233,'Normalized Units'!L$251:L$256),SUMIFS(L$195:L$256,$C$195:$C$256,$C264,$E$195:$E$256,$E264))</f>
        <v>995069.60979129618</v>
      </c>
      <c r="M264" s="136">
        <f>IF($C264="Schedule 15,51,53,54",SUM('Normalized Units'!M$228:M$233,'Normalized Units'!M$251:M$256),SUMIFS(M$195:M$256,$C$195:$C$256,$C264,$E$195:$E$256,$E264))</f>
        <v>905653.17817712983</v>
      </c>
      <c r="N264" s="136">
        <f>IF($C264="Schedule 15,51,53,54",SUM('Normalized Units'!N$228:N$233,'Normalized Units'!N$251:N$256),SUMIFS(N$195:N$256,$C$195:$C$256,$C264,$E$195:$E$256,$E264))</f>
        <v>961438.71803229558</v>
      </c>
      <c r="O264" s="136">
        <f>IF($C264="Schedule 15,51,53,54",SUM('Normalized Units'!O$228:O$233,'Normalized Units'!O$251:O$256),SUMIFS(O$195:O$256,$C$195:$C$256,$C264,$E$195:$E$256,$E264))</f>
        <v>943299.24890560925</v>
      </c>
      <c r="P264" s="136">
        <f>IF($C264="Schedule 15,51,53,54",SUM('Normalized Units'!P$228:P$233,'Normalized Units'!P$251:P$256),SUMIFS(P$195:P$256,$C$195:$C$256,$C264,$E$195:$E$256,$E264))</f>
        <v>912105.3899045086</v>
      </c>
      <c r="Q264" s="136">
        <f>IF($C264="Schedule 15,51,53,54",SUM('Normalized Units'!Q$228:Q$233,'Normalized Units'!Q$251:Q$256),SUMIFS(Q$195:Q$256,$C$195:$C$256,$C264,$E$195:$E$256,$E264))</f>
        <v>848463.66443724767</v>
      </c>
      <c r="R264" s="136">
        <f>IF($C264="Schedule 15,51,53,54",SUM('Normalized Units'!R$228:R$233,'Normalized Units'!R$251:R$256),SUMIFS(R$195:R$256,$C$195:$C$256,$C264,$E$195:$E$256,$E264))</f>
        <v>773309.72544788069</v>
      </c>
      <c r="S264" s="136">
        <f>IF($C264="Schedule 15,51,53,54",SUM('Normalized Units'!S$228:S$233,'Normalized Units'!S$251:S$256),SUMIFS(S$195:S$256,$C$195:$C$256,$C264,$E$195:$E$256,$E264))</f>
        <v>722356.65220017731</v>
      </c>
      <c r="T264" s="136">
        <f>IF($C264="Schedule 15,51,53,54",SUM('Normalized Units'!T$228:T$233,'Normalized Units'!T$251:T$256),SUMIFS(T$195:T$256,$C$195:$C$256,$C264,$E$195:$E$256,$E264))</f>
        <v>868574.16813171713</v>
      </c>
      <c r="U264" s="136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95" t="s">
        <v>330</v>
      </c>
      <c r="C265" s="136" t="s">
        <v>172</v>
      </c>
      <c r="D265" s="97" t="s">
        <v>195</v>
      </c>
      <c r="E265" s="136" t="s">
        <v>176</v>
      </c>
      <c r="F265" s="97" t="s">
        <v>195</v>
      </c>
      <c r="G265" s="97" t="s">
        <v>195</v>
      </c>
      <c r="H265" s="97" t="s">
        <v>6</v>
      </c>
      <c r="I265" s="95">
        <f t="shared" si="16"/>
        <v>324478745.60633916</v>
      </c>
      <c r="J265" s="136">
        <f>IF($C265="Schedule 15,51,53,54",SUM('Normalized Units'!J$228:J$233,'Normalized Units'!J$251:J$256),SUMIFS(J$195:J$256,$C$195:$C$256,$C265,$E$195:$E$256,$E265))</f>
        <v>30024181.973321062</v>
      </c>
      <c r="K265" s="136">
        <f>IF($C265="Schedule 15,51,53,54",SUM('Normalized Units'!K$228:K$233,'Normalized Units'!K$251:K$256),SUMIFS(K$195:K$256,$C$195:$C$256,$C265,$E$195:$E$256,$E265))</f>
        <v>28247286.227545887</v>
      </c>
      <c r="L265" s="136">
        <f>IF($C265="Schedule 15,51,53,54",SUM('Normalized Units'!L$228:L$233,'Normalized Units'!L$251:L$256),SUMIFS(L$195:L$256,$C$195:$C$256,$C265,$E$195:$E$256,$E265))</f>
        <v>29273773.711429223</v>
      </c>
      <c r="M265" s="136">
        <f>IF($C265="Schedule 15,51,53,54",SUM('Normalized Units'!M$228:M$233,'Normalized Units'!M$251:M$256),SUMIFS(M$195:M$256,$C$195:$C$256,$C265,$E$195:$E$256,$E265))</f>
        <v>29381861.078878943</v>
      </c>
      <c r="N265" s="136">
        <f>IF($C265="Schedule 15,51,53,54",SUM('Normalized Units'!N$228:N$233,'Normalized Units'!N$251:N$256),SUMIFS(N$195:N$256,$C$195:$C$256,$C265,$E$195:$E$256,$E265))</f>
        <v>29757095.555886444</v>
      </c>
      <c r="O265" s="136">
        <f>IF($C265="Schedule 15,51,53,54",SUM('Normalized Units'!O$228:O$233,'Normalized Units'!O$251:O$256),SUMIFS(O$195:O$256,$C$195:$C$256,$C265,$E$195:$E$256,$E265))</f>
        <v>27510747.364386164</v>
      </c>
      <c r="P265" s="136">
        <f>IF($C265="Schedule 15,51,53,54",SUM('Normalized Units'!P$228:P$233,'Normalized Units'!P$251:P$256),SUMIFS(P$195:P$256,$C$195:$C$256,$C265,$E$195:$E$256,$E265))</f>
        <v>24695008.502139259</v>
      </c>
      <c r="Q265" s="136">
        <f>IF($C265="Schedule 15,51,53,54",SUM('Normalized Units'!Q$228:Q$233,'Normalized Units'!Q$251:Q$256),SUMIFS(Q$195:Q$256,$C$195:$C$256,$C265,$E$195:$E$256,$E265))</f>
        <v>25027472.763430737</v>
      </c>
      <c r="R265" s="136">
        <f>IF($C265="Schedule 15,51,53,54",SUM('Normalized Units'!R$228:R$233,'Normalized Units'!R$251:R$256),SUMIFS(R$195:R$256,$C$195:$C$256,$C265,$E$195:$E$256,$E265))</f>
        <v>25039666.578196816</v>
      </c>
      <c r="S265" s="136">
        <f>IF($C265="Schedule 15,51,53,54",SUM('Normalized Units'!S$228:S$233,'Normalized Units'!S$251:S$256),SUMIFS(S$195:S$256,$C$195:$C$256,$C265,$E$195:$E$256,$E265))</f>
        <v>24970344.870513849</v>
      </c>
      <c r="T265" s="136">
        <f>IF($C265="Schedule 15,51,53,54",SUM('Normalized Units'!T$228:T$233,'Normalized Units'!T$251:T$256),SUMIFS(T$195:T$256,$C$195:$C$256,$C265,$E$195:$E$256,$E265))</f>
        <v>24667379.929165084</v>
      </c>
      <c r="U265" s="136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95" t="s">
        <v>330</v>
      </c>
      <c r="C266" s="136" t="s">
        <v>172</v>
      </c>
      <c r="D266" s="97" t="s">
        <v>195</v>
      </c>
      <c r="E266" s="136" t="s">
        <v>177</v>
      </c>
      <c r="F266" s="97" t="s">
        <v>195</v>
      </c>
      <c r="G266" s="97" t="s">
        <v>195</v>
      </c>
      <c r="H266" s="97" t="s">
        <v>6</v>
      </c>
      <c r="I266" s="95">
        <f t="shared" si="16"/>
        <v>52217824.538150415</v>
      </c>
      <c r="J266" s="136">
        <f>IF($C266="Schedule 15,51,53,54",SUM('Normalized Units'!J$228:J$233,'Normalized Units'!J$251:J$256),SUMIFS(J$195:J$256,$C$195:$C$256,$C266,$E$195:$E$256,$E266))</f>
        <v>4885747.3927753503</v>
      </c>
      <c r="K266" s="136">
        <f>IF($C266="Schedule 15,51,53,54",SUM('Normalized Units'!K$228:K$233,'Normalized Units'!K$251:K$256),SUMIFS(K$195:K$256,$C$195:$C$256,$C266,$E$195:$E$256,$E266))</f>
        <v>5237715.6705300966</v>
      </c>
      <c r="L266" s="136">
        <f>IF($C266="Schedule 15,51,53,54",SUM('Normalized Units'!L$228:L$233,'Normalized Units'!L$251:L$256),SUMIFS(L$195:L$256,$C$195:$C$256,$C266,$E$195:$E$256,$E266))</f>
        <v>4547384.3656852758</v>
      </c>
      <c r="M266" s="136">
        <f>IF($C266="Schedule 15,51,53,54",SUM('Normalized Units'!M$228:M$233,'Normalized Units'!M$251:M$256),SUMIFS(M$195:M$256,$C$195:$C$256,$C266,$E$195:$E$256,$E266))</f>
        <v>4529464.0292613488</v>
      </c>
      <c r="N266" s="136">
        <f>IF($C266="Schedule 15,51,53,54",SUM('Normalized Units'!N$228:N$233,'Normalized Units'!N$251:N$256),SUMIFS(N$195:N$256,$C$195:$C$256,$C266,$E$195:$E$256,$E266))</f>
        <v>4320358.8939178232</v>
      </c>
      <c r="O266" s="136">
        <f>IF($C266="Schedule 15,51,53,54",SUM('Normalized Units'!O$228:O$233,'Normalized Units'!O$251:O$256),SUMIFS(O$195:O$256,$C$195:$C$256,$C266,$E$195:$E$256,$E266))</f>
        <v>4780225.37946444</v>
      </c>
      <c r="P266" s="136">
        <f>IF($C266="Schedule 15,51,53,54",SUM('Normalized Units'!P$228:P$233,'Normalized Units'!P$251:P$256),SUMIFS(P$195:P$256,$C$195:$C$256,$C266,$E$195:$E$256,$E266))</f>
        <v>4307740.0324268527</v>
      </c>
      <c r="Q266" s="136">
        <f>IF($C266="Schedule 15,51,53,54",SUM('Normalized Units'!Q$228:Q$233,'Normalized Units'!Q$251:Q$256),SUMIFS(Q$195:Q$256,$C$195:$C$256,$C266,$E$195:$E$256,$E266))</f>
        <v>4189171.2003893587</v>
      </c>
      <c r="R266" s="136">
        <f>IF($C266="Schedule 15,51,53,54",SUM('Normalized Units'!R$228:R$233,'Normalized Units'!R$251:R$256),SUMIFS(R$195:R$256,$C$195:$C$256,$C266,$E$195:$E$256,$E266))</f>
        <v>3964876.3645199845</v>
      </c>
      <c r="S266" s="136">
        <f>IF($C266="Schedule 15,51,53,54",SUM('Normalized Units'!S$228:S$233,'Normalized Units'!S$251:S$256),SUMIFS(S$195:S$256,$C$195:$C$256,$C266,$E$195:$E$256,$E266))</f>
        <v>3768562.5278361314</v>
      </c>
      <c r="T266" s="136">
        <f>IF($C266="Schedule 15,51,53,54",SUM('Normalized Units'!T$228:T$233,'Normalized Units'!T$251:T$256),SUMIFS(T$195:T$256,$C$195:$C$256,$C266,$E$195:$E$256,$E266))</f>
        <v>3806744.9829342291</v>
      </c>
      <c r="U266" s="136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95" t="s">
        <v>330</v>
      </c>
      <c r="C267" s="220" t="s">
        <v>287</v>
      </c>
      <c r="D267" s="97" t="s">
        <v>195</v>
      </c>
      <c r="E267" s="136" t="s">
        <v>177</v>
      </c>
      <c r="F267" s="97" t="s">
        <v>195</v>
      </c>
      <c r="G267" s="97" t="s">
        <v>195</v>
      </c>
      <c r="H267" s="97" t="s">
        <v>6</v>
      </c>
      <c r="I267" s="95">
        <f t="shared" si="16"/>
        <v>544168565.28857481</v>
      </c>
      <c r="J267" s="136">
        <f>IF($C267="Schedule 15,51,53,54",SUM('Normalized Units'!J$228:J$233,'Normalized Units'!J$251:J$256),SUMIFS(J$195:J$256,$C$195:$C$256,$C267,$E$195:$E$256,$E267))</f>
        <v>46354267.232863262</v>
      </c>
      <c r="K267" s="136">
        <f>IF($C267="Schedule 15,51,53,54",SUM('Normalized Units'!K$228:K$233,'Normalized Units'!K$251:K$256),SUMIFS(K$195:K$256,$C$195:$C$256,$C267,$E$195:$E$256,$E267))</f>
        <v>46060541.568033181</v>
      </c>
      <c r="L267" s="136">
        <f>IF($C267="Schedule 15,51,53,54",SUM('Normalized Units'!L$228:L$233,'Normalized Units'!L$251:L$256),SUMIFS(L$195:L$256,$C$195:$C$256,$C267,$E$195:$E$256,$E267))</f>
        <v>46941718.674797967</v>
      </c>
      <c r="M267" s="136">
        <f>IF($C267="Schedule 15,51,53,54",SUM('Normalized Units'!M$228:M$233,'Normalized Units'!M$251:M$256),SUMIFS(M$195:M$256,$C$195:$C$256,$C267,$E$195:$E$256,$E267))</f>
        <v>44581034.289620548</v>
      </c>
      <c r="N267" s="136">
        <f>IF($C267="Schedule 15,51,53,54",SUM('Normalized Units'!N$228:N$233,'Normalized Units'!N$251:N$256),SUMIFS(N$195:N$256,$C$195:$C$256,$C267,$E$195:$E$256,$E267))</f>
        <v>45512978.951412737</v>
      </c>
      <c r="O267" s="136">
        <f>IF($C267="Schedule 15,51,53,54",SUM('Normalized Units'!O$228:O$233,'Normalized Units'!O$251:O$256),SUMIFS(O$195:O$256,$C$195:$C$256,$C267,$E$195:$E$256,$E267))</f>
        <v>44435984.672386482</v>
      </c>
      <c r="P267" s="136">
        <f>IF($C267="Schedule 15,51,53,54",SUM('Normalized Units'!P$228:P$233,'Normalized Units'!P$251:P$256),SUMIFS(P$195:P$256,$C$195:$C$256,$C267,$E$195:$E$256,$E267))</f>
        <v>47224565.684764601</v>
      </c>
      <c r="Q267" s="136">
        <f>IF($C267="Schedule 15,51,53,54",SUM('Normalized Units'!Q$228:Q$233,'Normalized Units'!Q$251:Q$256),SUMIFS(Q$195:Q$256,$C$195:$C$256,$C267,$E$195:$E$256,$E267))</f>
        <v>46604478.165965006</v>
      </c>
      <c r="R267" s="136">
        <f>IF($C267="Schedule 15,51,53,54",SUM('Normalized Units'!R$228:R$233,'Normalized Units'!R$251:R$256),SUMIFS(R$195:R$256,$C$195:$C$256,$C267,$E$195:$E$256,$E267))</f>
        <v>43290091.649590172</v>
      </c>
      <c r="S267" s="136">
        <f>IF($C267="Schedule 15,51,53,54",SUM('Normalized Units'!S$228:S$233,'Normalized Units'!S$251:S$256),SUMIFS(S$195:S$256,$C$195:$C$256,$C267,$E$195:$E$256,$E267))</f>
        <v>43188557.09157563</v>
      </c>
      <c r="T267" s="136">
        <f>IF($C267="Schedule 15,51,53,54",SUM('Normalized Units'!T$228:T$233,'Normalized Units'!T$251:T$256),SUMIFS(T$195:T$256,$C$195:$C$256,$C267,$E$195:$E$256,$E267))</f>
        <v>42898457.532075517</v>
      </c>
      <c r="U267" s="136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95" t="s">
        <v>330</v>
      </c>
      <c r="C268" s="136" t="s">
        <v>152</v>
      </c>
      <c r="D268" s="97" t="s">
        <v>195</v>
      </c>
      <c r="E268" s="136" t="s">
        <v>195</v>
      </c>
      <c r="F268" s="97" t="s">
        <v>195</v>
      </c>
      <c r="G268" s="97" t="s">
        <v>195</v>
      </c>
      <c r="H268" s="97" t="s">
        <v>6</v>
      </c>
      <c r="I268" s="95">
        <f t="shared" si="16"/>
        <v>152841487.16573822</v>
      </c>
      <c r="J268" s="136">
        <f>IF($C268="Schedule 15,51,53,54",SUM('Normalized Units'!J$228:J$233,'Normalized Units'!J$251:J$256),SUMIFS(J$195:J$256,$C$195:$C$256,$C268,$E$195:$E$256,$E268))</f>
        <v>30903359.040253222</v>
      </c>
      <c r="K268" s="136">
        <f>IF($C268="Schedule 15,51,53,54",SUM('Normalized Units'!K$228:K$233,'Normalized Units'!K$251:K$256),SUMIFS(K$195:K$256,$C$195:$C$256,$C268,$E$195:$E$256,$E268))</f>
        <v>33490996.894180678</v>
      </c>
      <c r="L268" s="136">
        <f>IF($C268="Schedule 15,51,53,54",SUM('Normalized Units'!L$228:L$233,'Normalized Units'!L$251:L$256),SUMIFS(L$195:L$256,$C$195:$C$256,$C268,$E$195:$E$256,$E268))</f>
        <v>26225394.423008308</v>
      </c>
      <c r="M268" s="136">
        <f>IF($C268="Schedule 15,51,53,54",SUM('Normalized Units'!M$228:M$233,'Normalized Units'!M$251:M$256),SUMIFS(M$195:M$256,$C$195:$C$256,$C268,$E$195:$E$256,$E268))</f>
        <v>14814041.997242451</v>
      </c>
      <c r="N268" s="136">
        <f>IF($C268="Schedule 15,51,53,54",SUM('Normalized Units'!N$228:N$233,'Normalized Units'!N$251:N$256),SUMIFS(N$195:N$256,$C$195:$C$256,$C268,$E$195:$E$256,$E268))</f>
        <v>4310576.7716076737</v>
      </c>
      <c r="O268" s="136">
        <f>IF($C268="Schedule 15,51,53,54",SUM('Normalized Units'!O$228:O$233,'Normalized Units'!O$251:O$256),SUMIFS(O$195:O$256,$C$195:$C$256,$C268,$E$195:$E$256,$E268))</f>
        <v>795141.81043523434</v>
      </c>
      <c r="P268" s="136">
        <f>IF($C268="Schedule 15,51,53,54",SUM('Normalized Units'!P$228:P$233,'Normalized Units'!P$251:P$256),SUMIFS(P$195:P$256,$C$195:$C$256,$C268,$E$195:$E$256,$E268))</f>
        <v>516336.22182470665</v>
      </c>
      <c r="Q268" s="136">
        <f>IF($C268="Schedule 15,51,53,54",SUM('Normalized Units'!Q$228:Q$233,'Normalized Units'!Q$251:Q$256),SUMIFS(Q$195:Q$256,$C$195:$C$256,$C268,$E$195:$E$256,$E268))</f>
        <v>498195.06194935995</v>
      </c>
      <c r="R268" s="136">
        <f>IF($C268="Schedule 15,51,53,54",SUM('Normalized Units'!R$228:R$233,'Normalized Units'!R$251:R$256),SUMIFS(R$195:R$256,$C$195:$C$256,$C268,$E$195:$E$256,$E268))</f>
        <v>2359327.7966310955</v>
      </c>
      <c r="S268" s="136">
        <f>IF($C268="Schedule 15,51,53,54",SUM('Normalized Units'!S$228:S$233,'Normalized Units'!S$251:S$256),SUMIFS(S$195:S$256,$C$195:$C$256,$C268,$E$195:$E$256,$E268))</f>
        <v>8742077.8012376893</v>
      </c>
      <c r="T268" s="136">
        <f>IF($C268="Schedule 15,51,53,54",SUM('Normalized Units'!T$228:T$233,'Normalized Units'!T$251:T$256),SUMIFS(T$195:T$256,$C$195:$C$256,$C268,$E$195:$E$256,$E268))</f>
        <v>12957065.994799087</v>
      </c>
      <c r="U268" s="136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95" t="s">
        <v>330</v>
      </c>
      <c r="C269" s="221" t="s">
        <v>331</v>
      </c>
      <c r="D269" s="97" t="s">
        <v>195</v>
      </c>
      <c r="E269" s="136" t="s">
        <v>195</v>
      </c>
      <c r="F269" s="97" t="s">
        <v>195</v>
      </c>
      <c r="G269" s="97" t="s">
        <v>195</v>
      </c>
      <c r="H269" s="97" t="s">
        <v>6</v>
      </c>
      <c r="I269" s="95">
        <f t="shared" si="16"/>
        <v>6952920.3925157655</v>
      </c>
      <c r="J269" s="136">
        <f>IF($C269="Schedule 15,51,53,54",SUM('Normalized Units'!J$228:J$233,'Normalized Units'!J$251:J$256),SUMIFS(J$195:J$256,$C$195:$C$256,$C269,$E$195:$E$256,$E269))</f>
        <v>561364.35226087563</v>
      </c>
      <c r="K269" s="136">
        <f>IF($C269="Schedule 15,51,53,54",SUM('Normalized Units'!K$228:K$233,'Normalized Units'!K$251:K$256),SUMIFS(K$195:K$256,$C$195:$C$256,$C269,$E$195:$E$256,$E269))</f>
        <v>560953.7382914226</v>
      </c>
      <c r="L269" s="136">
        <f>IF($C269="Schedule 15,51,53,54",SUM('Normalized Units'!L$228:L$233,'Normalized Units'!L$251:L$256),SUMIFS(L$195:L$256,$C$195:$C$256,$C269,$E$195:$E$256,$E269))</f>
        <v>563160.72890687385</v>
      </c>
      <c r="M269" s="136">
        <f>IF($C269="Schedule 15,51,53,54",SUM('Normalized Units'!M$228:M$233,'Normalized Units'!M$251:M$256),SUMIFS(M$195:M$256,$C$195:$C$256,$C269,$E$195:$E$256,$E269))</f>
        <v>579018.23464571452</v>
      </c>
      <c r="N269" s="136">
        <f>IF($C269="Schedule 15,51,53,54",SUM('Normalized Units'!N$228:N$233,'Normalized Units'!N$251:N$256),SUMIFS(N$195:N$256,$C$195:$C$256,$C269,$E$195:$E$256,$E269))</f>
        <v>596448.91885353241</v>
      </c>
      <c r="O269" s="136">
        <f>IF($C269="Schedule 15,51,53,54",SUM('Normalized Units'!O$228:O$233,'Normalized Units'!O$251:O$256),SUMIFS(O$195:O$256,$C$195:$C$256,$C269,$E$195:$E$256,$E269))</f>
        <v>603862.39715947607</v>
      </c>
      <c r="P269" s="136">
        <f>IF($C269="Schedule 15,51,53,54",SUM('Normalized Units'!P$228:P$233,'Normalized Units'!P$251:P$256),SUMIFS(P$195:P$256,$C$195:$C$256,$C269,$E$195:$E$256,$E269))</f>
        <v>600259.67961441667</v>
      </c>
      <c r="Q269" s="136">
        <f>IF($C269="Schedule 15,51,53,54",SUM('Normalized Units'!Q$228:Q$233,'Normalized Units'!Q$251:Q$256),SUMIFS(Q$195:Q$256,$C$195:$C$256,$C269,$E$195:$E$256,$E269))</f>
        <v>591436.41080835182</v>
      </c>
      <c r="R269" s="136">
        <f>IF($C269="Schedule 15,51,53,54",SUM('Normalized Units'!R$228:R$233,'Normalized Units'!R$251:R$256),SUMIFS(R$195:R$256,$C$195:$C$256,$C269,$E$195:$E$256,$E269))</f>
        <v>595683.92872489197</v>
      </c>
      <c r="S269" s="136">
        <f>IF($C269="Schedule 15,51,53,54",SUM('Normalized Units'!S$228:S$233,'Normalized Units'!S$251:S$256),SUMIFS(S$195:S$256,$C$195:$C$256,$C269,$E$195:$E$256,$E269))</f>
        <v>581111.36801267264</v>
      </c>
      <c r="T269" s="136">
        <f>IF($C269="Schedule 15,51,53,54",SUM('Normalized Units'!T$228:T$233,'Normalized Units'!T$251:T$256),SUMIFS(T$195:T$256,$C$195:$C$256,$C269,$E$195:$E$256,$E269))</f>
        <v>562971.9314278852</v>
      </c>
      <c r="U269" s="136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47" t="s">
        <v>330</v>
      </c>
      <c r="C270" s="137" t="s">
        <v>252</v>
      </c>
      <c r="D270" s="145" t="s">
        <v>195</v>
      </c>
      <c r="E270" s="137" t="s">
        <v>176</v>
      </c>
      <c r="F270" s="145" t="s">
        <v>195</v>
      </c>
      <c r="G270" s="145" t="s">
        <v>195</v>
      </c>
      <c r="H270" s="145" t="s">
        <v>6</v>
      </c>
      <c r="I270" s="95">
        <f t="shared" si="16"/>
        <v>1689224.9749023144</v>
      </c>
      <c r="J270" s="137">
        <f>IF($C270="Schedule 15,51,53,54",SUM('Normalized Units'!J$228:J$233,'Normalized Units'!J$251:J$256),SUMIFS(J$195:J$256,$C$195:$C$256,$C270,$E$195:$E$256,$E270))</f>
        <v>123896.64395526815</v>
      </c>
      <c r="K270" s="137">
        <f>IF($C270="Schedule 15,51,53,54",SUM('Normalized Units'!K$228:K$233,'Normalized Units'!K$251:K$256),SUMIFS(K$195:K$256,$C$195:$C$256,$C270,$E$195:$E$256,$E270))</f>
        <v>174261.13336797879</v>
      </c>
      <c r="L270" s="137">
        <f>IF($C270="Schedule 15,51,53,54",SUM('Normalized Units'!L$228:L$233,'Normalized Units'!L$251:L$256),SUMIFS(L$195:L$256,$C$195:$C$256,$C270,$E$195:$E$256,$E270))</f>
        <v>171239.26400321614</v>
      </c>
      <c r="M270" s="137">
        <f>IF($C270="Schedule 15,51,53,54",SUM('Normalized Units'!M$228:M$233,'Normalized Units'!M$251:M$256),SUMIFS(M$195:M$256,$C$195:$C$256,$C270,$E$195:$E$256,$E270))</f>
        <v>119867.4848022513</v>
      </c>
      <c r="N270" s="137">
        <f>IF($C270="Schedule 15,51,53,54",SUM('Normalized Units'!N$228:N$233,'Normalized Units'!N$251:N$256),SUMIFS(N$195:N$256,$C$195:$C$256,$C270,$E$195:$E$256,$E270))</f>
        <v>137998.70099082711</v>
      </c>
      <c r="O270" s="137">
        <f>IF($C270="Schedule 15,51,53,54",SUM('Normalized Units'!O$228:O$233,'Normalized Units'!O$251:O$256),SUMIFS(O$195:O$256,$C$195:$C$256,$C270,$E$195:$E$256,$E270))</f>
        <v>132962.25204955606</v>
      </c>
      <c r="P270" s="137">
        <f>IF($C270="Schedule 15,51,53,54",SUM('Normalized Units'!P$228:P$233,'Normalized Units'!P$251:P$256),SUMIFS(P$195:P$256,$C$195:$C$256,$C270,$E$195:$E$256,$E270))</f>
        <v>374711.8012305671</v>
      </c>
      <c r="Q270" s="137">
        <f>IF($C270="Schedule 15,51,53,54",SUM('Normalized Units'!Q$228:Q$233,'Normalized Units'!Q$251:Q$256),SUMIFS(Q$195:Q$256,$C$195:$C$256,$C270,$E$195:$E$256,$E270))</f>
        <v>101736.26861367549</v>
      </c>
      <c r="R270" s="137">
        <f>IF($C270="Schedule 15,51,53,54",SUM('Normalized Units'!R$228:R$233,'Normalized Units'!R$251:R$256),SUMIFS(R$195:R$256,$C$195:$C$256,$C270,$E$195:$E$256,$E270))</f>
        <v>102743.55840192968</v>
      </c>
      <c r="S270" s="137">
        <f>IF($C270="Schedule 15,51,53,54",SUM('Normalized Units'!S$228:S$233,'Normalized Units'!S$251:S$256),SUMIFS(S$195:S$256,$C$195:$C$256,$C270,$E$195:$E$256,$E270))</f>
        <v>71517.574966049098</v>
      </c>
      <c r="T270" s="137">
        <f>IF($C270="Schedule 15,51,53,54",SUM('Normalized Units'!T$228:T$233,'Normalized Units'!T$251:T$256),SUMIFS(T$195:T$256,$C$195:$C$256,$C270,$E$195:$E$256,$E270))</f>
        <v>85619.632001608057</v>
      </c>
      <c r="U270" s="137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</row>
    <row r="272" spans="2:21">
      <c r="B272" s="97" t="s">
        <v>355</v>
      </c>
      <c r="C272" s="143" t="s">
        <v>422</v>
      </c>
      <c r="D272" s="95" t="s">
        <v>4</v>
      </c>
      <c r="E272" s="97" t="s">
        <v>195</v>
      </c>
      <c r="F272" s="97" t="s">
        <v>195</v>
      </c>
      <c r="G272" s="97" t="s">
        <v>195</v>
      </c>
      <c r="H272" s="95" t="s">
        <v>6</v>
      </c>
      <c r="I272" s="95">
        <f>SUM(J272:U272)</f>
        <v>-2080953.9801362143</v>
      </c>
      <c r="J272" s="95">
        <f>'Sch.16,17,19'!$Q$23*(J195-J149)+'Sch.16,17,19'!$Q$24*(J196-J150)</f>
        <v>-1900431.4078081381</v>
      </c>
      <c r="K272" s="95">
        <f>'Sch.16,17,19'!$Q$23*(K195-K149)+'Sch.16,17,19'!$Q$24*(K196-K150)</f>
        <v>-262240.9713212183</v>
      </c>
      <c r="L272" s="95">
        <f>'Sch.16,17,19'!$Q$23*(L195-L149)+'Sch.16,17,19'!$Q$24*(L196-L150)</f>
        <v>217305.44824789368</v>
      </c>
      <c r="M272" s="95">
        <f>'Sch.16,17,19'!$Q$23*(M195-M149)+'Sch.16,17,19'!$Q$24*(M196-M150)</f>
        <v>350832.10498269281</v>
      </c>
      <c r="N272" s="95">
        <f>'Sch.16,17,19'!$Q$23*(N195-N149)+'Sch.16,17,19'!$Q$24*(N196-N150)</f>
        <v>1744986.8161060493</v>
      </c>
      <c r="O272" s="95">
        <f>'Sch.16,17,19'!$Q$23*(O195-O149)+'Sch.16,17,19'!$Q$24*(O196-O150)</f>
        <v>1056719.725450543</v>
      </c>
      <c r="P272" s="95">
        <f>'Sch.16,17,19'!$Q$23*(P195-P149)+'Sch.16,17,19'!$Q$24*(P196-P150)</f>
        <v>-2351524.3349704286</v>
      </c>
      <c r="Q272" s="95">
        <f>'Sch.16,17,19'!$Q$23*(Q195-Q149)+'Sch.16,17,19'!$Q$24*(Q196-Q150)</f>
        <v>-533156.61189052742</v>
      </c>
      <c r="R272" s="95">
        <f>'Sch.16,17,19'!$Q$23*(R195-R149)+'Sch.16,17,19'!$Q$24*(R196-R150)</f>
        <v>939472.18104601884</v>
      </c>
      <c r="S272" s="95">
        <f>'Sch.16,17,19'!$Q$23*(S195-S149)+'Sch.16,17,19'!$Q$24*(S196-S150)</f>
        <v>-1698776.764379384</v>
      </c>
      <c r="T272" s="95">
        <f>'Sch.16,17,19'!$Q$23*(T195-T149)+'Sch.16,17,19'!$Q$24*(T196-T150)</f>
        <v>-63763.633376156162</v>
      </c>
      <c r="U272" s="95">
        <f>'Sch.16,17,19'!$Q$23*(U195-U149)+'Sch.16,17,19'!$Q$24*(U196-U150)</f>
        <v>419623.46777644067</v>
      </c>
    </row>
    <row r="273" spans="2:21">
      <c r="B273" s="97" t="s">
        <v>355</v>
      </c>
      <c r="C273" s="97" t="s">
        <v>229</v>
      </c>
      <c r="D273" s="97" t="s">
        <v>5</v>
      </c>
      <c r="E273" s="97" t="s">
        <v>195</v>
      </c>
      <c r="F273" s="97" t="s">
        <v>195</v>
      </c>
      <c r="G273" s="97" t="s">
        <v>195</v>
      </c>
      <c r="H273" s="95" t="s">
        <v>6</v>
      </c>
      <c r="I273" s="95">
        <f t="shared" ref="I273:I276" si="17">SUM(J273:U273)</f>
        <v>-69725.541098391186</v>
      </c>
      <c r="J273" s="95">
        <f>Sch.24!$S$59*(J200-J154)+Sch.24!$S$60*(J201-J155)+Sch.24!$S$61*(J202-J156)</f>
        <v>-261092.24201314425</v>
      </c>
      <c r="K273" s="95">
        <f>Sch.24!$S$59*(K200-K154)+Sch.24!$S$60*(K201-K155)+Sch.24!$S$61*(K202-K156)</f>
        <v>-26844.173157805842</v>
      </c>
      <c r="L273" s="95">
        <f>Sch.24!$S$59*(L200-L154)+Sch.24!$S$60*(L201-L155)+Sch.24!$S$61*(L202-L156)</f>
        <v>28477.628797828605</v>
      </c>
      <c r="M273" s="95">
        <f>Sch.24!$S$59*(M200-M154)+Sch.24!$S$60*(M201-M155)+Sch.24!$S$61*(M202-M156)</f>
        <v>19344.884457704306</v>
      </c>
      <c r="N273" s="95">
        <f>Sch.24!$S$59*(N200-N154)+Sch.24!$S$60*(N201-N155)+Sch.24!$S$61*(N202-N156)</f>
        <v>67711.778809347059</v>
      </c>
      <c r="O273" s="95">
        <f>Sch.24!$S$59*(O200-O154)+Sch.24!$S$60*(O201-O155)+Sch.24!$S$61*(O202-O156)</f>
        <v>48343.12051532061</v>
      </c>
      <c r="P273" s="95">
        <f>Sch.24!$S$59*(P200-P154)+Sch.24!$S$60*(P201-P155)+Sch.24!$S$61*(P202-P156)</f>
        <v>-116454.76197380392</v>
      </c>
      <c r="Q273" s="95">
        <f>Sch.24!$S$59*(Q200-Q154)+Sch.24!$S$60*(Q201-Q155)+Sch.24!$S$61*(Q202-Q156)</f>
        <v>-27052.07002045833</v>
      </c>
      <c r="R273" s="95">
        <f>Sch.24!$S$59*(R200-R154)+Sch.24!$S$60*(R201-R155)+Sch.24!$S$61*(R202-R156)</f>
        <v>30652.75807748938</v>
      </c>
      <c r="S273" s="95">
        <f>Sch.24!$S$59*(S200-S154)+Sch.24!$S$60*(S201-S155)+Sch.24!$S$61*(S202-S156)</f>
        <v>-21854.919869218022</v>
      </c>
      <c r="T273" s="95">
        <f>Sch.24!$S$59*(T200-T154)+Sch.24!$S$60*(T201-T155)+Sch.24!$S$61*(T202-T156)</f>
        <v>127805.6400376221</v>
      </c>
      <c r="U273" s="95">
        <f>Sch.24!$S$59*(U200-U154)+Sch.24!$S$60*(U201-U155)+Sch.24!$S$61*(U202-U156)</f>
        <v>61236.815240727112</v>
      </c>
    </row>
    <row r="274" spans="2:21">
      <c r="B274" s="97" t="s">
        <v>355</v>
      </c>
      <c r="C274" s="97" t="s">
        <v>279</v>
      </c>
      <c r="D274" s="97" t="s">
        <v>5</v>
      </c>
      <c r="E274" s="97" t="s">
        <v>195</v>
      </c>
      <c r="F274" s="97" t="s">
        <v>195</v>
      </c>
      <c r="G274" s="97" t="s">
        <v>195</v>
      </c>
      <c r="H274" s="95" t="s">
        <v>6</v>
      </c>
      <c r="I274" s="95">
        <f>SUM(J274:U274)</f>
        <v>-7224.5542701902741</v>
      </c>
      <c r="J274" s="95">
        <f>'Sch.29,36'!$S$46*(J208+J210-J162-J164)+'Sch.29,36'!$S$47*(J209+J211-J163-J165)</f>
        <v>-269306.91055047902</v>
      </c>
      <c r="K274" s="95">
        <f>'Sch.29,36'!$S$46*(K208+K210-K162-K164)+'Sch.29,36'!$S$47*(K209+K211-K163-K165)</f>
        <v>-29202.814595846852</v>
      </c>
      <c r="L274" s="95">
        <f>'Sch.29,36'!$S$46*(L208+L210-L162-L164)+'Sch.29,36'!$S$47*(L209+L211-L163-L165)</f>
        <v>33802.56633894852</v>
      </c>
      <c r="M274" s="95">
        <f>'Sch.29,36'!$S$46*(M208+M210-M162-M164)+'Sch.29,36'!$S$47*(M209+M211-M163-M165)</f>
        <v>27173.516171919015</v>
      </c>
      <c r="N274" s="95">
        <f>'Sch.29,36'!$S$46*(N208+N210-N162-N164)+'Sch.29,36'!$S$47*(N209+N211-N163-N165)</f>
        <v>99241.075940864102</v>
      </c>
      <c r="O274" s="95">
        <f>'Sch.29,36'!$S$46*(O208+O210-O162-O164)+'Sch.29,36'!$S$47*(O209+O211-O163-O165)</f>
        <v>54256.398737008087</v>
      </c>
      <c r="P274" s="95">
        <f>'Sch.29,36'!$S$46*(P208+P210-P162-P164)+'Sch.29,36'!$S$47*(P209+P211-P163-P165)</f>
        <v>-122882.96200593955</v>
      </c>
      <c r="Q274" s="95">
        <f>'Sch.29,36'!$S$46*(Q208+Q210-Q162-Q164)+'Sch.29,36'!$S$47*(Q209+Q211-Q163-Q165)</f>
        <v>-29681.47434017287</v>
      </c>
      <c r="R274" s="95">
        <f>'Sch.29,36'!$S$46*(R208+R210-R162-R164)+'Sch.29,36'!$S$47*(R209+R211-R163-R165)</f>
        <v>33928.523402501596</v>
      </c>
      <c r="S274" s="95">
        <f>'Sch.29,36'!$S$46*(S208+S210-S162-S164)+'Sch.29,36'!$S$47*(S209+S211-S163-S165)</f>
        <v>-25814.20747082329</v>
      </c>
      <c r="T274" s="95">
        <f>'Sch.29,36'!$S$46*(T208+T210-T162-T164)+'Sch.29,36'!$S$47*(T209+T211-T163-T165)</f>
        <v>147085.60127125483</v>
      </c>
      <c r="U274" s="95">
        <f>'Sch.29,36'!$S$46*(U208+U210-U162-U164)+'Sch.29,36'!$S$47*(U209+U211-U163-U165)</f>
        <v>74176.132830575196</v>
      </c>
    </row>
    <row r="275" spans="2:21">
      <c r="B275" s="97" t="s">
        <v>355</v>
      </c>
      <c r="C275" s="97" t="s">
        <v>172</v>
      </c>
      <c r="D275" s="97" t="s">
        <v>5</v>
      </c>
      <c r="E275" s="97" t="s">
        <v>195</v>
      </c>
      <c r="F275" s="97" t="s">
        <v>195</v>
      </c>
      <c r="G275" s="97" t="s">
        <v>195</v>
      </c>
      <c r="H275" s="95" t="s">
        <v>6</v>
      </c>
      <c r="I275" s="95">
        <f t="shared" si="17"/>
        <v>-12376.945380394933</v>
      </c>
      <c r="J275" s="95">
        <f>Sch.48T!$T$41*(J218-J172)+Sch.48T!$T$42*(J219-J173)+Sch.48T!$T$49*(J220-J174)+Sch.48T!$T$50*(J221-J175)</f>
        <v>-61512.618992752614</v>
      </c>
      <c r="K275" s="95">
        <f>Sch.48T!$T$41*(K218-K172)+Sch.48T!$T$42*(K219-K173)+Sch.48T!$T$49*(K220-K174)+Sch.48T!$T$50*(K221-K175)</f>
        <v>-5442.5105057015589</v>
      </c>
      <c r="L275" s="95">
        <f>Sch.48T!$T$41*(L218-L172)+Sch.48T!$T$42*(L219-L173)+Sch.48T!$T$49*(L220-L174)+Sch.48T!$T$50*(L221-L175)</f>
        <v>6721.72766221247</v>
      </c>
      <c r="M275" s="95">
        <f>Sch.48T!$T$41*(M218-M172)+Sch.48T!$T$42*(M219-M173)+Sch.48T!$T$49*(M220-M174)+Sch.48T!$T$50*(M221-M175)</f>
        <v>5244.5099728112609</v>
      </c>
      <c r="N275" s="95">
        <f>Sch.48T!$T$41*(N218-N172)+Sch.48T!$T$42*(N219-N173)+Sch.48T!$T$49*(N220-N174)+Sch.48T!$T$50*(N221-N175)</f>
        <v>17438.665441979501</v>
      </c>
      <c r="O275" s="95">
        <f>Sch.48T!$T$41*(O218-O172)+Sch.48T!$T$42*(O219-O173)+Sch.48T!$T$49*(O220-O174)+Sch.48T!$T$50*(O221-O175)</f>
        <v>10794.649611280453</v>
      </c>
      <c r="P275" s="95">
        <f>Sch.48T!$T$41*(P218-P172)+Sch.48T!$T$42*(P219-P173)+Sch.48T!$T$49*(P220-P174)+Sch.48T!$T$50*(P221-P175)</f>
        <v>-20504.03457167447</v>
      </c>
      <c r="Q275" s="95">
        <f>Sch.48T!$T$41*(Q218-Q172)+Sch.48T!$T$42*(Q219-Q173)+Sch.48T!$T$49*(Q220-Q174)+Sch.48T!$T$50*(Q221-Q175)</f>
        <v>-4986.2689160535756</v>
      </c>
      <c r="R275" s="95">
        <f>Sch.48T!$T$41*(R218-R172)+Sch.48T!$T$42*(R219-R173)+Sch.48T!$T$49*(R220-R174)+Sch.48T!$T$50*(R221-R175)</f>
        <v>5783.6700377187062</v>
      </c>
      <c r="S275" s="95">
        <f>Sch.48T!$T$41*(S218-S172)+Sch.48T!$T$42*(S219-S173)+Sch.48T!$T$49*(S220-S174)+Sch.48T!$T$50*(S221-S175)</f>
        <v>-4657.5629444102424</v>
      </c>
      <c r="T275" s="95">
        <f>Sch.48T!$T$41*(T218-T172)+Sch.48T!$T$42*(T219-T173)+Sch.48T!$T$49*(T220-T174)+Sch.48T!$T$50*(T221-T175)</f>
        <v>25741.117795418948</v>
      </c>
      <c r="U275" s="95">
        <f>Sch.48T!$T$41*(U218-U172)+Sch.48T!$T$42*(U219-U173)+Sch.48T!$T$49*(U220-U174)+Sch.48T!$T$50*(U221-U175)</f>
        <v>13001.71002877619</v>
      </c>
    </row>
    <row r="276" spans="2:21">
      <c r="B276" s="145" t="s">
        <v>355</v>
      </c>
      <c r="C276" s="145" t="s">
        <v>152</v>
      </c>
      <c r="D276" s="145" t="s">
        <v>179</v>
      </c>
      <c r="E276" s="145" t="s">
        <v>195</v>
      </c>
      <c r="F276" s="145" t="s">
        <v>195</v>
      </c>
      <c r="G276" s="145" t="s">
        <v>195</v>
      </c>
      <c r="H276" s="147" t="s">
        <v>6</v>
      </c>
      <c r="I276" s="147">
        <f t="shared" si="17"/>
        <v>-70255.676491425198</v>
      </c>
      <c r="J276" s="147">
        <f>Sch.40!$S$28*(J215-J169)</f>
        <v>-307586.62128294609</v>
      </c>
      <c r="K276" s="147">
        <f>Sch.40!$S$28*(K215-K169)</f>
        <v>-33022.477091023095</v>
      </c>
      <c r="L276" s="147">
        <f>Sch.40!$S$28*(L215-L169)</f>
        <v>30665.234665536031</v>
      </c>
      <c r="M276" s="147">
        <f>Sch.40!$S$28*(M215-M169)</f>
        <v>1066.1622271609433</v>
      </c>
      <c r="N276" s="147">
        <f>Sch.40!$S$28*(N215-N169)</f>
        <v>0</v>
      </c>
      <c r="O276" s="147">
        <f>Sch.40!$S$28*(O215-O169)</f>
        <v>0</v>
      </c>
      <c r="P276" s="147">
        <f>Sch.40!$S$28*(P215-P169)</f>
        <v>0</v>
      </c>
      <c r="Q276" s="147">
        <f>Sch.40!$S$28*(Q215-Q169)</f>
        <v>0</v>
      </c>
      <c r="R276" s="147">
        <f>Sch.40!$S$28*(R215-R169)</f>
        <v>0</v>
      </c>
      <c r="S276" s="147">
        <f>Sch.40!$S$28*(S215-S169)</f>
        <v>0</v>
      </c>
      <c r="T276" s="147">
        <f>Sch.40!$S$28*(T215-T169)</f>
        <v>158458.53035013602</v>
      </c>
      <c r="U276" s="147">
        <f>Sch.40!$S$28*(U215-U169)</f>
        <v>80163.494639711018</v>
      </c>
    </row>
    <row r="277" spans="2:21">
      <c r="C277" s="138"/>
      <c r="D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</row>
  </sheetData>
  <phoneticPr fontId="24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15.1640625" style="152" bestFit="1" customWidth="1"/>
    <col min="3" max="3" width="7.1640625" style="152" bestFit="1" customWidth="1"/>
    <col min="4" max="4" width="12.6640625" style="152" bestFit="1" customWidth="1"/>
    <col min="5" max="5" width="20.1640625" style="152" bestFit="1" customWidth="1"/>
    <col min="6" max="6" width="10.1640625" style="153" customWidth="1"/>
    <col min="7" max="23" width="10.1640625" customWidth="1"/>
  </cols>
  <sheetData>
    <row r="2" spans="1:8">
      <c r="B2" s="242" t="s">
        <v>408</v>
      </c>
      <c r="C2" s="243"/>
      <c r="D2" s="244"/>
      <c r="E2" s="245"/>
      <c r="F2" s="246"/>
    </row>
    <row r="3" spans="1:8">
      <c r="B3" s="248" t="s">
        <v>407</v>
      </c>
      <c r="C3" s="249"/>
      <c r="D3" s="250"/>
      <c r="E3" s="251"/>
      <c r="F3" s="252"/>
    </row>
    <row r="4" spans="1:8">
      <c r="A4" s="155"/>
      <c r="B4" s="226"/>
      <c r="C4" s="226"/>
      <c r="D4" s="226" t="s">
        <v>153</v>
      </c>
      <c r="E4" s="227" t="s">
        <v>401</v>
      </c>
      <c r="F4" s="228" t="s">
        <v>206</v>
      </c>
    </row>
    <row r="5" spans="1:8">
      <c r="B5" s="230" t="s">
        <v>217</v>
      </c>
      <c r="C5" s="97" t="s">
        <v>402</v>
      </c>
      <c r="D5" s="95" t="s">
        <v>4</v>
      </c>
      <c r="E5" s="95" t="s">
        <v>349</v>
      </c>
      <c r="F5" s="95">
        <f>SUMIFS('Normalized Units'!I:I,'Normalized Units'!B:B,"Normalized Billing Units",'Normalized Units'!D:D,D5,'Normalized Units'!H:H,E5)</f>
        <v>256071</v>
      </c>
    </row>
    <row r="6" spans="1:8">
      <c r="B6" s="230" t="s">
        <v>217</v>
      </c>
      <c r="C6" s="97" t="s">
        <v>402</v>
      </c>
      <c r="D6" s="95" t="s">
        <v>4</v>
      </c>
      <c r="E6" s="95" t="s">
        <v>350</v>
      </c>
      <c r="F6" s="95">
        <f>SUMIFS('Normalized Units'!I:I,'Normalized Units'!B:B,"Normalized Billing Units",'Normalized Units'!D:D,D6,'Normalized Units'!H:H,E6)</f>
        <v>463553</v>
      </c>
    </row>
    <row r="7" spans="1:8">
      <c r="B7" s="230" t="s">
        <v>217</v>
      </c>
      <c r="C7" s="97" t="s">
        <v>402</v>
      </c>
      <c r="D7" s="95" t="s">
        <v>5</v>
      </c>
      <c r="E7" s="95" t="s">
        <v>349</v>
      </c>
      <c r="F7" s="95">
        <f>SUMIFS('Normalized Units'!I:I,'Normalized Units'!B:B,"Normalized Billing Units",'Normalized Units'!D:D,D7,'Normalized Units'!H:H,E7)</f>
        <v>31087</v>
      </c>
    </row>
    <row r="8" spans="1:8">
      <c r="B8" s="230" t="s">
        <v>217</v>
      </c>
      <c r="C8" s="97" t="s">
        <v>402</v>
      </c>
      <c r="D8" s="95" t="s">
        <v>5</v>
      </c>
      <c r="E8" s="95" t="s">
        <v>350</v>
      </c>
      <c r="F8" s="95">
        <f>SUMIFS('Normalized Units'!I:I,'Normalized Units'!B:B,"Normalized Billing Units",'Normalized Units'!D:D,D8,'Normalized Units'!H:H,E8)</f>
        <v>57524</v>
      </c>
    </row>
    <row r="9" spans="1:8">
      <c r="B9" s="230" t="s">
        <v>217</v>
      </c>
      <c r="C9" s="97" t="s">
        <v>402</v>
      </c>
      <c r="D9" s="95" t="s">
        <v>7</v>
      </c>
      <c r="E9" s="95" t="s">
        <v>349</v>
      </c>
      <c r="F9" s="95">
        <f>SUMIFS('Normalized Units'!I:I,'Normalized Units'!B:B,"Normalized Billing Units",'Normalized Units'!D:D,D9,'Normalized Units'!H:H,E9)</f>
        <v>426</v>
      </c>
    </row>
    <row r="10" spans="1:8">
      <c r="B10" s="230" t="s">
        <v>217</v>
      </c>
      <c r="C10" s="97" t="s">
        <v>402</v>
      </c>
      <c r="D10" s="95" t="s">
        <v>7</v>
      </c>
      <c r="E10" s="95" t="s">
        <v>350</v>
      </c>
      <c r="F10" s="95">
        <f>SUMIFS('Normalized Units'!I:I,'Normalized Units'!B:B,"Normalized Billing Units",'Normalized Units'!D:D,D10,'Normalized Units'!H:H,E10)</f>
        <v>1496</v>
      </c>
    </row>
    <row r="11" spans="1:8">
      <c r="B11" s="230" t="s">
        <v>217</v>
      </c>
      <c r="C11" s="97" t="s">
        <v>402</v>
      </c>
      <c r="D11" s="95" t="s">
        <v>179</v>
      </c>
      <c r="E11" s="95" t="s">
        <v>349</v>
      </c>
      <c r="F11" s="95">
        <f>SUMIFS('Normalized Units'!I:I,'Normalized Units'!B:B,"Normalized Billing Units",'Normalized Units'!D:D,D11,'Normalized Units'!H:H,E11)</f>
        <v>7254</v>
      </c>
    </row>
    <row r="12" spans="1:8">
      <c r="B12" s="230" t="s">
        <v>217</v>
      </c>
      <c r="C12" s="97" t="s">
        <v>402</v>
      </c>
      <c r="D12" s="95" t="s">
        <v>179</v>
      </c>
      <c r="E12" s="95" t="s">
        <v>350</v>
      </c>
      <c r="F12" s="95">
        <f>SUMIFS('Normalized Units'!I:I,'Normalized Units'!B:B,"Normalized Billing Units",'Normalized Units'!D:D,D12,'Normalized Units'!H:H,E12)</f>
        <v>12769</v>
      </c>
    </row>
    <row r="13" spans="1:8">
      <c r="B13" s="140" t="s">
        <v>406</v>
      </c>
      <c r="C13" s="237" t="s">
        <v>403</v>
      </c>
      <c r="D13" s="139" t="s">
        <v>195</v>
      </c>
      <c r="E13" s="140" t="s">
        <v>349</v>
      </c>
      <c r="F13" s="214">
        <v>-1</v>
      </c>
    </row>
    <row r="14" spans="1:8">
      <c r="B14" s="145" t="s">
        <v>406</v>
      </c>
      <c r="C14" s="241" t="s">
        <v>403</v>
      </c>
      <c r="D14" s="147" t="s">
        <v>195</v>
      </c>
      <c r="E14" s="145" t="s">
        <v>350</v>
      </c>
      <c r="F14" s="215">
        <v>-0.5</v>
      </c>
    </row>
    <row r="15" spans="1:8" s="135" customFormat="1">
      <c r="A15" s="154"/>
      <c r="B15" s="140" t="s">
        <v>406</v>
      </c>
      <c r="C15" s="238" t="s">
        <v>29</v>
      </c>
      <c r="D15" s="139" t="s">
        <v>4</v>
      </c>
      <c r="E15" s="140" t="s">
        <v>369</v>
      </c>
      <c r="F15" s="213">
        <f>SUMIFS(F$5:F$12,D$5:D$12,D15,E$5:E$12,"AutoPay Bill")*F13</f>
        <v>-256071</v>
      </c>
      <c r="G15"/>
      <c r="H15"/>
    </row>
    <row r="16" spans="1:8" s="135" customFormat="1">
      <c r="A16" s="154"/>
      <c r="B16" s="97" t="s">
        <v>406</v>
      </c>
      <c r="C16" s="239" t="s">
        <v>29</v>
      </c>
      <c r="D16" s="95" t="s">
        <v>4</v>
      </c>
      <c r="E16" s="97" t="s">
        <v>370</v>
      </c>
      <c r="F16" s="210">
        <f>SUMIFS(F$5:F$12,D$5:D$12,D16,E$5:E$12,"Paperless Bill")*F14</f>
        <v>-231776.5</v>
      </c>
      <c r="G16"/>
      <c r="H16"/>
    </row>
    <row r="17" spans="1:8" s="135" customFormat="1">
      <c r="A17" s="154"/>
      <c r="B17" s="97" t="s">
        <v>406</v>
      </c>
      <c r="C17" s="239" t="s">
        <v>29</v>
      </c>
      <c r="D17" s="95" t="s">
        <v>5</v>
      </c>
      <c r="E17" s="97" t="s">
        <v>369</v>
      </c>
      <c r="F17" s="210">
        <f>SUMIFS(F$5:F$12,D$5:D$12,D17,E$5:E$12,"AutoPay Bill")*F13</f>
        <v>-31087</v>
      </c>
      <c r="G17"/>
      <c r="H17"/>
    </row>
    <row r="18" spans="1:8" s="135" customFormat="1">
      <c r="A18" s="154"/>
      <c r="B18" s="97" t="s">
        <v>406</v>
      </c>
      <c r="C18" s="239" t="s">
        <v>29</v>
      </c>
      <c r="D18" s="95" t="s">
        <v>5</v>
      </c>
      <c r="E18" s="97" t="s">
        <v>370</v>
      </c>
      <c r="F18" s="210">
        <f>SUMIFS(F$5:F$12,D$5:D$12,D18,E$5:E$12,"Paperless Bill")*F14</f>
        <v>-28762</v>
      </c>
      <c r="G18"/>
      <c r="H18"/>
    </row>
    <row r="19" spans="1:8" s="135" customFormat="1">
      <c r="A19" s="154"/>
      <c r="B19" s="97" t="s">
        <v>406</v>
      </c>
      <c r="C19" s="239" t="s">
        <v>29</v>
      </c>
      <c r="D19" s="95" t="s">
        <v>7</v>
      </c>
      <c r="E19" s="97" t="s">
        <v>369</v>
      </c>
      <c r="F19" s="210">
        <f>SUMIFS(F$5:F$12,D$5:D$12,D19,E$5:E$12,"AutoPay Bill")*F13</f>
        <v>-426</v>
      </c>
      <c r="G19"/>
      <c r="H19"/>
    </row>
    <row r="20" spans="1:8" s="135" customFormat="1">
      <c r="A20" s="154"/>
      <c r="B20" s="97" t="s">
        <v>406</v>
      </c>
      <c r="C20" s="239" t="s">
        <v>29</v>
      </c>
      <c r="D20" s="95" t="s">
        <v>7</v>
      </c>
      <c r="E20" s="97" t="s">
        <v>370</v>
      </c>
      <c r="F20" s="210">
        <f>SUMIFS(F$5:F$12,D$5:D$12,D20,E$5:E$12,"Paperless Bill")*F14</f>
        <v>-748</v>
      </c>
      <c r="G20"/>
      <c r="H20"/>
    </row>
    <row r="21" spans="1:8" s="135" customFormat="1">
      <c r="A21" s="154"/>
      <c r="B21" s="97" t="s">
        <v>406</v>
      </c>
      <c r="C21" s="239" t="s">
        <v>29</v>
      </c>
      <c r="D21" s="95" t="s">
        <v>179</v>
      </c>
      <c r="E21" s="97" t="s">
        <v>369</v>
      </c>
      <c r="F21" s="210">
        <f>SUMIFS(F$5:F$12,D$5:D$12,D21,E$5:E$12,"AutoPay Bill")*F13</f>
        <v>-7254</v>
      </c>
      <c r="G21"/>
      <c r="H21"/>
    </row>
    <row r="22" spans="1:8" s="135" customFormat="1">
      <c r="A22" s="154"/>
      <c r="B22" s="145" t="s">
        <v>406</v>
      </c>
      <c r="C22" s="240" t="s">
        <v>29</v>
      </c>
      <c r="D22" s="147" t="s">
        <v>179</v>
      </c>
      <c r="E22" s="145" t="s">
        <v>370</v>
      </c>
      <c r="F22" s="211">
        <f>SUMIFS(F$5:F$12,D$5:D$12,D22,E$5:E$12,"Paperless Bill")*F14</f>
        <v>-6384.5</v>
      </c>
      <c r="G22"/>
      <c r="H22"/>
    </row>
  </sheetData>
  <phoneticPr fontId="24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20.83203125" style="152" bestFit="1" customWidth="1"/>
    <col min="3" max="3" width="12.5" style="152" bestFit="1" customWidth="1"/>
    <col min="4" max="4" width="13.33203125" style="135" bestFit="1" customWidth="1"/>
    <col min="5" max="5" width="12.83203125" style="153" customWidth="1"/>
    <col min="6" max="6" width="12.83203125" style="234" customWidth="1"/>
    <col min="7" max="16" width="12.83203125" customWidth="1"/>
  </cols>
  <sheetData>
    <row r="2" spans="1:6">
      <c r="B2" s="212"/>
      <c r="C2" s="212"/>
      <c r="D2" s="236" t="s">
        <v>405</v>
      </c>
      <c r="E2" s="216"/>
    </row>
    <row r="3" spans="1:6" ht="17.7">
      <c r="A3" s="155"/>
      <c r="B3" s="209" t="s">
        <v>209</v>
      </c>
      <c r="C3" s="209" t="s">
        <v>153</v>
      </c>
      <c r="D3" s="233" t="s">
        <v>404</v>
      </c>
      <c r="E3" s="232" t="s">
        <v>168</v>
      </c>
    </row>
    <row r="4" spans="1:6" s="135" customFormat="1">
      <c r="A4" s="154"/>
      <c r="B4" s="140" t="s">
        <v>422</v>
      </c>
      <c r="C4" s="139" t="s">
        <v>4</v>
      </c>
      <c r="D4" s="345">
        <f>SUMIFS('Sch.16,17,19'!Q:Q,'Sch.16,17,19'!L:L,"Present",'Sch.16,17,19'!M:M,"$",'Sch.16,17,19'!P:P,"&lt;&gt;Unbilled")</f>
        <v>170410808.55357695</v>
      </c>
      <c r="E4" s="213">
        <f>SUMIFS(RVN!F:F,RVN!A:A,C4,RVN!J:J,E$3)*D4/SUMIFS(D:D,C:C,C4)</f>
        <v>5660946.3060093932</v>
      </c>
      <c r="F4" s="235"/>
    </row>
    <row r="5" spans="1:6" s="135" customFormat="1">
      <c r="A5" s="154"/>
      <c r="B5" s="95" t="s">
        <v>229</v>
      </c>
      <c r="C5" s="95" t="s">
        <v>4</v>
      </c>
      <c r="D5" s="138">
        <f>SUMIFS(Sch.24!S:S,Sch.24!N:N,"Present",Sch.24!O:O,"$",Sch.24!P:P,C5,Sch.24!R:R,"&lt;&gt;Unbilled")</f>
        <v>2792013.2761188997</v>
      </c>
      <c r="E5" s="210">
        <f>SUMIFS(RVN!F:F,RVN!A:A,C5,RVN!J:J,E$3)*D5/SUMIFS(D:D,C:C,C5)</f>
        <v>92749.030275302401</v>
      </c>
      <c r="F5" s="235"/>
    </row>
    <row r="6" spans="1:6" s="135" customFormat="1">
      <c r="A6" s="154"/>
      <c r="B6" s="95" t="s">
        <v>229</v>
      </c>
      <c r="C6" s="95" t="s">
        <v>5</v>
      </c>
      <c r="D6" s="138">
        <f>SUMIFS(Sch.24!S:S,Sch.24!N:N,"Present",Sch.24!O:O,"$",Sch.24!P:P,C6,Sch.24!R:R,"&lt;&gt;Unbilled")</f>
        <v>52733825.207612373</v>
      </c>
      <c r="E6" s="210">
        <f>SUMIFS(RVN!F:F,RVN!A:A,C6,RVN!J:J,E$3)*D6/SUMIFS(D:D,C:C,C6)</f>
        <v>753527.61020262272</v>
      </c>
      <c r="F6" s="235"/>
    </row>
    <row r="7" spans="1:6" s="135" customFormat="1">
      <c r="A7" s="154"/>
      <c r="B7" s="95" t="s">
        <v>229</v>
      </c>
      <c r="C7" s="95" t="s">
        <v>7</v>
      </c>
      <c r="D7" s="138">
        <f>SUMIFS(Sch.24!S:S,Sch.24!N:N,"Present",Sch.24!O:O,"$",Sch.24!P:P,C7,Sch.24!R:R,"&lt;&gt;Unbilled")</f>
        <v>1601245.6618095369</v>
      </c>
      <c r="E7" s="210">
        <f>SUMIFS(RVN!F:F,RVN!A:A,C7,RVN!J:J,E$3)*D7/SUMIFS(D:D,C:C,C7)</f>
        <v>30849.452456491777</v>
      </c>
      <c r="F7" s="235"/>
    </row>
    <row r="8" spans="1:6" s="135" customFormat="1">
      <c r="A8" s="154"/>
      <c r="B8" s="95" t="s">
        <v>279</v>
      </c>
      <c r="C8" s="95" t="s">
        <v>4</v>
      </c>
      <c r="D8" s="138">
        <f>SUMIFS('Sch.29,36'!S:S,'Sch.29,36'!M:M,"Present",'Sch.29,36'!N:N,"$",'Sch.29,36'!P:P,C8,'Sch.29,36'!R:R,"&lt;&gt;Unbilled")</f>
        <v>205643.0120104271</v>
      </c>
      <c r="E8" s="210">
        <f>SUMIFS(RVN!F:F,RVN!A:A,C8,RVN!J:J,E$3)*D8/SUMIFS(D:D,C:C,C8)</f>
        <v>6831.3392740641229</v>
      </c>
      <c r="F8" s="235"/>
    </row>
    <row r="9" spans="1:6" s="135" customFormat="1">
      <c r="A9" s="154"/>
      <c r="B9" s="95" t="s">
        <v>279</v>
      </c>
      <c r="C9" s="95" t="s">
        <v>5</v>
      </c>
      <c r="D9" s="138">
        <f>SUMIFS('Sch.29,36'!S:S,'Sch.29,36'!M:M,"Present",'Sch.29,36'!N:N,"$",'Sch.29,36'!P:P,C9,'Sch.29,36'!R:R,"&lt;&gt;Unbilled")</f>
        <v>75080815.054461271</v>
      </c>
      <c r="E9" s="210">
        <f>SUMIFS(RVN!F:F,RVN!A:A,C9,RVN!J:J,E$3)*D9/SUMIFS(D:D,C:C,C9)</f>
        <v>1072849.6731901476</v>
      </c>
      <c r="F9" s="235"/>
    </row>
    <row r="10" spans="1:6" s="135" customFormat="1">
      <c r="A10" s="154"/>
      <c r="B10" s="95" t="s">
        <v>279</v>
      </c>
      <c r="C10" s="95" t="s">
        <v>7</v>
      </c>
      <c r="D10" s="138">
        <f>SUMIFS('Sch.29,36'!S:S,'Sch.29,36'!M:M,"Present",'Sch.29,36'!N:N,"$",'Sch.29,36'!P:P,C10,'Sch.29,36'!R:R,"&lt;&gt;Unbilled")</f>
        <v>8232503.2195549803</v>
      </c>
      <c r="E10" s="210">
        <f>SUMIFS(RVN!F:F,RVN!A:A,C10,RVN!J:J,E$3)*D10/SUMIFS(D:D,C:C,C10)</f>
        <v>158606.6540112104</v>
      </c>
      <c r="F10" s="235"/>
    </row>
    <row r="11" spans="1:6" s="135" customFormat="1">
      <c r="A11" s="154"/>
      <c r="B11" s="95" t="s">
        <v>152</v>
      </c>
      <c r="C11" s="95" t="s">
        <v>179</v>
      </c>
      <c r="D11" s="138">
        <f>SUMIFS(Sch.40!S:S,Sch.40!N:N,"Present",Sch.40!O:O,"$",Sch.40!R:R,"&lt;&gt;Unbilled")</f>
        <v>16204016.400296861</v>
      </c>
      <c r="E11" s="210">
        <f>SUMIFS(RVN!F:F,RVN!A:A,C11,RVN!J:J,E$3)*D11/SUMIFS(D:D,C:C,C11)</f>
        <v>-1729000</v>
      </c>
      <c r="F11" s="235"/>
    </row>
    <row r="12" spans="1:6" s="135" customFormat="1">
      <c r="A12" s="154"/>
      <c r="B12" s="95" t="s">
        <v>252</v>
      </c>
      <c r="C12" s="95" t="s">
        <v>7</v>
      </c>
      <c r="D12" s="138">
        <f>SUMIFS(Sch.47T!F:F,Sch.47T!A:A,"Present",Sch.47T!B:B,"$",Sch.47T!E:E,"&lt;&gt;Unbilled")</f>
        <v>325567.73000000004</v>
      </c>
      <c r="E12" s="210">
        <f>SUMIFS(RVN!F:F,RVN!A:A,C12,RVN!J:J,E$3)*D12/SUMIFS(D:D,C:C,C12)</f>
        <v>6272.3581069083993</v>
      </c>
      <c r="F12" s="235"/>
    </row>
    <row r="13" spans="1:6" s="135" customFormat="1">
      <c r="A13" s="154"/>
      <c r="B13" s="95" t="s">
        <v>172</v>
      </c>
      <c r="C13" s="95" t="s">
        <v>5</v>
      </c>
      <c r="D13" s="138">
        <f>SUMIFS(Sch.48T!T:T,Sch.48T!N:N,"Present",Sch.48T!O:O,"$",Sch.48T!P:P,C13,Sch.48T!S:S,"&lt;&gt;Unbilled")</f>
        <v>14823936.759617891</v>
      </c>
      <c r="E13" s="210">
        <f>SUMIFS(RVN!F:F,RVN!A:A,C13,RVN!J:J,E$3)*D13/SUMIFS(D:D,C:C,C13)</f>
        <v>211823.16276683079</v>
      </c>
      <c r="F13" s="235"/>
    </row>
    <row r="14" spans="1:6" s="135" customFormat="1">
      <c r="A14" s="154"/>
      <c r="B14" s="95" t="s">
        <v>172</v>
      </c>
      <c r="C14" s="95" t="s">
        <v>7</v>
      </c>
      <c r="D14" s="138">
        <f>SUMIFS(Sch.48T!T:T,Sch.48T!N:N,"Present",Sch.48T!O:O,"$",Sch.48T!P:P,Unbilled!C14,Sch.48T!S:S,"&lt;&gt;Unbilled")</f>
        <v>16408709.76974733</v>
      </c>
      <c r="E14" s="210">
        <f>SUMIFS(RVN!F:F,RVN!A:A,C14,RVN!J:J,E$3)*D14/SUMIFS(D:D,C:C,C14)</f>
        <v>316128.70153986604</v>
      </c>
      <c r="F14" s="235"/>
    </row>
    <row r="15" spans="1:6" s="135" customFormat="1">
      <c r="A15" s="154"/>
      <c r="B15" s="95" t="s">
        <v>287</v>
      </c>
      <c r="C15" s="95" t="s">
        <v>7</v>
      </c>
      <c r="D15" s="138">
        <f>SUMIFS('Sch.48T-DF'!O:O,'Sch.48T-DF'!L:L,"Present",'Sch.48T-DF'!M:M,"$",'Sch.48T-DF'!N:N,"&lt;&gt;Unbilled")</f>
        <v>37940350.01194267</v>
      </c>
      <c r="E15" s="210">
        <f>SUMIFS(RVN!F:F,RVN!A:A,C15,RVN!J:J,E$3)*D15/SUMIFS(D:D,C:C,C15)</f>
        <v>730955.31297389569</v>
      </c>
      <c r="F15" s="235"/>
    </row>
    <row r="16" spans="1:6" s="135" customFormat="1">
      <c r="A16" s="154"/>
      <c r="B16" s="95" t="s">
        <v>169</v>
      </c>
      <c r="C16" s="95" t="s">
        <v>4</v>
      </c>
      <c r="D16" s="138">
        <f>SUMIFS('Sch.15,51,53,54'!G:G,'Sch.15,51,53,54'!A:A,"Present",'Sch.15,51,53,54'!B:B,"$",'Sch.15,51,53,54'!C:C,B16,'Sch.15,51,53,54'!D:D,C16,'Sch.15,51,53,54'!F:F,"&lt;&gt;Unbilled")</f>
        <v>104557.08187380461</v>
      </c>
      <c r="E16" s="210">
        <f>SUMIFS(RVN!F:F,RVN!A:A,C16,RVN!J:J,E$3)*D16/SUMIFS(D:D,C:C,C16)</f>
        <v>3473.3244412401559</v>
      </c>
      <c r="F16" s="235"/>
    </row>
    <row r="17" spans="1:6" s="135" customFormat="1">
      <c r="A17" s="154"/>
      <c r="B17" s="95" t="s">
        <v>169</v>
      </c>
      <c r="C17" s="95" t="s">
        <v>5</v>
      </c>
      <c r="D17" s="138">
        <f>SUMIFS('Sch.15,51,53,54'!G:G,'Sch.15,51,53,54'!A:A,"Present",'Sch.15,51,53,54'!B:B,"$",'Sch.15,51,53,54'!C:C,B17,'Sch.15,51,53,54'!D:D,C17,'Sch.15,51,53,54'!F:F,"&lt;&gt;Unbilled")</f>
        <v>174948.2895253078</v>
      </c>
      <c r="E17" s="210">
        <f>SUMIFS(RVN!F:F,RVN!A:A,C17,RVN!J:J,E$3)*D17/SUMIFS(D:D,C:C,C17)</f>
        <v>2499.8824946992781</v>
      </c>
      <c r="F17" s="235"/>
    </row>
    <row r="18" spans="1:6" s="135" customFormat="1">
      <c r="A18" s="154"/>
      <c r="B18" s="95" t="s">
        <v>169</v>
      </c>
      <c r="C18" s="95" t="s">
        <v>7</v>
      </c>
      <c r="D18" s="138">
        <f>SUMIFS('Sch.15,51,53,54'!G:G,'Sch.15,51,53,54'!A:A,"Present",'Sch.15,51,53,54'!B:B,"$",'Sch.15,51,53,54'!C:C,B18,'Sch.15,51,53,54'!D:D,C18,'Sch.15,51,53,54'!F:F,"&lt;&gt;Unbilled")</f>
        <v>9733.3022900785272</v>
      </c>
      <c r="E18" s="210">
        <f>SUMIFS(RVN!F:F,RVN!A:A,C18,RVN!J:J,E$3)*D18/SUMIFS(D:D,C:C,C18)</f>
        <v>187.52091162770995</v>
      </c>
      <c r="F18" s="235"/>
    </row>
    <row r="19" spans="1:6" s="135" customFormat="1">
      <c r="A19" s="154"/>
      <c r="B19" s="95" t="s">
        <v>170</v>
      </c>
      <c r="C19" s="95" t="s">
        <v>167</v>
      </c>
      <c r="D19" s="138">
        <f>SUMIFS('Sch.15,51,53,54'!G:G,'Sch.15,51,53,54'!A:A,"Present",'Sch.15,51,53,54'!B:B,"$",'Sch.15,51,53,54'!C:C,B19,'Sch.15,51,53,54'!D:D,C19,'Sch.15,51,53,54'!F:F,"&lt;&gt;Unbilled")</f>
        <v>497552.273052754</v>
      </c>
      <c r="E19" s="210">
        <f>SUMIFS(RVN!F:F,RVN!A:A,C19,RVN!J:J,E$3)*D19/SUMIFS(D:D,C:C,C19)</f>
        <v>-33281.311721933365</v>
      </c>
      <c r="F19" s="235"/>
    </row>
    <row r="20" spans="1:6" s="135" customFormat="1">
      <c r="A20" s="154"/>
      <c r="B20" s="95" t="s">
        <v>227</v>
      </c>
      <c r="C20" s="95" t="s">
        <v>167</v>
      </c>
      <c r="D20" s="138">
        <f>SUMIFS('Sch.15,51,53,54'!G:G,'Sch.15,51,53,54'!A:A,"Present",'Sch.15,51,53,54'!B:B,"$",'Sch.15,51,53,54'!C:C,B20,'Sch.15,51,53,54'!D:D,C20,'Sch.15,51,53,54'!F:F,"&lt;&gt;Unbilled")</f>
        <v>115393.61578728679</v>
      </c>
      <c r="E20" s="210">
        <f>SUMIFS(RVN!F:F,RVN!A:A,C20,RVN!J:J,E$3)*D20/SUMIFS(D:D,C:C,C20)</f>
        <v>-7718.6882780666365</v>
      </c>
      <c r="F20" s="235"/>
    </row>
    <row r="21" spans="1:6" s="135" customFormat="1">
      <c r="A21" s="154"/>
      <c r="B21" s="147" t="s">
        <v>171</v>
      </c>
      <c r="C21" s="147" t="s">
        <v>5</v>
      </c>
      <c r="D21" s="346">
        <f>SUMIFS('Sch.15,51,53,54'!G:G,'Sch.15,51,53,54'!A:A,"Present",'Sch.15,51,53,54'!B:B,"$",'Sch.15,51,53,54'!C:C,B21,'Sch.15,51,53,54'!D:D,C21,'Sch.15,51,53,54'!F:F,"&lt;&gt;Unbilled")</f>
        <v>20971.781458159327</v>
      </c>
      <c r="E21" s="211">
        <f>SUMIFS(RVN!F:F,RVN!A:A,C21,RVN!J:J,E$3)*D21/SUMIFS(D:D,C:C,C21)</f>
        <v>299.67134569970966</v>
      </c>
      <c r="F21" s="235"/>
    </row>
    <row r="22" spans="1:6" ht="17.7">
      <c r="A22" s="231" t="s">
        <v>409</v>
      </c>
      <c r="B22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8" activePane="bottomLeft" state="frozen"/>
      <selection pane="bottomLeft"/>
    </sheetView>
  </sheetViews>
  <sheetFormatPr defaultColWidth="8" defaultRowHeight="15.35"/>
  <cols>
    <col min="1" max="1" width="0.83203125" style="43" customWidth="1"/>
    <col min="2" max="2" width="12.6640625" style="43" bestFit="1" customWidth="1"/>
    <col min="3" max="3" width="28" style="43" bestFit="1" customWidth="1"/>
    <col min="4" max="18" width="15.1640625" style="43" customWidth="1"/>
    <col min="19" max="19" width="0.83203125" style="43" customWidth="1"/>
    <col min="20" max="21" width="15.1640625" style="43" customWidth="1"/>
    <col min="22" max="22" width="0.83203125" style="43" customWidth="1"/>
    <col min="23" max="29" width="15.1640625" style="43" customWidth="1"/>
    <col min="30" max="16384" width="8" style="43"/>
  </cols>
  <sheetData>
    <row r="2" spans="1:23">
      <c r="A2" s="44"/>
      <c r="B2" s="53" t="s">
        <v>410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89"/>
      <c r="S2" s="161"/>
    </row>
    <row r="3" spans="1:23">
      <c r="B3" s="48"/>
      <c r="C3" s="48"/>
      <c r="D3" s="94"/>
      <c r="E3" s="65"/>
      <c r="F3" s="94"/>
      <c r="G3" s="88"/>
      <c r="H3" s="88"/>
      <c r="I3" s="65"/>
      <c r="J3" s="53" t="s">
        <v>360</v>
      </c>
      <c r="K3" s="77"/>
      <c r="L3" s="77"/>
      <c r="M3" s="77"/>
      <c r="N3" s="77"/>
      <c r="O3" s="77"/>
      <c r="P3" s="77"/>
      <c r="Q3" s="77"/>
      <c r="R3" s="89"/>
      <c r="S3" s="161"/>
    </row>
    <row r="4" spans="1:23">
      <c r="B4" s="49"/>
      <c r="C4" s="51"/>
      <c r="D4" s="68"/>
      <c r="E4" s="90"/>
      <c r="F4" s="91" t="s">
        <v>359</v>
      </c>
      <c r="G4" s="44"/>
      <c r="H4" s="44"/>
      <c r="I4" s="61"/>
      <c r="J4" s="48"/>
      <c r="K4" s="53" t="s">
        <v>353</v>
      </c>
      <c r="L4" s="189"/>
      <c r="M4" s="190"/>
      <c r="N4" s="64"/>
      <c r="O4" s="184"/>
      <c r="P4" s="184"/>
      <c r="Q4" s="64"/>
      <c r="R4" s="63"/>
      <c r="S4" s="44"/>
      <c r="T4" s="179" t="s">
        <v>373</v>
      </c>
      <c r="U4" s="179"/>
    </row>
    <row r="5" spans="1:23">
      <c r="B5" s="49"/>
      <c r="C5" s="51"/>
      <c r="D5" s="68"/>
      <c r="E5" s="90"/>
      <c r="F5" s="44"/>
      <c r="G5" s="193"/>
      <c r="H5" s="197"/>
      <c r="I5" s="198"/>
      <c r="J5" s="49"/>
      <c r="K5" s="182"/>
      <c r="L5" s="193"/>
      <c r="M5" s="194"/>
      <c r="N5" s="45"/>
      <c r="O5" s="185" t="s">
        <v>378</v>
      </c>
      <c r="P5" s="186"/>
      <c r="Q5" s="183"/>
      <c r="R5" s="52"/>
      <c r="S5" s="44"/>
      <c r="T5" s="173" t="s">
        <v>375</v>
      </c>
      <c r="U5" s="173" t="s">
        <v>376</v>
      </c>
    </row>
    <row r="6" spans="1:23" ht="17.7">
      <c r="B6" s="49"/>
      <c r="C6" s="51"/>
      <c r="D6" s="162" t="s">
        <v>221</v>
      </c>
      <c r="E6" s="61"/>
      <c r="F6" s="196"/>
      <c r="G6" s="92" t="s">
        <v>353</v>
      </c>
      <c r="H6" s="61"/>
      <c r="I6" s="181"/>
      <c r="J6" s="181"/>
      <c r="K6" s="182"/>
      <c r="L6" s="191" t="s">
        <v>385</v>
      </c>
      <c r="M6" s="192"/>
      <c r="N6" s="183"/>
      <c r="O6" s="187" t="s">
        <v>377</v>
      </c>
      <c r="P6" s="188"/>
      <c r="Q6" s="183"/>
      <c r="R6" s="52"/>
      <c r="S6" s="163"/>
      <c r="T6" s="173" t="s">
        <v>116</v>
      </c>
      <c r="U6" s="173" t="s">
        <v>116</v>
      </c>
    </row>
    <row r="7" spans="1:23" ht="17.7">
      <c r="B7" s="66" t="s">
        <v>153</v>
      </c>
      <c r="C7" s="66" t="s">
        <v>210</v>
      </c>
      <c r="D7" s="93" t="s">
        <v>10</v>
      </c>
      <c r="E7" s="164" t="s">
        <v>329</v>
      </c>
      <c r="F7" s="164" t="s">
        <v>10</v>
      </c>
      <c r="G7" s="164" t="s">
        <v>3</v>
      </c>
      <c r="H7" s="207" t="s">
        <v>380</v>
      </c>
      <c r="I7" s="199" t="s">
        <v>329</v>
      </c>
      <c r="J7" s="98" t="s">
        <v>382</v>
      </c>
      <c r="K7" s="98" t="s">
        <v>384</v>
      </c>
      <c r="L7" s="98" t="s">
        <v>327</v>
      </c>
      <c r="M7" s="73" t="s">
        <v>328</v>
      </c>
      <c r="N7" s="47" t="s">
        <v>3</v>
      </c>
      <c r="O7" s="180" t="s">
        <v>392</v>
      </c>
      <c r="P7" s="180" t="s">
        <v>391</v>
      </c>
      <c r="Q7" s="99" t="s">
        <v>390</v>
      </c>
      <c r="R7" s="47" t="s">
        <v>329</v>
      </c>
      <c r="S7" s="163"/>
      <c r="T7" s="195">
        <v>44593</v>
      </c>
      <c r="U7" s="195">
        <v>44682</v>
      </c>
      <c r="W7" s="262" t="s">
        <v>215</v>
      </c>
    </row>
    <row r="8" spans="1:23" ht="15.75" customHeight="1">
      <c r="B8" s="48"/>
      <c r="C8" s="67"/>
      <c r="D8" s="50"/>
      <c r="E8" s="8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65"/>
      <c r="T8" s="174"/>
      <c r="U8" s="174"/>
      <c r="W8" s="49"/>
    </row>
    <row r="9" spans="1:23" ht="15.75" customHeight="1">
      <c r="B9" s="49" t="s">
        <v>4</v>
      </c>
      <c r="C9" s="76" t="s">
        <v>270</v>
      </c>
      <c r="D9" s="85">
        <f>SUMIFS(RVN!H:H,RVN!A:A,B9,RVN!J:J,C9)/12</f>
        <v>0</v>
      </c>
      <c r="E9" s="76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59">
        <f>SUMIFS(RVN!I:I,RVN!A:A,B9,RVN!J:J,C9)</f>
        <v>0</v>
      </c>
      <c r="G9" s="59">
        <f>SUMIFS('Normalized Units'!I:I,'Normalized Units'!B:B,"Temperature kWh Normalization",'Normalized Units'!C:C,C9,'Normalized Units'!D:D,B9)</f>
        <v>0</v>
      </c>
      <c r="H9" s="59">
        <f>I9-G9-F9</f>
        <v>0</v>
      </c>
      <c r="I9" s="59">
        <f>SUMIFS('Normalized Units'!I:I,'Normalized Units'!B:B,"Normalized Billing Units",'Normalized Units'!C:C,C9,'Normalized Units'!D:D,B9,'Normalized Units'!H:H,"kWh*")</f>
        <v>0</v>
      </c>
      <c r="J9" s="59">
        <f>SUMIFS(RVN!F:F,RVN!A:A,B9,RVN!J:J,C9)</f>
        <v>4868922.92</v>
      </c>
      <c r="K9" s="59" cm="1">
        <f t="array" ref="K9">IF(OR(C9={"Alt Rev Program","Blue Sky","Customer Bill Credits","DSM","Income Tax Defer Adj","Irr Demand Charge Accrual","Rev Adj Property Insur","Rev Adj"}),-J9,0)</f>
        <v>-4868922.92</v>
      </c>
      <c r="L9" s="59">
        <f>-SUMIFS(RVN!F:F,RVN!A:A,B9,RVN!B:B,"B",RVN!J:J,C9)</f>
        <v>0</v>
      </c>
      <c r="M9" s="59">
        <v>0</v>
      </c>
      <c r="N9" s="59">
        <f>SUMIFS('Normalized Units'!I:I,'Normalized Units'!B:B,"Temperature $ Normalization",'Normalized Units'!D:D,B9,'Normalized Units'!C:C,C9)</f>
        <v>0</v>
      </c>
      <c r="O9" s="59">
        <f t="shared" ref="O9:O24" si="0">(J9+K9+L9+M9+N9)*T9/100*7/12</f>
        <v>0</v>
      </c>
      <c r="P9" s="59">
        <f t="shared" ref="P9:P24" si="1">(J9+K9+L9+M9+N9)*U9/100*10/12</f>
        <v>0</v>
      </c>
      <c r="Q9" s="59">
        <f>R9-J9-K9-L9-M9-N9-O9-P9</f>
        <v>0</v>
      </c>
      <c r="R9" s="59">
        <v>0</v>
      </c>
      <c r="T9" s="175"/>
      <c r="U9" s="175"/>
      <c r="W9" s="49"/>
    </row>
    <row r="10" spans="1:23" ht="15.75" customHeight="1">
      <c r="B10" s="49" t="s">
        <v>4</v>
      </c>
      <c r="C10" s="76" t="s">
        <v>145</v>
      </c>
      <c r="D10" s="85">
        <f>SUMIFS(RVN!H:H,RVN!A:A,B10,RVN!J:J,C10)/12</f>
        <v>0</v>
      </c>
      <c r="E10" s="76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59">
        <f>SUMIFS(RVN!I:I,RVN!A:A,B10,RVN!J:J,C10)</f>
        <v>0</v>
      </c>
      <c r="G10" s="59">
        <f>SUMIFS('Normalized Units'!I:I,'Normalized Units'!B:B,"Temperature kWh Normalization",'Normalized Units'!C:C,C10,'Normalized Units'!D:D,B10)</f>
        <v>0</v>
      </c>
      <c r="H10" s="59">
        <f t="shared" ref="H10:H21" si="2">I10-G10-F10</f>
        <v>0</v>
      </c>
      <c r="I10" s="59">
        <f>SUMIFS('Normalized Units'!I:I,'Normalized Units'!B:B,"Normalized Billing Units",'Normalized Units'!C:C,C10,'Normalized Units'!D:D,B10,'Normalized Units'!H:H,"kWh*")</f>
        <v>0</v>
      </c>
      <c r="J10" s="59">
        <f>SUMIFS(RVN!F:F,RVN!A:A,B10,RVN!J:J,C10)</f>
        <v>357145.71</v>
      </c>
      <c r="K10" s="59" cm="1">
        <f t="array" ref="K10">IF(OR(C10={"Alt Rev Program","Blue Sky","Customer Bill Credits","DSM","Income Tax Defer Adj","Irr Demand Charge Accrual","Rev Adj Property Insur","Rev Adj"}),-J10,0)</f>
        <v>-357145.71</v>
      </c>
      <c r="L10" s="59">
        <f>-SUMIFS(RVN!F:F,RVN!A:A,B10,RVN!B:B,"B",RVN!J:J,C10)</f>
        <v>0</v>
      </c>
      <c r="M10" s="59">
        <v>0</v>
      </c>
      <c r="N10" s="59">
        <f>SUMIFS('Normalized Units'!I:I,'Normalized Units'!B:B,"Temperature $ Normalization",'Normalized Units'!D:D,B10,'Normalized Units'!C:C,C10)</f>
        <v>0</v>
      </c>
      <c r="O10" s="59">
        <f t="shared" si="0"/>
        <v>0</v>
      </c>
      <c r="P10" s="59">
        <f t="shared" si="1"/>
        <v>0</v>
      </c>
      <c r="Q10" s="59">
        <f t="shared" ref="Q10:Q73" si="3">R10-J10-K10-L10-M10-N10-O10-P10</f>
        <v>0</v>
      </c>
      <c r="R10" s="59">
        <v>0</v>
      </c>
      <c r="T10" s="175"/>
      <c r="U10" s="175"/>
      <c r="W10" s="49"/>
    </row>
    <row r="11" spans="1:23" ht="15.75" customHeight="1">
      <c r="B11" s="49" t="s">
        <v>4</v>
      </c>
      <c r="C11" s="76" t="s">
        <v>261</v>
      </c>
      <c r="D11" s="85">
        <f>SUMIFS(RVN!H:H,RVN!A:A,B11,RVN!J:J,C11)/12</f>
        <v>0</v>
      </c>
      <c r="E11" s="76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59">
        <f>SUMIFS(RVN!I:I,RVN!A:A,B11,RVN!J:J,C11)</f>
        <v>0</v>
      </c>
      <c r="G11" s="59">
        <f>SUMIFS('Normalized Units'!I:I,'Normalized Units'!B:B,"Temperature kWh Normalization",'Normalized Units'!C:C,C11,'Normalized Units'!D:D,B11)</f>
        <v>0</v>
      </c>
      <c r="H11" s="59">
        <f t="shared" si="2"/>
        <v>0</v>
      </c>
      <c r="I11" s="59">
        <f>SUMIFS('Normalized Units'!I:I,'Normalized Units'!B:B,"Normalized Billing Units",'Normalized Units'!C:C,C11,'Normalized Units'!D:D,B11,'Normalized Units'!H:H,"kWh*")</f>
        <v>0</v>
      </c>
      <c r="J11" s="59">
        <f>SUMIFS(RVN!F:F,RVN!A:A,B11,RVN!J:J,C11)</f>
        <v>-239412.93</v>
      </c>
      <c r="K11" s="59" cm="1">
        <f t="array" ref="K11">IF(OR(C11={"Alt Rev Program","Blue Sky","Customer Bill Credits","DSM","Income Tax Defer Adj","Irr Demand Charge Accrual","Rev Adj Property Insur","Rev Adj"}),-J11,0)</f>
        <v>239412.93</v>
      </c>
      <c r="L11" s="59">
        <f>-SUMIFS(RVN!F:F,RVN!A:A,B11,RVN!B:B,"B",RVN!J:J,C11)</f>
        <v>0</v>
      </c>
      <c r="M11" s="59">
        <v>0</v>
      </c>
      <c r="N11" s="59">
        <f>SUMIFS('Normalized Units'!I:I,'Normalized Units'!B:B,"Temperature $ Normalization",'Normalized Units'!D:D,B11,'Normalized Units'!C:C,C11)</f>
        <v>0</v>
      </c>
      <c r="O11" s="59">
        <f t="shared" si="0"/>
        <v>0</v>
      </c>
      <c r="P11" s="59">
        <f t="shared" si="1"/>
        <v>0</v>
      </c>
      <c r="Q11" s="59">
        <f t="shared" si="3"/>
        <v>0</v>
      </c>
      <c r="R11" s="59">
        <v>0</v>
      </c>
      <c r="T11" s="175"/>
      <c r="U11" s="175"/>
      <c r="W11" s="49"/>
    </row>
    <row r="12" spans="1:23" ht="15.75" customHeight="1">
      <c r="B12" s="49" t="s">
        <v>4</v>
      </c>
      <c r="C12" s="76" t="s">
        <v>149</v>
      </c>
      <c r="D12" s="85">
        <f>SUMIFS(RVN!H:H,RVN!A:A,B12,RVN!J:J,C12)/12</f>
        <v>0</v>
      </c>
      <c r="E12" s="76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59">
        <f>SUMIFS(RVN!I:I,RVN!A:A,B12,RVN!J:J,C12)</f>
        <v>0</v>
      </c>
      <c r="G12" s="59">
        <f>SUMIFS('Normalized Units'!I:I,'Normalized Units'!B:B,"Temperature kWh Normalization",'Normalized Units'!C:C,C12,'Normalized Units'!D:D,B12)</f>
        <v>0</v>
      </c>
      <c r="H12" s="59">
        <f t="shared" si="2"/>
        <v>0</v>
      </c>
      <c r="I12" s="59">
        <f>SUMIFS('Normalized Units'!I:I,'Normalized Units'!B:B,"Normalized Billing Units",'Normalized Units'!C:C,C12,'Normalized Units'!D:D,B12,'Normalized Units'!H:H,"kWh*")</f>
        <v>0</v>
      </c>
      <c r="J12" s="59">
        <f>SUMIFS(RVN!F:F,RVN!A:A,B12,RVN!J:J,C12)</f>
        <v>5647775.6699999999</v>
      </c>
      <c r="K12" s="59" cm="1">
        <f t="array" ref="K12">IF(OR(C12={"Alt Rev Program","Blue Sky","Customer Bill Credits","DSM","Income Tax Defer Adj","Irr Demand Charge Accrual","Rev Adj Property Insur","Rev Adj"}),-J12,0)</f>
        <v>-5647775.6699999999</v>
      </c>
      <c r="L12" s="59">
        <f>-SUMIFS(RVN!F:F,RVN!A:A,B12,RVN!B:B,"B",RVN!J:J,C12)</f>
        <v>0</v>
      </c>
      <c r="M12" s="59">
        <v>0</v>
      </c>
      <c r="N12" s="59">
        <f>SUMIFS('Normalized Units'!I:I,'Normalized Units'!B:B,"Temperature $ Normalization",'Normalized Units'!D:D,B12,'Normalized Units'!C:C,C12)</f>
        <v>0</v>
      </c>
      <c r="O12" s="59">
        <f t="shared" si="0"/>
        <v>0</v>
      </c>
      <c r="P12" s="59">
        <f t="shared" si="1"/>
        <v>0</v>
      </c>
      <c r="Q12" s="59">
        <f t="shared" si="3"/>
        <v>0</v>
      </c>
      <c r="R12" s="59">
        <v>0</v>
      </c>
      <c r="T12" s="175"/>
      <c r="U12" s="175"/>
      <c r="W12" s="49"/>
    </row>
    <row r="13" spans="1:23" ht="15.75" customHeight="1">
      <c r="B13" s="49" t="s">
        <v>4</v>
      </c>
      <c r="C13" s="76" t="s">
        <v>273</v>
      </c>
      <c r="D13" s="85">
        <f>SUMIFS(RVN!H:H,RVN!A:A,B13,RVN!J:J,C13)/12</f>
        <v>0</v>
      </c>
      <c r="E13" s="76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59">
        <f>SUMIFS(RVN!I:I,RVN!A:A,B13,RVN!J:J,C13)</f>
        <v>0</v>
      </c>
      <c r="G13" s="59">
        <f>SUMIFS('Normalized Units'!I:I,'Normalized Units'!B:B,"Temperature kWh Normalization",'Normalized Units'!C:C,C13,'Normalized Units'!D:D,B13)</f>
        <v>0</v>
      </c>
      <c r="H13" s="59">
        <f t="shared" si="2"/>
        <v>0</v>
      </c>
      <c r="I13" s="59">
        <f>SUMIFS('Normalized Units'!I:I,'Normalized Units'!B:B,"Normalized Billing Units",'Normalized Units'!C:C,C13,'Normalized Units'!D:D,B13,'Normalized Units'!H:H,"kWh*")</f>
        <v>0</v>
      </c>
      <c r="J13" s="59">
        <f>SUMIFS(RVN!F:F,RVN!A:A,B13,RVN!J:J,C13)</f>
        <v>854934.48</v>
      </c>
      <c r="K13" s="59" cm="1">
        <f t="array" ref="K13">IF(OR(C13={"Alt Rev Program","Blue Sky","Customer Bill Credits","DSM","Income Tax Defer Adj","Irr Demand Charge Accrual","Rev Adj Property Insur","Rev Adj"}),-J13,0)</f>
        <v>-854934.48</v>
      </c>
      <c r="L13" s="59">
        <f>-SUMIFS(RVN!F:F,RVN!A:A,B13,RVN!B:B,"B",RVN!J:J,C13)</f>
        <v>0</v>
      </c>
      <c r="M13" s="59">
        <v>0</v>
      </c>
      <c r="N13" s="59">
        <f>SUMIFS('Normalized Units'!I:I,'Normalized Units'!B:B,"Temperature $ Normalization",'Normalized Units'!D:D,B13,'Normalized Units'!C:C,C13)</f>
        <v>0</v>
      </c>
      <c r="O13" s="59">
        <f t="shared" si="0"/>
        <v>0</v>
      </c>
      <c r="P13" s="59">
        <f t="shared" si="1"/>
        <v>0</v>
      </c>
      <c r="Q13" s="59">
        <f t="shared" si="3"/>
        <v>0</v>
      </c>
      <c r="R13" s="59">
        <v>0</v>
      </c>
      <c r="T13" s="175"/>
      <c r="U13" s="175"/>
      <c r="W13" s="49"/>
    </row>
    <row r="14" spans="1:23" ht="15.75" customHeight="1">
      <c r="B14" s="49" t="s">
        <v>4</v>
      </c>
      <c r="C14" s="76" t="s">
        <v>190</v>
      </c>
      <c r="D14" s="85">
        <f>SUMIFS(RVN!H:H,RVN!A:A,B14,RVN!J:J,C14)/12</f>
        <v>0</v>
      </c>
      <c r="E14" s="76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59">
        <f>SUMIFS(RVN!I:I,RVN!A:A,B14,RVN!J:J,C14)</f>
        <v>0</v>
      </c>
      <c r="G14" s="59">
        <f>SUMIFS('Normalized Units'!I:I,'Normalized Units'!B:B,"Temperature kWh Normalization",'Normalized Units'!C:C,C14,'Normalized Units'!D:D,B14)</f>
        <v>0</v>
      </c>
      <c r="H14" s="59">
        <f t="shared" si="2"/>
        <v>0</v>
      </c>
      <c r="I14" s="59">
        <f>SUMIFS('Normalized Units'!I:I,'Normalized Units'!B:B,"Normalized Billing Units",'Normalized Units'!C:C,C14,'Normalized Units'!D:D,B14,'Normalized Units'!H:H,"kWh*")</f>
        <v>0</v>
      </c>
      <c r="J14" s="59">
        <f>SUMIFS(RVN!F:F,RVN!A:A,B14,RVN!J:J,C14)</f>
        <v>50185.9</v>
      </c>
      <c r="K14" s="59" cm="1">
        <f t="array" ref="K14">IF(OR(C14={"Alt Rev Program","Blue Sky","Customer Bill Credits","DSM","Income Tax Defer Adj","Irr Demand Charge Accrual","Rev Adj Property Insur","Rev Adj"}),-J14,0)</f>
        <v>-50185.9</v>
      </c>
      <c r="L14" s="59">
        <f>-SUMIFS(RVN!F:F,RVN!A:A,B14,RVN!B:B,"B",RVN!J:J,C14)</f>
        <v>0</v>
      </c>
      <c r="M14" s="59">
        <v>0</v>
      </c>
      <c r="N14" s="59">
        <f>SUMIFS('Normalized Units'!I:I,'Normalized Units'!B:B,"Temperature $ Normalization",'Normalized Units'!D:D,B14,'Normalized Units'!C:C,C14)</f>
        <v>0</v>
      </c>
      <c r="O14" s="59">
        <f t="shared" si="0"/>
        <v>0</v>
      </c>
      <c r="P14" s="59">
        <f t="shared" si="1"/>
        <v>0</v>
      </c>
      <c r="Q14" s="59">
        <f t="shared" si="3"/>
        <v>0</v>
      </c>
      <c r="R14" s="59">
        <v>0</v>
      </c>
      <c r="T14" s="175"/>
      <c r="U14" s="175"/>
      <c r="W14" s="49"/>
    </row>
    <row r="15" spans="1:23" ht="15.75" customHeight="1">
      <c r="B15" s="49" t="s">
        <v>4</v>
      </c>
      <c r="C15" s="76" t="s">
        <v>173</v>
      </c>
      <c r="D15" s="85">
        <f>SUMIFS(RVN!H:H,RVN!A:A,B15,RVN!J:J,C15)/12</f>
        <v>0</v>
      </c>
      <c r="E15" s="76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59">
        <f>SUMIFS(RVN!I:I,RVN!A:A,B15,RVN!J:J,C15)</f>
        <v>0</v>
      </c>
      <c r="G15" s="59">
        <f>SUMIFS('Normalized Units'!I:I,'Normalized Units'!B:B,"Temperature kWh Normalization",'Normalized Units'!C:C,C15,'Normalized Units'!D:D,B15)</f>
        <v>0</v>
      </c>
      <c r="H15" s="59">
        <f t="shared" si="2"/>
        <v>0</v>
      </c>
      <c r="I15" s="59">
        <f>SUMIFS('Normalized Units'!I:I,'Normalized Units'!B:B,"Normalized Billing Units",'Normalized Units'!C:C,C15,'Normalized Units'!D:D,B15,'Normalized Units'!H:H,"kWh*")</f>
        <v>0</v>
      </c>
      <c r="J15" s="59">
        <f>SUMIFS(RVN!F:F,RVN!A:A,B15,RVN!J:J,C15)</f>
        <v>-2298133.9500000002</v>
      </c>
      <c r="K15" s="59" cm="1">
        <f t="array" ref="K15">IF(OR(C15={"Alt Rev Program","Blue Sky","Customer Bill Credits","DSM","Income Tax Defer Adj","Irr Demand Charge Accrual","Rev Adj Property Insur","Rev Adj"}),-J15,0)</f>
        <v>2298133.9500000002</v>
      </c>
      <c r="L15" s="59">
        <f>-SUMIFS(RVN!F:F,RVN!A:A,B15,RVN!B:B,"B",RVN!J:J,C15)</f>
        <v>0</v>
      </c>
      <c r="M15" s="59">
        <v>0</v>
      </c>
      <c r="N15" s="59">
        <f>SUMIFS('Normalized Units'!I:I,'Normalized Units'!B:B,"Temperature $ Normalization",'Normalized Units'!D:D,B15,'Normalized Units'!C:C,C15)</f>
        <v>0</v>
      </c>
      <c r="O15" s="59">
        <f t="shared" si="0"/>
        <v>0</v>
      </c>
      <c r="P15" s="59">
        <f t="shared" si="1"/>
        <v>0</v>
      </c>
      <c r="Q15" s="59">
        <f t="shared" si="3"/>
        <v>0</v>
      </c>
      <c r="R15" s="59">
        <v>0</v>
      </c>
      <c r="T15" s="175"/>
      <c r="U15" s="175"/>
      <c r="W15" s="49"/>
    </row>
    <row r="16" spans="1:23" ht="15.75" customHeight="1">
      <c r="B16" s="49" t="s">
        <v>4</v>
      </c>
      <c r="C16" s="76" t="s">
        <v>272</v>
      </c>
      <c r="D16" s="85">
        <f>SUMIFS(RVN!H:H,RVN!A:A,B16,RVN!J:J,C16)/12</f>
        <v>0</v>
      </c>
      <c r="E16" s="76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59">
        <f>SUMIFS(RVN!I:I,RVN!A:A,B16,RVN!J:J,C16)</f>
        <v>0</v>
      </c>
      <c r="G16" s="59">
        <f>SUMIFS('Normalized Units'!I:I,'Normalized Units'!B:B,"Temperature kWh Normalization",'Normalized Units'!C:C,C16,'Normalized Units'!D:D,B16)</f>
        <v>0</v>
      </c>
      <c r="H16" s="59">
        <f t="shared" si="2"/>
        <v>0</v>
      </c>
      <c r="I16" s="59">
        <f>SUMIFS('Normalized Units'!I:I,'Normalized Units'!B:B,"Normalized Billing Units",'Normalized Units'!C:C,C16,'Normalized Units'!D:D,B16,'Normalized Units'!H:H,"kWh*")</f>
        <v>0</v>
      </c>
      <c r="J16" s="59">
        <f>SUMIFS(RVN!F:F,RVN!A:A,B16,RVN!J:J,C16)</f>
        <v>481076.4</v>
      </c>
      <c r="K16" s="59" cm="1">
        <f t="array" ref="K16">IF(OR(C16={"Alt Rev Program","Blue Sky","Customer Bill Credits","DSM","Income Tax Defer Adj","Irr Demand Charge Accrual","Rev Adj Property Insur","Rev Adj"}),-J16,0)</f>
        <v>0</v>
      </c>
      <c r="L16" s="59">
        <f>-SUMIFS(RVN!F:F,RVN!A:A,B16,RVN!B:B,"B",RVN!J:J,C16)</f>
        <v>-481076.4</v>
      </c>
      <c r="M16" s="59">
        <v>0</v>
      </c>
      <c r="N16" s="59">
        <f>SUMIFS('Normalized Units'!I:I,'Normalized Units'!B:B,"Temperature $ Normalization",'Normalized Units'!D:D,B16,'Normalized Units'!C:C,C16)</f>
        <v>0</v>
      </c>
      <c r="O16" s="59">
        <f t="shared" si="0"/>
        <v>0</v>
      </c>
      <c r="P16" s="59">
        <f t="shared" si="1"/>
        <v>0</v>
      </c>
      <c r="Q16" s="59">
        <f t="shared" si="3"/>
        <v>0</v>
      </c>
      <c r="R16" s="59">
        <v>0</v>
      </c>
      <c r="T16" s="175"/>
      <c r="U16" s="175"/>
      <c r="W16" s="49"/>
    </row>
    <row r="17" spans="2:23" ht="15.75" customHeight="1">
      <c r="B17" s="49" t="s">
        <v>4</v>
      </c>
      <c r="C17" s="85" t="s">
        <v>168</v>
      </c>
      <c r="D17" s="85">
        <f>SUMIFS(RVN!H:H,RVN!A:A,B17,RVN!J:J,C17)/12</f>
        <v>0</v>
      </c>
      <c r="E17" s="76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59">
        <f>SUMIFS(RVN!I:I,RVN!A:A,B17,RVN!J:J,C17)</f>
        <v>14061000</v>
      </c>
      <c r="G17" s="59">
        <f>SUMIFS('Normalized Units'!I:I,'Normalized Units'!B:B,"Temperature kWh Normalization",'Normalized Units'!C:C,C17,'Normalized Units'!D:D,B17)</f>
        <v>0</v>
      </c>
      <c r="H17" s="59">
        <f t="shared" si="2"/>
        <v>-14061000</v>
      </c>
      <c r="I17" s="59">
        <f>SUMIFS('Normalized Units'!I:I,'Normalized Units'!B:B,"Normalized Billing Units",'Normalized Units'!C:C,C17,'Normalized Units'!D:D,B17,'Normalized Units'!H:H,"kWh*")</f>
        <v>0</v>
      </c>
      <c r="J17" s="59">
        <f>SUMIFS(RVN!F:F,RVN!A:A,B17,RVN!J:J,C17)</f>
        <v>5764000</v>
      </c>
      <c r="K17" s="59" cm="1">
        <f t="array" ref="K17">IF(OR(C17={"Alt Rev Program","Blue Sky","Customer Bill Credits","DSM","Income Tax Defer Adj","Irr Demand Charge Accrual","Rev Adj Property Insur","Rev Adj"}),-J17,0)</f>
        <v>0</v>
      </c>
      <c r="L17" s="59">
        <f>-SUMIFS(RVN!F:F,RVN!A:A,B17,RVN!B:B,"B",RVN!J:J,C17)</f>
        <v>0</v>
      </c>
      <c r="M17" s="59">
        <v>0</v>
      </c>
      <c r="N17" s="59">
        <f>SUMIFS('Normalized Units'!I:I,'Normalized Units'!B:B,"Temperature $ Normalization",'Normalized Units'!D:D,B17,'Normalized Units'!C:C,C17)</f>
        <v>0</v>
      </c>
      <c r="O17" s="59">
        <f t="shared" si="0"/>
        <v>0</v>
      </c>
      <c r="P17" s="59">
        <f t="shared" si="1"/>
        <v>0</v>
      </c>
      <c r="Q17" s="59">
        <f t="shared" si="3"/>
        <v>-5764000</v>
      </c>
      <c r="R17" s="59">
        <v>0</v>
      </c>
      <c r="T17" s="175"/>
      <c r="U17" s="175"/>
      <c r="W17" s="49"/>
    </row>
    <row r="18" spans="2:23" ht="15.75" customHeight="1">
      <c r="B18" s="49" t="s">
        <v>4</v>
      </c>
      <c r="C18" s="78" t="s">
        <v>169</v>
      </c>
      <c r="D18" s="85">
        <f>SUMIFS(RVN!H:H,RVN!A:A,B18,RVN!J:J,C18)/12</f>
        <v>967.33333333333337</v>
      </c>
      <c r="E18" s="76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59">
        <f>SUMIFS(RVN!I:I,RVN!A:A,B18,RVN!J:J,C18)</f>
        <v>875642</v>
      </c>
      <c r="G18" s="59">
        <f>SUMIFS('Normalized Units'!I:I,'Normalized Units'!B:B,"Temperature kWh Normalization",'Normalized Units'!C:C,C18,'Normalized Units'!D:D,B18)</f>
        <v>0</v>
      </c>
      <c r="H18" s="59">
        <f t="shared" si="2"/>
        <v>9176.8293999613961</v>
      </c>
      <c r="I18" s="59">
        <f>SUMIFS('Normalized Units'!I:I,'Normalized Units'!B:B,"Normalized Billing Units",'Normalized Units'!C:C,C18,'Normalized Units'!D:D,B18,'Normalized Units'!H:H,"kWh*")</f>
        <v>884818.8293999614</v>
      </c>
      <c r="J18" s="59">
        <f>SUMIFS(RVN!F:F,RVN!A:A,B18,RVN!J:J,C18)</f>
        <v>92877.930000000008</v>
      </c>
      <c r="K18" s="59" cm="1">
        <f t="array" ref="K18">IF(OR(C18={"Alt Rev Program","Blue Sky","Customer Bill Credits","DSM","Income Tax Defer Adj","Irr Demand Charge Accrual","Rev Adj Property Insur","Rev Adj"}),-J18,0)</f>
        <v>0</v>
      </c>
      <c r="L18" s="59">
        <f>-SUMIFS(RVN!F:F,RVN!A:A,B18,RVN!B:B,"B",RVN!J:J,C18)</f>
        <v>2223.31</v>
      </c>
      <c r="M18" s="59">
        <v>549.87670050297982</v>
      </c>
      <c r="N18" s="59">
        <f>SUMIFS('Normalized Units'!I:I,'Normalized Units'!B:B,"Temperature $ Normalization",'Normalized Units'!D:D,B18,'Normalized Units'!C:C,C18)</f>
        <v>0</v>
      </c>
      <c r="O18" s="59">
        <f t="shared" si="0"/>
        <v>-152.01539132534324</v>
      </c>
      <c r="P18" s="59">
        <f t="shared" si="1"/>
        <v>9193.0751829525852</v>
      </c>
      <c r="Q18" s="59">
        <f t="shared" si="3"/>
        <v>3338.2298229145326</v>
      </c>
      <c r="R18" s="59">
        <f>SUM('Sch.15,51,53,54'!G51:G53,'Sch.15,51,53,54'!G54)</f>
        <v>108030.40631504476</v>
      </c>
      <c r="T18" s="177">
        <v>-0.27244618012830585</v>
      </c>
      <c r="U18" s="177">
        <v>11.533258157439882</v>
      </c>
      <c r="W18" s="49"/>
    </row>
    <row r="19" spans="2:23" ht="15.75" customHeight="1">
      <c r="B19" s="49" t="s">
        <v>4</v>
      </c>
      <c r="C19" s="78" t="s">
        <v>422</v>
      </c>
      <c r="D19" s="85">
        <f>SUMIFS(RVN!H:H,RVN!A:A,B19,RVN!J:J,C19)/12</f>
        <v>110959.08333333333</v>
      </c>
      <c r="E19" s="76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59">
        <f>SUMIFS(RVN!I:I,RVN!A:A,B19,RVN!J:J,C19)</f>
        <v>1637047248</v>
      </c>
      <c r="G19" s="59">
        <f>SUMIFS('Normalized Units'!I:I,'Normalized Units'!B:B,"Temperature kWh Normalization",'Normalized Units'!C:C,C19,'Normalized Units'!D:D,B19)</f>
        <v>-19485564.170899998</v>
      </c>
      <c r="H19" s="59">
        <f t="shared" si="2"/>
        <v>13905276.009183884</v>
      </c>
      <c r="I19" s="59">
        <f>SUMIFS('Normalized Units'!I:I,'Normalized Units'!B:B,"Normalized Billing Units",'Normalized Units'!C:C,C19,'Normalized Units'!D:D,B19,'Normalized Units'!H:H,"kWh*")</f>
        <v>1631466959.8382838</v>
      </c>
      <c r="J19" s="59">
        <f>SUMIFS(RVN!F:F,RVN!A:A,B19,RVN!J:J,C19)</f>
        <v>142069618.81</v>
      </c>
      <c r="K19" s="59" cm="1">
        <f t="array" ref="K19">IF(OR(C19={"Alt Rev Program","Blue Sky","Customer Bill Credits","DSM","Income Tax Defer Adj","Irr Demand Charge Accrual","Rev Adj Property Insur","Rev Adj"}),-J19,0)</f>
        <v>0</v>
      </c>
      <c r="L19" s="59">
        <f>-SUMIFS(RVN!F:F,RVN!A:A,B19,RVN!B:B,"B",RVN!J:J,C19)</f>
        <v>15502951.789999999</v>
      </c>
      <c r="M19" s="59">
        <v>-799560.70216000266</v>
      </c>
      <c r="N19" s="59">
        <f>SUMIFS('Normalized Units'!I:I,'Normalized Units'!B:B,"Temperature $ Normalization",'Normalized Units'!D:D,B19,'Normalized Units'!C:C,C19)</f>
        <v>-2080953.9801362143</v>
      </c>
      <c r="O19" s="59">
        <f t="shared" si="0"/>
        <v>-488441.8684120127</v>
      </c>
      <c r="P19" s="59">
        <f t="shared" si="1"/>
        <v>14193308.248984924</v>
      </c>
      <c r="Q19" s="59">
        <f t="shared" si="3"/>
        <v>7674832.5613096338</v>
      </c>
      <c r="R19" s="59">
        <f>SUM('Sch.16,17,19'!Q27:Q33)</f>
        <v>176071754.85958633</v>
      </c>
      <c r="T19" s="177">
        <v>-0.54128760026513278</v>
      </c>
      <c r="U19" s="177">
        <v>11.010242121187476</v>
      </c>
      <c r="W19" s="49"/>
    </row>
    <row r="20" spans="2:23" ht="15.75" customHeight="1">
      <c r="B20" s="49" t="s">
        <v>4</v>
      </c>
      <c r="C20" s="78" t="s">
        <v>229</v>
      </c>
      <c r="D20" s="85">
        <f>SUMIFS(RVN!H:H,RVN!A:A,B20,RVN!J:J,C20)/12</f>
        <v>3501.75</v>
      </c>
      <c r="E20" s="76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59">
        <f>SUMIFS(RVN!I:I,RVN!A:A,B20,RVN!J:J,C20)</f>
        <v>21583435</v>
      </c>
      <c r="G20" s="59">
        <f>SUMIFS('Normalized Units'!I:I,'Normalized Units'!B:B,"Temperature kWh Normalization",'Normalized Units'!C:C,C20,'Normalized Units'!D:D,B20)</f>
        <v>0</v>
      </c>
      <c r="H20" s="59">
        <f t="shared" si="2"/>
        <v>205905.39749793708</v>
      </c>
      <c r="I20" s="59">
        <f>SUMIFS('Normalized Units'!I:I,'Normalized Units'!B:B,"Normalized Billing Units",'Normalized Units'!C:C,C20,'Normalized Units'!D:D,B20,'Normalized Units'!H:H,"kWh*")</f>
        <v>21789340.397497937</v>
      </c>
      <c r="J20" s="59">
        <f>SUMIFS(RVN!F:F,RVN!A:A,B20,RVN!J:J,C20)</f>
        <v>2409810.13</v>
      </c>
      <c r="K20" s="59" cm="1">
        <f t="array" ref="K20">IF(OR(C20={"Alt Rev Program","Blue Sky","Customer Bill Credits","DSM","Income Tax Defer Adj","Irr Demand Charge Accrual","Rev Adj Property Insur","Rev Adj"}),-J20,0)</f>
        <v>0</v>
      </c>
      <c r="L20" s="59">
        <f>-SUMIFS(RVN!F:F,RVN!A:A,B20,RVN!B:B,"B",RVN!J:J,C20)</f>
        <v>199250.93</v>
      </c>
      <c r="M20" s="59">
        <v>-30632.634600000005</v>
      </c>
      <c r="N20" s="59">
        <f>SUMIFS('Normalized Units'!I:I,'Normalized Units'!B:B,"Temperature $ Normalization",'Normalized Units'!D:D,B20,'Normalized Units'!C:C,C20)</f>
        <v>0</v>
      </c>
      <c r="O20" s="59">
        <f t="shared" si="0"/>
        <v>-7082.4008141795885</v>
      </c>
      <c r="P20" s="59">
        <f t="shared" si="1"/>
        <v>237650.70205660598</v>
      </c>
      <c r="Q20" s="59">
        <f t="shared" si="3"/>
        <v>75765.579751775862</v>
      </c>
      <c r="R20" s="59">
        <f>SUM(Sch.24!S66:S73,Sch.24!S74)</f>
        <v>2884762.3063942022</v>
      </c>
      <c r="T20" s="177">
        <v>-0.47087824579462839</v>
      </c>
      <c r="U20" s="177">
        <v>11.060258243301291</v>
      </c>
      <c r="W20" s="49"/>
    </row>
    <row r="21" spans="2:23" ht="15.75" customHeight="1">
      <c r="B21" s="49" t="s">
        <v>4</v>
      </c>
      <c r="C21" s="78" t="s">
        <v>279</v>
      </c>
      <c r="D21" s="85">
        <f>SUMIFS(RVN!H:H,RVN!A:A,B21,RVN!J:J,C21)/12</f>
        <v>4.416666666666667</v>
      </c>
      <c r="E21" s="76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59">
        <f>SUMIFS(RVN!I:I,RVN!A:A,B21,RVN!J:J,C21)</f>
        <v>2291100</v>
      </c>
      <c r="G21" s="59">
        <f>SUMIFS('Normalized Units'!I:I,'Normalized Units'!B:B,"Temperature kWh Normalization",'Normalized Units'!C:C,C21,'Normalized Units'!D:D,B21)</f>
        <v>0</v>
      </c>
      <c r="H21" s="59">
        <f t="shared" si="2"/>
        <v>19614.354827860836</v>
      </c>
      <c r="I21" s="59">
        <f>SUMIFS('Normalized Units'!I:I,'Normalized Units'!B:B,"Normalized Billing Units",'Normalized Units'!C:C,C21,'Normalized Units'!D:D,B21,'Normalized Units'!H:H,"kWh*")</f>
        <v>2310714.3548278608</v>
      </c>
      <c r="J21" s="59">
        <f>SUMIFS(RVN!F:F,RVN!A:A,B21,RVN!J:J,C21)</f>
        <v>165869.12</v>
      </c>
      <c r="K21" s="59" cm="1">
        <f t="array" ref="K21">IF(OR(C21={"Alt Rev Program","Blue Sky","Customer Bill Credits","DSM","Income Tax Defer Adj","Irr Demand Charge Accrual","Rev Adj Property Insur","Rev Adj"}),-J21,0)</f>
        <v>0</v>
      </c>
      <c r="L21" s="59">
        <f>-SUMIFS(RVN!F:F,RVN!A:A,B21,RVN!B:B,"B",RVN!J:J,C21)</f>
        <v>18017.96</v>
      </c>
      <c r="M21" s="59">
        <v>839.37288000000081</v>
      </c>
      <c r="N21" s="59">
        <f>SUMIFS('Normalized Units'!I:I,'Normalized Units'!B:B,"Temperature $ Normalization",'Normalized Units'!D:D,B21,'Normalized Units'!C:C,C21)</f>
        <v>0</v>
      </c>
      <c r="O21" s="59">
        <f t="shared" si="0"/>
        <v>-584.562936781433</v>
      </c>
      <c r="P21" s="59">
        <f t="shared" si="1"/>
        <v>20075.166566858075</v>
      </c>
      <c r="Q21" s="59">
        <f t="shared" si="3"/>
        <v>8257.2947744145786</v>
      </c>
      <c r="R21" s="59">
        <f>SUM('Sch.29,36'!S55:S62,'Sch.29,36'!S63)</f>
        <v>212474.35128449122</v>
      </c>
      <c r="T21" s="177">
        <v>-0.54248207335865006</v>
      </c>
      <c r="U21" s="177">
        <v>13.041012537537819</v>
      </c>
      <c r="W21" s="49"/>
    </row>
    <row r="22" spans="2:23" ht="15.75" customHeight="1">
      <c r="B22" s="49" t="s">
        <v>4</v>
      </c>
      <c r="C22" s="87" t="s">
        <v>369</v>
      </c>
      <c r="D22" s="85">
        <f>SUMIFS(RVN!H:H,RVN!A:A,B22,RVN!J:J,C22)/12</f>
        <v>0</v>
      </c>
      <c r="E22" s="76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59">
        <f>SUMIFS(RVN!I:I,RVN!A:A,B22,RVN!J:J,C22)</f>
        <v>0</v>
      </c>
      <c r="G22" s="59">
        <f>SUMIFS('Normalized Units'!I:I,'Normalized Units'!B:B,"Temperature kWh Normalization",'Normalized Units'!C:C,C22,'Normalized Units'!D:D,B22)</f>
        <v>0</v>
      </c>
      <c r="H22" s="59">
        <f t="shared" ref="H22:H24" si="4">I22-G22-F22</f>
        <v>0</v>
      </c>
      <c r="I22" s="59">
        <f>SUMIFS('Normalized Units'!I:I,'Normalized Units'!B:B,"Normalized Billing Units",'Normalized Units'!C:C,C22,'Normalized Units'!D:D,B22,'Normalized Units'!H:H,"kWh*")</f>
        <v>0</v>
      </c>
      <c r="J22" s="59">
        <f>SUMIFS(RVN!F:F,RVN!A:A,B22,RVN!J:J,C22)</f>
        <v>0</v>
      </c>
      <c r="K22" s="59" cm="1">
        <f t="array" ref="K22">IF(OR(C22={"Alt Rev Program","Blue Sky","Customer Bill Credits","DSM","Income Tax Defer Adj","Irr Demand Charge Accrual","Rev Adj Property Insur","Rev Adj"}),-J22,0)</f>
        <v>0</v>
      </c>
      <c r="L22" s="59">
        <f>-SUMIFS(RVN!F:F,RVN!A:A,B22,RVN!B:B,"B",RVN!J:J,C22)</f>
        <v>0</v>
      </c>
      <c r="M22" s="59">
        <v>0</v>
      </c>
      <c r="N22" s="59">
        <f>SUMIFS('Normalized Units'!I:I,'Normalized Units'!B:B,"Temperature $ Normalization",'Normalized Units'!D:D,B22,'Normalized Units'!C:C,C22)</f>
        <v>0</v>
      </c>
      <c r="O22" s="59">
        <f t="shared" si="0"/>
        <v>0</v>
      </c>
      <c r="P22" s="59">
        <f t="shared" si="1"/>
        <v>0</v>
      </c>
      <c r="Q22" s="59">
        <f t="shared" si="3"/>
        <v>-256071</v>
      </c>
      <c r="R22" s="59">
        <f>'AutoPay&amp;Paperless'!F15</f>
        <v>-256071</v>
      </c>
      <c r="T22" s="177"/>
      <c r="U22" s="177"/>
      <c r="W22" s="49"/>
    </row>
    <row r="23" spans="2:23" ht="15.75" customHeight="1">
      <c r="B23" s="49" t="s">
        <v>4</v>
      </c>
      <c r="C23" s="87" t="s">
        <v>370</v>
      </c>
      <c r="D23" s="85">
        <f>SUMIFS(RVN!H:H,RVN!A:A,B23,RVN!J:J,C23)/12</f>
        <v>0</v>
      </c>
      <c r="E23" s="76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59">
        <f>SUMIFS(RVN!I:I,RVN!A:A,B23,RVN!J:J,C23)</f>
        <v>0</v>
      </c>
      <c r="G23" s="59">
        <f>SUMIFS('Normalized Units'!I:I,'Normalized Units'!B:B,"Temperature kWh Normalization",'Normalized Units'!C:C,C23,'Normalized Units'!D:D,B23)</f>
        <v>0</v>
      </c>
      <c r="H23" s="59">
        <f t="shared" si="4"/>
        <v>0</v>
      </c>
      <c r="I23" s="59">
        <f>SUMIFS('Normalized Units'!I:I,'Normalized Units'!B:B,"Normalized Billing Units",'Normalized Units'!C:C,C23,'Normalized Units'!D:D,B23,'Normalized Units'!H:H,"kWh*")</f>
        <v>0</v>
      </c>
      <c r="J23" s="59">
        <f>SUMIFS(RVN!F:F,RVN!A:A,B23,RVN!J:J,C23)</f>
        <v>0</v>
      </c>
      <c r="K23" s="59" cm="1">
        <f t="array" ref="K23">IF(OR(C23={"Alt Rev Program","Blue Sky","Customer Bill Credits","DSM","Income Tax Defer Adj","Irr Demand Charge Accrual","Rev Adj Property Insur","Rev Adj"}),-J23,0)</f>
        <v>0</v>
      </c>
      <c r="L23" s="59">
        <f>-SUMIFS(RVN!F:F,RVN!A:A,B23,RVN!B:B,"B",RVN!J:J,C23)</f>
        <v>0</v>
      </c>
      <c r="M23" s="59">
        <v>0</v>
      </c>
      <c r="N23" s="59">
        <f>SUMIFS('Normalized Units'!I:I,'Normalized Units'!B:B,"Temperature $ Normalization",'Normalized Units'!D:D,B23,'Normalized Units'!C:C,C23)</f>
        <v>0</v>
      </c>
      <c r="O23" s="59">
        <f t="shared" si="0"/>
        <v>0</v>
      </c>
      <c r="P23" s="59">
        <f t="shared" si="1"/>
        <v>0</v>
      </c>
      <c r="Q23" s="59">
        <f t="shared" si="3"/>
        <v>-231776.5</v>
      </c>
      <c r="R23" s="59">
        <f>'AutoPay&amp;Paperless'!F16</f>
        <v>-231776.5</v>
      </c>
      <c r="T23" s="177"/>
      <c r="U23" s="177"/>
      <c r="W23" s="49"/>
    </row>
    <row r="24" spans="2:23" ht="15.75" customHeight="1">
      <c r="B24" s="49" t="s">
        <v>4</v>
      </c>
      <c r="C24" s="54" t="s">
        <v>352</v>
      </c>
      <c r="D24" s="85">
        <f>SUMIFS(RVN!H:H,RVN!A:A,B24,RVN!J:J,C24)/12</f>
        <v>0</v>
      </c>
      <c r="E24" s="76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59">
        <f>SUMIFS(RVN!I:I,RVN!A:A,B24,RVN!J:J,C24)</f>
        <v>0</v>
      </c>
      <c r="G24" s="59">
        <f>SUMIFS('Normalized Units'!I:I,'Normalized Units'!B:B,"Temperature kWh Normalization",'Normalized Units'!C:C,C24,'Normalized Units'!D:D,B24)</f>
        <v>0</v>
      </c>
      <c r="H24" s="59">
        <f t="shared" si="4"/>
        <v>0</v>
      </c>
      <c r="I24" s="59">
        <f>SUMIFS('Normalized Units'!I:I,'Normalized Units'!B:B,"Normalized Billing Units",'Normalized Units'!C:C,C24,'Normalized Units'!D:D,B24,'Normalized Units'!H:H,"kWh*")</f>
        <v>0</v>
      </c>
      <c r="J24" s="59">
        <f>SUMIFS(RVN!F:F,RVN!A:A,B24,RVN!J:J,C24)</f>
        <v>1155.94</v>
      </c>
      <c r="K24" s="59" cm="1">
        <f t="array" ref="K24">IF(OR(C24={"Alt Rev Program","Blue Sky","Customer Bill Credits","DSM","Income Tax Defer Adj","Irr Demand Charge Accrual","Rev Adj Property Insur","Rev Adj"}),-J24,0)</f>
        <v>0</v>
      </c>
      <c r="L24" s="59">
        <f>-SUMIFS(RVN!F:F,RVN!A:A,B24,RVN!B:B,"B",RVN!J:J,C24)</f>
        <v>0</v>
      </c>
      <c r="M24" s="59">
        <v>0</v>
      </c>
      <c r="N24" s="59">
        <f>SUMIFS('Normalized Units'!I:I,'Normalized Units'!B:B,"Temperature $ Normalization",'Normalized Units'!D:D,B24,'Normalized Units'!C:C,C24)</f>
        <v>0</v>
      </c>
      <c r="O24" s="59">
        <f t="shared" si="0"/>
        <v>0</v>
      </c>
      <c r="P24" s="59">
        <f t="shared" si="1"/>
        <v>0</v>
      </c>
      <c r="Q24" s="59">
        <f t="shared" si="3"/>
        <v>0</v>
      </c>
      <c r="R24" s="59">
        <f>J24</f>
        <v>1155.94</v>
      </c>
      <c r="T24" s="177"/>
      <c r="U24" s="177"/>
      <c r="W24" s="49"/>
    </row>
    <row r="25" spans="2:23" ht="15.75" customHeight="1">
      <c r="B25" s="56" t="s">
        <v>4</v>
      </c>
      <c r="C25" s="57" t="s">
        <v>1</v>
      </c>
      <c r="D25" s="60">
        <f t="shared" ref="D25:H25" si="5">SUM(D9:D24)</f>
        <v>115432.58333333333</v>
      </c>
      <c r="E25" s="60">
        <f t="shared" si="5"/>
        <v>115211.11044802866</v>
      </c>
      <c r="F25" s="60">
        <f t="shared" si="5"/>
        <v>1675858425</v>
      </c>
      <c r="G25" s="60">
        <f t="shared" si="5"/>
        <v>-19485564.170899998</v>
      </c>
      <c r="H25" s="60">
        <f t="shared" si="5"/>
        <v>78972.590909643564</v>
      </c>
      <c r="I25" s="60">
        <f t="shared" ref="I25:O25" si="6">SUM(I9:I24)</f>
        <v>1656451833.4200096</v>
      </c>
      <c r="J25" s="60">
        <f t="shared" si="6"/>
        <v>160225826.13</v>
      </c>
      <c r="K25" s="60">
        <f t="shared" si="6"/>
        <v>-9241417.8000000007</v>
      </c>
      <c r="L25" s="60">
        <f t="shared" si="6"/>
        <v>15241367.59</v>
      </c>
      <c r="M25" s="60">
        <f t="shared" si="6"/>
        <v>-828804.08717949968</v>
      </c>
      <c r="N25" s="60">
        <f t="shared" si="6"/>
        <v>-2080953.9801362143</v>
      </c>
      <c r="O25" s="60">
        <f t="shared" si="6"/>
        <v>-496260.84755429905</v>
      </c>
      <c r="P25" s="60">
        <f t="shared" ref="P25:Q25" si="7">SUM(P9:P24)</f>
        <v>14460227.192791339</v>
      </c>
      <c r="Q25" s="60">
        <f t="shared" si="7"/>
        <v>1510346.1656587382</v>
      </c>
      <c r="R25" s="60">
        <f>SUM(R9:R24)</f>
        <v>178790330.36358008</v>
      </c>
      <c r="T25" s="177"/>
      <c r="U25" s="177"/>
      <c r="W25" s="49"/>
    </row>
    <row r="26" spans="2:23" ht="15.75" customHeight="1">
      <c r="B26" s="49"/>
      <c r="C26" s="79"/>
      <c r="D26" s="55"/>
      <c r="E26" s="83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46"/>
      <c r="T26" s="177"/>
      <c r="U26" s="177"/>
      <c r="W26" s="49"/>
    </row>
    <row r="27" spans="2:23" ht="15.75" customHeight="1">
      <c r="B27" s="49" t="s">
        <v>5</v>
      </c>
      <c r="C27" s="76" t="s">
        <v>270</v>
      </c>
      <c r="D27" s="85">
        <f>SUMIFS(RVN!H:H,RVN!A:A,B27,RVN!J:J,C27)/12</f>
        <v>0</v>
      </c>
      <c r="E27" s="76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59">
        <f>SUMIFS(RVN!I:I,RVN!A:A,B27,RVN!J:J,C27)</f>
        <v>0</v>
      </c>
      <c r="G27" s="59">
        <f>SUMIFS('Normalized Units'!I:I,'Normalized Units'!B:B,"Temperature kWh Normalization",'Normalized Units'!C:C,C27,'Normalized Units'!D:D,B27)</f>
        <v>0</v>
      </c>
      <c r="H27" s="59">
        <f>I27-G27-F27</f>
        <v>0</v>
      </c>
      <c r="I27" s="59">
        <f>SUMIFS('Normalized Units'!I:I,'Normalized Units'!B:B,"Normalized Billing Units",'Normalized Units'!C:C,C27,'Normalized Units'!D:D,B27,'Normalized Units'!H:H,"kWh*")</f>
        <v>0</v>
      </c>
      <c r="J27" s="59">
        <f>SUMIFS(RVN!F:F,RVN!A:A,B27,RVN!J:J,C27)</f>
        <v>-1085030.27</v>
      </c>
      <c r="K27" s="59" cm="1">
        <f t="array" ref="K27">IF(OR(C27={"Alt Rev Program","Blue Sky","Customer Bill Credits","DSM","Income Tax Defer Adj","Irr Demand Charge Accrual","Rev Adj Property Insur","Rev Adj"}),-J27,0)</f>
        <v>1085030.27</v>
      </c>
      <c r="L27" s="59">
        <f>-SUMIFS(RVN!F:F,RVN!A:A,B27,RVN!B:B,"B",RVN!J:J,C27)</f>
        <v>0</v>
      </c>
      <c r="M27" s="59">
        <v>0</v>
      </c>
      <c r="N27" s="59">
        <f>SUMIFS('Normalized Units'!I:I,'Normalized Units'!B:B,"Temperature $ Normalization",'Normalized Units'!D:D,B27,'Normalized Units'!C:C,C27)</f>
        <v>0</v>
      </c>
      <c r="O27" s="59">
        <f t="shared" ref="O27:O42" si="8">(J27+K27+L27+M27+N27)*T27/100*7/12</f>
        <v>0</v>
      </c>
      <c r="P27" s="59">
        <f t="shared" ref="P27:P42" si="9">(J27+K27+L27+M27+N27)*U27/100*10/12</f>
        <v>0</v>
      </c>
      <c r="Q27" s="59">
        <f t="shared" si="3"/>
        <v>0</v>
      </c>
      <c r="R27" s="59">
        <v>0</v>
      </c>
      <c r="T27" s="177"/>
      <c r="U27" s="177"/>
      <c r="W27" s="49"/>
    </row>
    <row r="28" spans="2:23" ht="15.75" customHeight="1">
      <c r="B28" s="49" t="s">
        <v>5</v>
      </c>
      <c r="C28" s="76" t="s">
        <v>145</v>
      </c>
      <c r="D28" s="85">
        <f>SUMIFS(RVN!H:H,RVN!A:A,B28,RVN!J:J,C28)/12</f>
        <v>0</v>
      </c>
      <c r="E28" s="76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59">
        <f>SUMIFS(RVN!I:I,RVN!A:A,B28,RVN!J:J,C28)</f>
        <v>0</v>
      </c>
      <c r="G28" s="59">
        <f>SUMIFS('Normalized Units'!I:I,'Normalized Units'!B:B,"Temperature kWh Normalization",'Normalized Units'!C:C,C28,'Normalized Units'!D:D,B28)</f>
        <v>0</v>
      </c>
      <c r="H28" s="59">
        <f t="shared" ref="H28:H35" si="10">I28-G28-F28</f>
        <v>0</v>
      </c>
      <c r="I28" s="59">
        <f>SUMIFS('Normalized Units'!I:I,'Normalized Units'!B:B,"Normalized Billing Units",'Normalized Units'!C:C,C28,'Normalized Units'!D:D,B28,'Normalized Units'!H:H,"kWh*")</f>
        <v>0</v>
      </c>
      <c r="J28" s="59">
        <f>SUMIFS(RVN!F:F,RVN!A:A,B28,RVN!J:J,C28)</f>
        <v>30424.7</v>
      </c>
      <c r="K28" s="59" cm="1">
        <f t="array" ref="K28">IF(OR(C28={"Alt Rev Program","Blue Sky","Customer Bill Credits","DSM","Income Tax Defer Adj","Irr Demand Charge Accrual","Rev Adj Property Insur","Rev Adj"}),-J28,0)</f>
        <v>-30424.7</v>
      </c>
      <c r="L28" s="59">
        <f>-SUMIFS(RVN!F:F,RVN!A:A,B28,RVN!B:B,"B",RVN!J:J,C28)</f>
        <v>0</v>
      </c>
      <c r="M28" s="59">
        <v>0</v>
      </c>
      <c r="N28" s="59">
        <f>SUMIFS('Normalized Units'!I:I,'Normalized Units'!B:B,"Temperature $ Normalization",'Normalized Units'!D:D,B28,'Normalized Units'!C:C,C28)</f>
        <v>0</v>
      </c>
      <c r="O28" s="59">
        <f t="shared" si="8"/>
        <v>0</v>
      </c>
      <c r="P28" s="59">
        <f t="shared" si="9"/>
        <v>0</v>
      </c>
      <c r="Q28" s="59">
        <f t="shared" si="3"/>
        <v>0</v>
      </c>
      <c r="R28" s="59">
        <v>0</v>
      </c>
      <c r="T28" s="177"/>
      <c r="U28" s="177"/>
      <c r="W28" s="49"/>
    </row>
    <row r="29" spans="2:23" ht="15.75" customHeight="1">
      <c r="B29" s="49" t="s">
        <v>5</v>
      </c>
      <c r="C29" s="76" t="s">
        <v>149</v>
      </c>
      <c r="D29" s="85">
        <f>SUMIFS(RVN!H:H,RVN!A:A,B29,RVN!J:J,C29)/12</f>
        <v>0</v>
      </c>
      <c r="E29" s="76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59">
        <f>SUMIFS(RVN!I:I,RVN!A:A,B29,RVN!J:J,C29)</f>
        <v>0</v>
      </c>
      <c r="G29" s="59">
        <f>SUMIFS('Normalized Units'!I:I,'Normalized Units'!B:B,"Temperature kWh Normalization",'Normalized Units'!C:C,C29,'Normalized Units'!D:D,B29)</f>
        <v>0</v>
      </c>
      <c r="H29" s="59">
        <f t="shared" si="10"/>
        <v>0</v>
      </c>
      <c r="I29" s="59">
        <f>SUMIFS('Normalized Units'!I:I,'Normalized Units'!B:B,"Normalized Billing Units",'Normalized Units'!C:C,C29,'Normalized Units'!D:D,B29,'Normalized Units'!H:H,"kWh*")</f>
        <v>0</v>
      </c>
      <c r="J29" s="59">
        <f>SUMIFS(RVN!F:F,RVN!A:A,B29,RVN!J:J,C29)</f>
        <v>4534087.8899999997</v>
      </c>
      <c r="K29" s="59" cm="1">
        <f t="array" ref="K29">IF(OR(C29={"Alt Rev Program","Blue Sky","Customer Bill Credits","DSM","Income Tax Defer Adj","Irr Demand Charge Accrual","Rev Adj Property Insur","Rev Adj"}),-J29,0)</f>
        <v>-4534087.8899999997</v>
      </c>
      <c r="L29" s="59">
        <f>-SUMIFS(RVN!F:F,RVN!A:A,B29,RVN!B:B,"B",RVN!J:J,C29)</f>
        <v>0</v>
      </c>
      <c r="M29" s="59">
        <v>0</v>
      </c>
      <c r="N29" s="59">
        <f>SUMIFS('Normalized Units'!I:I,'Normalized Units'!B:B,"Temperature $ Normalization",'Normalized Units'!D:D,B29,'Normalized Units'!C:C,C29)</f>
        <v>0</v>
      </c>
      <c r="O29" s="59">
        <f t="shared" si="8"/>
        <v>0</v>
      </c>
      <c r="P29" s="59">
        <f t="shared" si="9"/>
        <v>0</v>
      </c>
      <c r="Q29" s="59">
        <f t="shared" si="3"/>
        <v>0</v>
      </c>
      <c r="R29" s="59">
        <v>0</v>
      </c>
      <c r="T29" s="177"/>
      <c r="U29" s="177"/>
      <c r="W29" s="49"/>
    </row>
    <row r="30" spans="2:23" ht="15.75" customHeight="1">
      <c r="B30" s="49" t="s">
        <v>5</v>
      </c>
      <c r="C30" s="76" t="s">
        <v>273</v>
      </c>
      <c r="D30" s="85">
        <f>SUMIFS(RVN!H:H,RVN!A:A,B30,RVN!J:J,C30)/12</f>
        <v>0</v>
      </c>
      <c r="E30" s="76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59">
        <f>SUMIFS(RVN!I:I,RVN!A:A,B30,RVN!J:J,C30)</f>
        <v>0</v>
      </c>
      <c r="G30" s="59">
        <f>SUMIFS('Normalized Units'!I:I,'Normalized Units'!B:B,"Temperature kWh Normalization",'Normalized Units'!C:C,C30,'Normalized Units'!D:D,B30)</f>
        <v>0</v>
      </c>
      <c r="H30" s="59">
        <f t="shared" si="10"/>
        <v>0</v>
      </c>
      <c r="I30" s="59">
        <f>SUMIFS('Normalized Units'!I:I,'Normalized Units'!B:B,"Normalized Billing Units",'Normalized Units'!C:C,C30,'Normalized Units'!D:D,B30,'Normalized Units'!H:H,"kWh*")</f>
        <v>0</v>
      </c>
      <c r="J30" s="59">
        <f>SUMIFS(RVN!F:F,RVN!A:A,B30,RVN!J:J,C30)</f>
        <v>789363.18</v>
      </c>
      <c r="K30" s="59" cm="1">
        <f t="array" ref="K30">IF(OR(C30={"Alt Rev Program","Blue Sky","Customer Bill Credits","DSM","Income Tax Defer Adj","Irr Demand Charge Accrual","Rev Adj Property Insur","Rev Adj"}),-J30,0)</f>
        <v>-789363.18</v>
      </c>
      <c r="L30" s="59">
        <f>-SUMIFS(RVN!F:F,RVN!A:A,B30,RVN!B:B,"B",RVN!J:J,C30)</f>
        <v>0</v>
      </c>
      <c r="M30" s="59">
        <v>0</v>
      </c>
      <c r="N30" s="59">
        <f>SUMIFS('Normalized Units'!I:I,'Normalized Units'!B:B,"Temperature $ Normalization",'Normalized Units'!D:D,B30,'Normalized Units'!C:C,C30)</f>
        <v>0</v>
      </c>
      <c r="O30" s="59">
        <f t="shared" si="8"/>
        <v>0</v>
      </c>
      <c r="P30" s="59">
        <f t="shared" si="9"/>
        <v>0</v>
      </c>
      <c r="Q30" s="59">
        <f t="shared" si="3"/>
        <v>0</v>
      </c>
      <c r="R30" s="59">
        <v>0</v>
      </c>
      <c r="T30" s="177"/>
      <c r="U30" s="177"/>
      <c r="W30" s="49"/>
    </row>
    <row r="31" spans="2:23" ht="15.75" customHeight="1">
      <c r="B31" s="49" t="s">
        <v>5</v>
      </c>
      <c r="C31" s="76" t="s">
        <v>190</v>
      </c>
      <c r="D31" s="85">
        <f>SUMIFS(RVN!H:H,RVN!A:A,B31,RVN!J:J,C31)/12</f>
        <v>0</v>
      </c>
      <c r="E31" s="76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59">
        <f>SUMIFS(RVN!I:I,RVN!A:A,B31,RVN!J:J,C31)</f>
        <v>0</v>
      </c>
      <c r="G31" s="59">
        <f>SUMIFS('Normalized Units'!I:I,'Normalized Units'!B:B,"Temperature kWh Normalization",'Normalized Units'!C:C,C31,'Normalized Units'!D:D,B31)</f>
        <v>0</v>
      </c>
      <c r="H31" s="59">
        <f t="shared" si="10"/>
        <v>0</v>
      </c>
      <c r="I31" s="59">
        <f>SUMIFS('Normalized Units'!I:I,'Normalized Units'!B:B,"Normalized Billing Units",'Normalized Units'!C:C,C31,'Normalized Units'!D:D,B31,'Normalized Units'!H:H,"kWh*")</f>
        <v>0</v>
      </c>
      <c r="J31" s="59">
        <f>SUMIFS(RVN!F:F,RVN!A:A,B31,RVN!J:J,C31)</f>
        <v>44874.79</v>
      </c>
      <c r="K31" s="59" cm="1">
        <f t="array" ref="K31">IF(OR(C31={"Alt Rev Program","Blue Sky","Customer Bill Credits","DSM","Income Tax Defer Adj","Irr Demand Charge Accrual","Rev Adj Property Insur","Rev Adj"}),-J31,0)</f>
        <v>-44874.79</v>
      </c>
      <c r="L31" s="59">
        <f>-SUMIFS(RVN!F:F,RVN!A:A,B31,RVN!B:B,"B",RVN!J:J,C31)</f>
        <v>0</v>
      </c>
      <c r="M31" s="59">
        <v>0</v>
      </c>
      <c r="N31" s="59">
        <f>SUMIFS('Normalized Units'!I:I,'Normalized Units'!B:B,"Temperature $ Normalization",'Normalized Units'!D:D,B31,'Normalized Units'!C:C,C31)</f>
        <v>0</v>
      </c>
      <c r="O31" s="59">
        <f t="shared" si="8"/>
        <v>0</v>
      </c>
      <c r="P31" s="59">
        <f t="shared" si="9"/>
        <v>0</v>
      </c>
      <c r="Q31" s="59">
        <f t="shared" si="3"/>
        <v>0</v>
      </c>
      <c r="R31" s="59">
        <v>0</v>
      </c>
      <c r="T31" s="177"/>
      <c r="U31" s="177"/>
      <c r="W31" s="49"/>
    </row>
    <row r="32" spans="2:23" ht="15.75" customHeight="1">
      <c r="B32" s="49" t="s">
        <v>5</v>
      </c>
      <c r="C32" s="76" t="s">
        <v>173</v>
      </c>
      <c r="D32" s="85">
        <f>SUMIFS(RVN!H:H,RVN!A:A,B32,RVN!J:J,C32)/12</f>
        <v>0</v>
      </c>
      <c r="E32" s="76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59">
        <f>SUMIFS(RVN!I:I,RVN!A:A,B32,RVN!J:J,C32)</f>
        <v>0</v>
      </c>
      <c r="G32" s="59">
        <f>SUMIFS('Normalized Units'!I:I,'Normalized Units'!B:B,"Temperature kWh Normalization",'Normalized Units'!C:C,C32,'Normalized Units'!D:D,B32)</f>
        <v>0</v>
      </c>
      <c r="H32" s="59">
        <f t="shared" si="10"/>
        <v>0</v>
      </c>
      <c r="I32" s="59">
        <f>SUMIFS('Normalized Units'!I:I,'Normalized Units'!B:B,"Normalized Billing Units",'Normalized Units'!C:C,C32,'Normalized Units'!D:D,B32,'Normalized Units'!H:H,"kWh*")</f>
        <v>0</v>
      </c>
      <c r="J32" s="59">
        <f>SUMIFS(RVN!F:F,RVN!A:A,B32,RVN!J:J,C32)</f>
        <v>-271170.24</v>
      </c>
      <c r="K32" s="59" cm="1">
        <f t="array" ref="K32">IF(OR(C32={"Alt Rev Program","Blue Sky","Customer Bill Credits","DSM","Income Tax Defer Adj","Irr Demand Charge Accrual","Rev Adj Property Insur","Rev Adj"}),-J32,0)</f>
        <v>271170.24</v>
      </c>
      <c r="L32" s="59">
        <f>-SUMIFS(RVN!F:F,RVN!A:A,B32,RVN!B:B,"B",RVN!J:J,C32)</f>
        <v>0</v>
      </c>
      <c r="M32" s="59">
        <v>0</v>
      </c>
      <c r="N32" s="59">
        <f>SUMIFS('Normalized Units'!I:I,'Normalized Units'!B:B,"Temperature $ Normalization",'Normalized Units'!D:D,B32,'Normalized Units'!C:C,C32)</f>
        <v>0</v>
      </c>
      <c r="O32" s="59">
        <f t="shared" si="8"/>
        <v>0</v>
      </c>
      <c r="P32" s="59">
        <f t="shared" si="9"/>
        <v>0</v>
      </c>
      <c r="Q32" s="59">
        <f t="shared" si="3"/>
        <v>0</v>
      </c>
      <c r="R32" s="59">
        <v>0</v>
      </c>
      <c r="T32" s="177"/>
      <c r="U32" s="177"/>
      <c r="W32" s="49"/>
    </row>
    <row r="33" spans="2:23" ht="15.75" customHeight="1">
      <c r="B33" s="49" t="s">
        <v>5</v>
      </c>
      <c r="C33" s="76" t="s">
        <v>272</v>
      </c>
      <c r="D33" s="85">
        <f>SUMIFS(RVN!H:H,RVN!A:A,B33,RVN!J:J,C33)/12</f>
        <v>0</v>
      </c>
      <c r="E33" s="76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59">
        <f>SUMIFS(RVN!I:I,RVN!A:A,B33,RVN!J:J,C33)</f>
        <v>0</v>
      </c>
      <c r="G33" s="59">
        <f>SUMIFS('Normalized Units'!I:I,'Normalized Units'!B:B,"Temperature kWh Normalization",'Normalized Units'!C:C,C33,'Normalized Units'!D:D,B33)</f>
        <v>0</v>
      </c>
      <c r="H33" s="59">
        <f t="shared" si="10"/>
        <v>0</v>
      </c>
      <c r="I33" s="59">
        <f>SUMIFS('Normalized Units'!I:I,'Normalized Units'!B:B,"Normalized Billing Units",'Normalized Units'!C:C,C33,'Normalized Units'!D:D,B33,'Normalized Units'!H:H,"kWh*")</f>
        <v>0</v>
      </c>
      <c r="J33" s="59">
        <f>SUMIFS(RVN!F:F,RVN!A:A,B33,RVN!J:J,C33)</f>
        <v>9184.99</v>
      </c>
      <c r="K33" s="59" cm="1">
        <f t="array" ref="K33">IF(OR(C33={"Alt Rev Program","Blue Sky","Customer Bill Credits","DSM","Income Tax Defer Adj","Irr Demand Charge Accrual","Rev Adj Property Insur","Rev Adj"}),-J33,0)</f>
        <v>0</v>
      </c>
      <c r="L33" s="59">
        <f>-SUMIFS(RVN!F:F,RVN!A:A,B33,RVN!B:B,"B",RVN!J:J,C33)</f>
        <v>-9184.99</v>
      </c>
      <c r="M33" s="59">
        <v>0</v>
      </c>
      <c r="N33" s="59">
        <f>SUMIFS('Normalized Units'!I:I,'Normalized Units'!B:B,"Temperature $ Normalization",'Normalized Units'!D:D,B33,'Normalized Units'!C:C,C33)</f>
        <v>0</v>
      </c>
      <c r="O33" s="59">
        <f t="shared" si="8"/>
        <v>0</v>
      </c>
      <c r="P33" s="59">
        <f t="shared" si="9"/>
        <v>0</v>
      </c>
      <c r="Q33" s="59">
        <f t="shared" si="3"/>
        <v>0</v>
      </c>
      <c r="R33" s="59">
        <v>0</v>
      </c>
      <c r="T33" s="177"/>
      <c r="U33" s="177"/>
      <c r="W33" s="49"/>
    </row>
    <row r="34" spans="2:23" ht="15.75" customHeight="1">
      <c r="B34" s="49" t="s">
        <v>5</v>
      </c>
      <c r="C34" s="85" t="s">
        <v>168</v>
      </c>
      <c r="D34" s="85">
        <f>SUMIFS(RVN!H:H,RVN!A:A,B34,RVN!J:J,C34)/12</f>
        <v>0</v>
      </c>
      <c r="E34" s="76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59">
        <f>SUMIFS(RVN!I:I,RVN!A:A,B34,RVN!J:J,C34)</f>
        <v>10073000</v>
      </c>
      <c r="G34" s="59">
        <f>SUMIFS('Normalized Units'!I:I,'Normalized Units'!B:B,"Temperature kWh Normalization",'Normalized Units'!C:C,C34,'Normalized Units'!D:D,B34)</f>
        <v>0</v>
      </c>
      <c r="H34" s="59">
        <f t="shared" si="10"/>
        <v>-10073000</v>
      </c>
      <c r="I34" s="59">
        <f>SUMIFS('Normalized Units'!I:I,'Normalized Units'!B:B,"Normalized Billing Units",'Normalized Units'!C:C,C34,'Normalized Units'!D:D,B34,'Normalized Units'!H:H,"kWh*")</f>
        <v>0</v>
      </c>
      <c r="J34" s="59">
        <f>SUMIFS(RVN!F:F,RVN!A:A,B34,RVN!J:J,C34)</f>
        <v>2041000</v>
      </c>
      <c r="K34" s="59" cm="1">
        <f t="array" ref="K34">IF(OR(C34={"Alt Rev Program","Blue Sky","Customer Bill Credits","DSM","Income Tax Defer Adj","Irr Demand Charge Accrual","Rev Adj Property Insur","Rev Adj"}),-J34,0)</f>
        <v>0</v>
      </c>
      <c r="L34" s="59">
        <f>-SUMIFS(RVN!F:F,RVN!A:A,B34,RVN!B:B,"B",RVN!J:J,C34)</f>
        <v>0</v>
      </c>
      <c r="M34" s="59">
        <v>0</v>
      </c>
      <c r="N34" s="59">
        <f>SUMIFS('Normalized Units'!I:I,'Normalized Units'!B:B,"Temperature $ Normalization",'Normalized Units'!D:D,B34,'Normalized Units'!C:C,C34)</f>
        <v>0</v>
      </c>
      <c r="O34" s="59">
        <f t="shared" si="8"/>
        <v>0</v>
      </c>
      <c r="P34" s="59">
        <f t="shared" si="9"/>
        <v>0</v>
      </c>
      <c r="Q34" s="59">
        <f t="shared" si="3"/>
        <v>-2041000</v>
      </c>
      <c r="R34" s="59">
        <v>0</v>
      </c>
      <c r="T34" s="177"/>
      <c r="U34" s="177"/>
      <c r="W34" s="49"/>
    </row>
    <row r="35" spans="2:23" ht="15.75" customHeight="1">
      <c r="B35" s="49" t="s">
        <v>5</v>
      </c>
      <c r="C35" s="78" t="s">
        <v>169</v>
      </c>
      <c r="D35" s="85">
        <f>SUMIFS(RVN!H:H,RVN!A:A,B35,RVN!J:J,C35)/12</f>
        <v>1190.9166666666667</v>
      </c>
      <c r="E35" s="76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59">
        <f>SUMIFS(RVN!I:I,RVN!A:A,B35,RVN!J:J,C35)</f>
        <v>1841785</v>
      </c>
      <c r="G35" s="59">
        <f>SUMIFS('Normalized Units'!I:I,'Normalized Units'!B:B,"Temperature kWh Normalization",'Normalized Units'!C:C,C35,'Normalized Units'!D:D,B35)</f>
        <v>0</v>
      </c>
      <c r="H35" s="59">
        <f t="shared" si="10"/>
        <v>7355.4231953695416</v>
      </c>
      <c r="I35" s="59">
        <f>SUMIFS('Normalized Units'!I:I,'Normalized Units'!B:B,"Normalized Billing Units",'Normalized Units'!C:C,C35,'Normalized Units'!D:D,B35,'Normalized Units'!H:H,"kWh*")</f>
        <v>1849140.4231953695</v>
      </c>
      <c r="J35" s="59">
        <f>SUMIFS(RVN!F:F,RVN!A:A,B35,RVN!J:J,C35)</f>
        <v>156208.76</v>
      </c>
      <c r="K35" s="59" cm="1">
        <f t="array" ref="K35">IF(OR(C35={"Alt Rev Program","Blue Sky","Customer Bill Credits","DSM","Income Tax Defer Adj","Irr Demand Charge Accrual","Rev Adj Property Insur","Rev Adj"}),-J35,0)</f>
        <v>0</v>
      </c>
      <c r="L35" s="59">
        <f>-SUMIFS(RVN!F:F,RVN!A:A,B35,RVN!B:B,"B",RVN!J:J,C35)</f>
        <v>1217.43</v>
      </c>
      <c r="M35" s="59">
        <v>739.09446605734399</v>
      </c>
      <c r="N35" s="59">
        <f>SUMIFS('Normalized Units'!I:I,'Normalized Units'!B:B,"Temperature $ Normalization",'Normalized Units'!D:D,B35,'Normalized Units'!C:C,C35)</f>
        <v>0</v>
      </c>
      <c r="O35" s="59">
        <f t="shared" si="8"/>
        <v>-251.36724422649115</v>
      </c>
      <c r="P35" s="59">
        <f t="shared" si="9"/>
        <v>15201.342144099626</v>
      </c>
      <c r="Q35" s="59">
        <f t="shared" si="3"/>
        <v>4332.912654076581</v>
      </c>
      <c r="R35" s="59">
        <f>SUM('Sch.15,51,53,54'!G55:G57,'Sch.15,51,53,54'!G58)</f>
        <v>177448.17202000707</v>
      </c>
      <c r="T35" s="178">
        <f>T18</f>
        <v>-0.27244618012830585</v>
      </c>
      <c r="U35" s="178">
        <f>U18</f>
        <v>11.533258157439882</v>
      </c>
      <c r="W35" s="49"/>
    </row>
    <row r="36" spans="2:23" ht="15.75" customHeight="1">
      <c r="B36" s="49" t="s">
        <v>5</v>
      </c>
      <c r="C36" s="78" t="s">
        <v>229</v>
      </c>
      <c r="D36" s="85">
        <f>SUMIFS(RVN!H:H,RVN!A:A,B36,RVN!J:J,C36)/12</f>
        <v>16738.333333333332</v>
      </c>
      <c r="E36" s="76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59">
        <f>SUMIFS(RVN!I:I,RVN!A:A,B36,RVN!J:J,C36)</f>
        <v>509089942</v>
      </c>
      <c r="G36" s="59">
        <f>SUMIFS('Normalized Units'!I:I,'Normalized Units'!B:B,"Temperature kWh Normalization",'Normalized Units'!C:C,C36,'Normalized Units'!D:D,B36)</f>
        <v>-858022.95925769093</v>
      </c>
      <c r="H36" s="59">
        <f t="shared" ref="H36:H42" si="11">I36-G36-F36</f>
        <v>2531192.2603287101</v>
      </c>
      <c r="I36" s="59">
        <f>SUMIFS('Normalized Units'!I:I,'Normalized Units'!B:B,"Normalized Billing Units",'Normalized Units'!C:C,C36,'Normalized Units'!D:D,B36,'Normalized Units'!H:H,"kWh*")</f>
        <v>510763111.30107105</v>
      </c>
      <c r="J36" s="59">
        <f>SUMIFS(RVN!F:F,RVN!A:A,B36,RVN!J:J,C36)</f>
        <v>48599864.07</v>
      </c>
      <c r="K36" s="59" cm="1">
        <f t="array" ref="K36">IF(OR(C36={"Alt Rev Program","Blue Sky","Customer Bill Credits","DSM","Income Tax Defer Adj","Irr Demand Charge Accrual","Rev Adj Property Insur","Rev Adj"}),-J36,0)</f>
        <v>0</v>
      </c>
      <c r="L36" s="59">
        <f>-SUMIFS(RVN!F:F,RVN!A:A,B36,RVN!B:B,"B",RVN!J:J,C36)</f>
        <v>258298.80999999997</v>
      </c>
      <c r="M36" s="59">
        <v>-715075.40416127024</v>
      </c>
      <c r="N36" s="59">
        <f>SUMIFS('Normalized Units'!I:I,'Normalized Units'!B:B,"Temperature $ Normalization",'Normalized Units'!D:D,B36,'Normalized Units'!C:C,C36)</f>
        <v>-69725.541098391186</v>
      </c>
      <c r="O36" s="59">
        <f t="shared" si="8"/>
        <v>-132047.41863413798</v>
      </c>
      <c r="P36" s="59">
        <f t="shared" si="9"/>
        <v>4430864.9801826533</v>
      </c>
      <c r="Q36" s="59">
        <f t="shared" si="3"/>
        <v>1115173.3215261446</v>
      </c>
      <c r="R36" s="59">
        <f>SUM(Sch.24!S75:S88,Sch.24!S89)</f>
        <v>53487352.817814998</v>
      </c>
      <c r="T36" s="178">
        <f>T20</f>
        <v>-0.47087824579462839</v>
      </c>
      <c r="U36" s="178">
        <f>U20</f>
        <v>11.060258243301291</v>
      </c>
      <c r="W36" s="49"/>
    </row>
    <row r="37" spans="2:23" ht="15.75" customHeight="1">
      <c r="B37" s="49" t="s">
        <v>5</v>
      </c>
      <c r="C37" s="78" t="s">
        <v>279</v>
      </c>
      <c r="D37" s="85">
        <f>SUMIFS(RVN!H:H,RVN!A:A,B37,RVN!J:J,C37)/12</f>
        <v>973.75</v>
      </c>
      <c r="E37" s="76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59">
        <f>SUMIFS(RVN!I:I,RVN!A:A,B37,RVN!J:J,C37)</f>
        <v>836855092</v>
      </c>
      <c r="G37" s="59">
        <f>SUMIFS('Normalized Units'!I:I,'Normalized Units'!B:B,"Temperature kWh Normalization",'Normalized Units'!C:C,C37,'Normalized Units'!D:D,B37)</f>
        <v>-127447.37919797213</v>
      </c>
      <c r="H37" s="59">
        <f t="shared" si="11"/>
        <v>5492733.4147775173</v>
      </c>
      <c r="I37" s="59">
        <f>SUMIFS('Normalized Units'!I:I,'Normalized Units'!B:B,"Normalized Billing Units",'Normalized Units'!C:C,C37,'Normalized Units'!D:D,B37,'Normalized Units'!H:H,"kWh*")</f>
        <v>842220378.03557956</v>
      </c>
      <c r="J37" s="59">
        <f>SUMIFS(RVN!F:F,RVN!A:A,B37,RVN!J:J,C37)</f>
        <v>66763710.619999997</v>
      </c>
      <c r="K37" s="59" cm="1">
        <f t="array" ref="K37">IF(OR(C37={"Alt Rev Program","Blue Sky","Customer Bill Credits","DSM","Income Tax Defer Adj","Irr Demand Charge Accrual","Rev Adj Property Insur","Rev Adj"}),-J37,0)</f>
        <v>0</v>
      </c>
      <c r="L37" s="59">
        <f>-SUMIFS(RVN!F:F,RVN!A:A,B37,RVN!B:B,"B",RVN!J:J,C37)</f>
        <v>386437.13</v>
      </c>
      <c r="M37" s="59">
        <v>263226.35618000012</v>
      </c>
      <c r="N37" s="59">
        <f>SUMIFS('Normalized Units'!I:I,'Normalized Units'!B:B,"Temperature $ Normalization",'Normalized Units'!D:D,B37,'Normalized Units'!C:C,C37)</f>
        <v>-7224.5542701902741</v>
      </c>
      <c r="O37" s="59">
        <f t="shared" si="8"/>
        <v>-213305.3286352524</v>
      </c>
      <c r="P37" s="59">
        <f t="shared" si="9"/>
        <v>7325370.3451133752</v>
      </c>
      <c r="Q37" s="59">
        <f t="shared" si="3"/>
        <v>1635450.1592634888</v>
      </c>
      <c r="R37" s="59">
        <f>SUM('Sch.29,36'!S64:S75,'Sch.29,36'!S76)</f>
        <v>76153664.727651417</v>
      </c>
      <c r="T37" s="178">
        <f>T21</f>
        <v>-0.54248207335865006</v>
      </c>
      <c r="U37" s="178">
        <f>U21</f>
        <v>13.041012537537819</v>
      </c>
      <c r="W37" s="49"/>
    </row>
    <row r="38" spans="2:23" ht="15.75" customHeight="1">
      <c r="B38" s="49" t="s">
        <v>5</v>
      </c>
      <c r="C38" s="78" t="s">
        <v>172</v>
      </c>
      <c r="D38" s="85">
        <f>SUMIFS(RVN!H:H,RVN!A:A,B38,RVN!J:J,C38)/12</f>
        <v>37.5</v>
      </c>
      <c r="E38" s="76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59">
        <f>SUMIFS(RVN!I:I,RVN!A:A,B38,RVN!J:J,C38)</f>
        <v>174870280</v>
      </c>
      <c r="G38" s="59">
        <f>SUMIFS('Normalized Units'!I:I,'Normalized Units'!B:B,"Temperature kWh Normalization",'Normalized Units'!C:C,C38,'Normalized Units'!D:D,B38)</f>
        <v>-223992.30364433755</v>
      </c>
      <c r="H38" s="59">
        <f t="shared" si="11"/>
        <v>1374885.2425872386</v>
      </c>
      <c r="I38" s="59">
        <f>SUMIFS('Normalized Units'!I:I,'Normalized Units'!B:B,"Normalized Billing Units",'Normalized Units'!C:C,C38,'Normalized Units'!D:D,B38,'Normalized Units'!H:H,"kWh*")</f>
        <v>176021172.93894291</v>
      </c>
      <c r="J38" s="59">
        <f>SUMIFS(RVN!F:F,RVN!A:A,B38,RVN!J:J,C38)</f>
        <v>13160322.98</v>
      </c>
      <c r="K38" s="59" cm="1">
        <f t="array" ref="K38">IF(OR(C38={"Alt Rev Program","Blue Sky","Customer Bill Credits","DSM","Income Tax Defer Adj","Irr Demand Charge Accrual","Rev Adj Property Insur","Rev Adj"}),-J38,0)</f>
        <v>0</v>
      </c>
      <c r="L38" s="59">
        <f>-SUMIFS(RVN!F:F,RVN!A:A,B38,RVN!B:B,"B",RVN!J:J,C38)</f>
        <v>0</v>
      </c>
      <c r="M38" s="59">
        <v>43415.567280000134</v>
      </c>
      <c r="N38" s="59">
        <f>SUMIFS('Normalized Units'!I:I,'Normalized Units'!B:B,"Temperature $ Normalization",'Normalized Units'!D:D,B38,'Normalized Units'!C:C,C38)</f>
        <v>-12376.945380394933</v>
      </c>
      <c r="O38" s="59">
        <f t="shared" si="8"/>
        <v>-43691.087104975537</v>
      </c>
      <c r="P38" s="59">
        <f t="shared" si="9"/>
        <v>1572292.2681268963</v>
      </c>
      <c r="Q38" s="59">
        <f t="shared" si="3"/>
        <v>315797.13946319581</v>
      </c>
      <c r="R38" s="59">
        <f>SUM(Sch.48T!T52:T65,Sch.48T!T66)</f>
        <v>15035759.922384722</v>
      </c>
      <c r="T38" s="177">
        <v>-0.56778828998885622</v>
      </c>
      <c r="U38" s="177">
        <v>14.302926253500445</v>
      </c>
      <c r="W38" s="49"/>
    </row>
    <row r="39" spans="2:23" ht="15.75" customHeight="1">
      <c r="B39" s="49" t="s">
        <v>5</v>
      </c>
      <c r="C39" s="78" t="s">
        <v>171</v>
      </c>
      <c r="D39" s="85">
        <f>SUMIFS(RVN!H:H,RVN!A:A,B39,RVN!J:J,C39)/12</f>
        <v>25.5</v>
      </c>
      <c r="E39" s="76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59">
        <f>SUMIFS(RVN!I:I,RVN!A:A,B39,RVN!J:J,C39)</f>
        <v>312417</v>
      </c>
      <c r="G39" s="59">
        <f>SUMIFS('Normalized Units'!I:I,'Normalized Units'!B:B,"Temperature kWh Normalization",'Normalized Units'!C:C,C39,'Normalized Units'!D:D,B39)</f>
        <v>0</v>
      </c>
      <c r="H39" s="59">
        <f t="shared" si="11"/>
        <v>2066.408096320054</v>
      </c>
      <c r="I39" s="59">
        <f>SUMIFS('Normalized Units'!I:I,'Normalized Units'!B:B,"Normalized Billing Units",'Normalized Units'!C:C,C39,'Normalized Units'!D:D,B39,'Normalized Units'!H:H,"kWh*")</f>
        <v>314483.40809632005</v>
      </c>
      <c r="J39" s="59">
        <f>SUMIFS(RVN!F:F,RVN!A:A,B39,RVN!J:J,C39)</f>
        <v>17642.8</v>
      </c>
      <c r="K39" s="59" cm="1">
        <f t="array" ref="K39">IF(OR(C39={"Alt Rev Program","Blue Sky","Customer Bill Credits","DSM","Income Tax Defer Adj","Irr Demand Charge Accrual","Rev Adj Property Insur","Rev Adj"}),-J39,0)</f>
        <v>0</v>
      </c>
      <c r="L39" s="59">
        <f>-SUMIFS(RVN!F:F,RVN!A:A,B39,RVN!B:B,"B",RVN!J:J,C39)</f>
        <v>0</v>
      </c>
      <c r="M39" s="59">
        <v>341.5608699999998</v>
      </c>
      <c r="N39" s="59">
        <f>SUMIFS('Normalized Units'!I:I,'Normalized Units'!B:B,"Temperature $ Normalization",'Normalized Units'!D:D,B39,'Normalized Units'!C:C,C39)</f>
        <v>0</v>
      </c>
      <c r="O39" s="59">
        <f t="shared" si="8"/>
        <v>-37.265793662573245</v>
      </c>
      <c r="P39" s="59">
        <f t="shared" si="9"/>
        <v>2648.1799937880182</v>
      </c>
      <c r="Q39" s="59">
        <f t="shared" si="3"/>
        <v>676.17773373359205</v>
      </c>
      <c r="R39" s="59">
        <f>SUM('Sch.15,51,53,54'!G78:G81)</f>
        <v>21271.452803859036</v>
      </c>
      <c r="T39" s="177">
        <v>-0.35522095096431644</v>
      </c>
      <c r="U39" s="177">
        <v>17.6698856051459</v>
      </c>
      <c r="W39" s="49"/>
    </row>
    <row r="40" spans="2:23" ht="15.75" customHeight="1">
      <c r="B40" s="49" t="s">
        <v>5</v>
      </c>
      <c r="C40" s="87" t="s">
        <v>369</v>
      </c>
      <c r="D40" s="85">
        <f>SUMIFS(RVN!H:H,RVN!A:A,B40,RVN!J:J,C40)/12</f>
        <v>0</v>
      </c>
      <c r="E40" s="76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59">
        <f>SUMIFS(RVN!I:I,RVN!A:A,B40,RVN!J:J,C40)</f>
        <v>0</v>
      </c>
      <c r="G40" s="59">
        <f>SUMIFS('Normalized Units'!I:I,'Normalized Units'!B:B,"Temperature kWh Normalization",'Normalized Units'!C:C,C40,'Normalized Units'!D:D,B40)</f>
        <v>0</v>
      </c>
      <c r="H40" s="59">
        <f t="shared" si="11"/>
        <v>0</v>
      </c>
      <c r="I40" s="59">
        <f>SUMIFS('Normalized Units'!I:I,'Normalized Units'!B:B,"Normalized Billing Units",'Normalized Units'!C:C,C40,'Normalized Units'!D:D,B40,'Normalized Units'!H:H,"kWh*")</f>
        <v>0</v>
      </c>
      <c r="J40" s="59">
        <f>SUMIFS(RVN!F:F,RVN!A:A,B40,RVN!J:J,C40)</f>
        <v>0</v>
      </c>
      <c r="K40" s="59" cm="1">
        <f t="array" ref="K40">IF(OR(C40={"Alt Rev Program","Blue Sky","Customer Bill Credits","DSM","Income Tax Defer Adj","Irr Demand Charge Accrual","Rev Adj Property Insur","Rev Adj"}),-J40,0)</f>
        <v>0</v>
      </c>
      <c r="L40" s="59">
        <f>-SUMIFS(RVN!F:F,RVN!A:A,B40,RVN!B:B,"B",RVN!J:J,C40)</f>
        <v>0</v>
      </c>
      <c r="M40" s="59">
        <v>0</v>
      </c>
      <c r="N40" s="59">
        <f>SUMIFS('Normalized Units'!I:I,'Normalized Units'!B:B,"Temperature $ Normalization",'Normalized Units'!D:D,B40,'Normalized Units'!C:C,C40)</f>
        <v>0</v>
      </c>
      <c r="O40" s="59">
        <f t="shared" si="8"/>
        <v>0</v>
      </c>
      <c r="P40" s="59">
        <f t="shared" si="9"/>
        <v>0</v>
      </c>
      <c r="Q40" s="59">
        <f t="shared" si="3"/>
        <v>-31087</v>
      </c>
      <c r="R40" s="59">
        <f>'AutoPay&amp;Paperless'!F17</f>
        <v>-31087</v>
      </c>
      <c r="T40" s="177"/>
      <c r="U40" s="177"/>
      <c r="W40" s="49"/>
    </row>
    <row r="41" spans="2:23" ht="15.75" customHeight="1">
      <c r="B41" s="49" t="s">
        <v>5</v>
      </c>
      <c r="C41" s="87" t="s">
        <v>370</v>
      </c>
      <c r="D41" s="85">
        <f>SUMIFS(RVN!H:H,RVN!A:A,B41,RVN!J:J,C41)/12</f>
        <v>0</v>
      </c>
      <c r="E41" s="76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59">
        <f>SUMIFS(RVN!I:I,RVN!A:A,B41,RVN!J:J,C41)</f>
        <v>0</v>
      </c>
      <c r="G41" s="59">
        <f>SUMIFS('Normalized Units'!I:I,'Normalized Units'!B:B,"Temperature kWh Normalization",'Normalized Units'!C:C,C41,'Normalized Units'!D:D,B41)</f>
        <v>0</v>
      </c>
      <c r="H41" s="59">
        <f t="shared" si="11"/>
        <v>0</v>
      </c>
      <c r="I41" s="59">
        <f>SUMIFS('Normalized Units'!I:I,'Normalized Units'!B:B,"Normalized Billing Units",'Normalized Units'!C:C,C41,'Normalized Units'!D:D,B41,'Normalized Units'!H:H,"kWh*")</f>
        <v>0</v>
      </c>
      <c r="J41" s="59">
        <f>SUMIFS(RVN!F:F,RVN!A:A,B41,RVN!J:J,C41)</f>
        <v>0</v>
      </c>
      <c r="K41" s="59" cm="1">
        <f t="array" ref="K41">IF(OR(C41={"Alt Rev Program","Blue Sky","Customer Bill Credits","DSM","Income Tax Defer Adj","Irr Demand Charge Accrual","Rev Adj Property Insur","Rev Adj"}),-J41,0)</f>
        <v>0</v>
      </c>
      <c r="L41" s="59">
        <f>-SUMIFS(RVN!F:F,RVN!A:A,B41,RVN!B:B,"B",RVN!J:J,C41)</f>
        <v>0</v>
      </c>
      <c r="M41" s="59">
        <v>0</v>
      </c>
      <c r="N41" s="59">
        <f>SUMIFS('Normalized Units'!I:I,'Normalized Units'!B:B,"Temperature $ Normalization",'Normalized Units'!D:D,B41,'Normalized Units'!C:C,C41)</f>
        <v>0</v>
      </c>
      <c r="O41" s="59">
        <f t="shared" si="8"/>
        <v>0</v>
      </c>
      <c r="P41" s="59">
        <f t="shared" si="9"/>
        <v>0</v>
      </c>
      <c r="Q41" s="59">
        <f t="shared" si="3"/>
        <v>-28762</v>
      </c>
      <c r="R41" s="59">
        <f>'AutoPay&amp;Paperless'!F18</f>
        <v>-28762</v>
      </c>
      <c r="T41" s="177"/>
      <c r="U41" s="177"/>
      <c r="W41" s="49"/>
    </row>
    <row r="42" spans="2:23" ht="15.75" customHeight="1">
      <c r="B42" s="49" t="s">
        <v>5</v>
      </c>
      <c r="C42" s="54" t="s">
        <v>352</v>
      </c>
      <c r="D42" s="85">
        <f>SUMIFS(RVN!H:H,RVN!A:A,B42,RVN!J:J,C42)/12</f>
        <v>0</v>
      </c>
      <c r="E42" s="76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59">
        <f>SUMIFS(RVN!I:I,RVN!A:A,B42,RVN!J:J,C42)</f>
        <v>0</v>
      </c>
      <c r="G42" s="59">
        <f>SUMIFS('Normalized Units'!I:I,'Normalized Units'!B:B,"Temperature kWh Normalization",'Normalized Units'!C:C,C42,'Normalized Units'!D:D,B42)</f>
        <v>0</v>
      </c>
      <c r="H42" s="59">
        <f t="shared" si="11"/>
        <v>0</v>
      </c>
      <c r="I42" s="59">
        <f>SUMIFS('Normalized Units'!I:I,'Normalized Units'!B:B,"Normalized Billing Units",'Normalized Units'!C:C,C42,'Normalized Units'!D:D,B42,'Normalized Units'!H:H,"kWh*")</f>
        <v>0</v>
      </c>
      <c r="J42" s="59">
        <f>SUMIFS(RVN!F:F,RVN!A:A,B42,RVN!J:J,C42)</f>
        <v>473089.67000000004</v>
      </c>
      <c r="K42" s="59" cm="1">
        <f t="array" ref="K42">IF(OR(C42={"Alt Rev Program","Blue Sky","Customer Bill Credits","DSM","Income Tax Defer Adj","Irr Demand Charge Accrual","Rev Adj Property Insur","Rev Adj"}),-J42,0)</f>
        <v>0</v>
      </c>
      <c r="L42" s="59">
        <f>-SUMIFS(RVN!F:F,RVN!A:A,B42,RVN!B:B,"B",RVN!J:J,C42)</f>
        <v>0</v>
      </c>
      <c r="M42" s="59">
        <v>0</v>
      </c>
      <c r="N42" s="59">
        <f>SUMIFS('Normalized Units'!I:I,'Normalized Units'!B:B,"Temperature $ Normalization",'Normalized Units'!D:D,B42,'Normalized Units'!C:C,C42)</f>
        <v>0</v>
      </c>
      <c r="O42" s="59">
        <f t="shared" si="8"/>
        <v>0</v>
      </c>
      <c r="P42" s="59">
        <f t="shared" si="9"/>
        <v>0</v>
      </c>
      <c r="Q42" s="59">
        <f t="shared" si="3"/>
        <v>0</v>
      </c>
      <c r="R42" s="59">
        <f>J42</f>
        <v>473089.67000000004</v>
      </c>
      <c r="T42" s="177"/>
      <c r="U42" s="177"/>
      <c r="W42" s="49"/>
    </row>
    <row r="43" spans="2:23" ht="15.75" customHeight="1">
      <c r="B43" s="56" t="s">
        <v>5</v>
      </c>
      <c r="C43" s="57" t="s">
        <v>1</v>
      </c>
      <c r="D43" s="60">
        <f t="shared" ref="D43:R43" si="12">SUM(D27:D42)</f>
        <v>18966</v>
      </c>
      <c r="E43" s="60">
        <f t="shared" si="12"/>
        <v>19132.87640542489</v>
      </c>
      <c r="F43" s="60">
        <f t="shared" si="12"/>
        <v>1533042516</v>
      </c>
      <c r="G43" s="60">
        <f t="shared" si="12"/>
        <v>-1209462.6421000005</v>
      </c>
      <c r="H43" s="60">
        <f t="shared" si="12"/>
        <v>-664767.25101484451</v>
      </c>
      <c r="I43" s="60">
        <f t="shared" si="12"/>
        <v>1531168286.1068852</v>
      </c>
      <c r="J43" s="60">
        <f t="shared" si="12"/>
        <v>135263573.94</v>
      </c>
      <c r="K43" s="60">
        <f t="shared" si="12"/>
        <v>-4042550.0499999989</v>
      </c>
      <c r="L43" s="60">
        <f t="shared" si="12"/>
        <v>636768.38</v>
      </c>
      <c r="M43" s="60">
        <f t="shared" si="12"/>
        <v>-407352.82536521263</v>
      </c>
      <c r="N43" s="60">
        <f t="shared" si="12"/>
        <v>-89327.040748976389</v>
      </c>
      <c r="O43" s="60">
        <f t="shared" si="12"/>
        <v>-389332.46741225501</v>
      </c>
      <c r="P43" s="60">
        <f t="shared" si="12"/>
        <v>13346377.115560811</v>
      </c>
      <c r="Q43" s="60">
        <f t="shared" si="12"/>
        <v>970580.7106406393</v>
      </c>
      <c r="R43" s="60">
        <f t="shared" si="12"/>
        <v>145288737.76267499</v>
      </c>
      <c r="T43" s="177"/>
      <c r="U43" s="177"/>
      <c r="W43" s="49"/>
    </row>
    <row r="44" spans="2:23" ht="15.75" customHeight="1">
      <c r="B44" s="48"/>
      <c r="C44" s="79"/>
      <c r="D44" s="55"/>
      <c r="E44" s="83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T44" s="177"/>
      <c r="U44" s="177"/>
      <c r="W44" s="49"/>
    </row>
    <row r="45" spans="2:23" ht="15.75" customHeight="1">
      <c r="B45" s="49" t="s">
        <v>7</v>
      </c>
      <c r="C45" s="76" t="s">
        <v>270</v>
      </c>
      <c r="D45" s="85">
        <f>SUMIFS(RVN!H:H,RVN!A:A,B45,RVN!J:J,C45)/12</f>
        <v>0</v>
      </c>
      <c r="E45" s="76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59">
        <f>SUMIFS(RVN!I:I,RVN!A:A,B45,RVN!J:J,C45)</f>
        <v>0</v>
      </c>
      <c r="G45" s="59">
        <f>SUMIFS('Normalized Units'!I:I,'Normalized Units'!B:B,"Temperature kWh Normalization",'Normalized Units'!C:C,C45,'Normalized Units'!D:D,B45)</f>
        <v>0</v>
      </c>
      <c r="H45" s="59">
        <f>I45-G45-F45</f>
        <v>0</v>
      </c>
      <c r="I45" s="59">
        <f>SUMIFS('Normalized Units'!I:I,'Normalized Units'!B:B,"Normalized Billing Units",'Normalized Units'!C:C,C45,'Normalized Units'!D:D,B45,'Normalized Units'!H:H,"kWh*")</f>
        <v>0</v>
      </c>
      <c r="J45" s="59">
        <f>SUMIFS(RVN!F:F,RVN!A:A,B45,RVN!J:J,C45)</f>
        <v>17513.25</v>
      </c>
      <c r="K45" s="59" cm="1">
        <f t="array" ref="K45">IF(OR(C45={"Alt Rev Program","Blue Sky","Customer Bill Credits","DSM","Income Tax Defer Adj","Irr Demand Charge Accrual","Rev Adj Property Insur","Rev Adj"}),-J45,0)</f>
        <v>-17513.25</v>
      </c>
      <c r="L45" s="59">
        <f>-SUMIFS(RVN!F:F,RVN!A:A,B45,RVN!B:B,"B",RVN!J:J,C45)</f>
        <v>0</v>
      </c>
      <c r="M45" s="59">
        <v>0</v>
      </c>
      <c r="N45" s="59">
        <f>SUMIFS('Normalized Units'!I:I,'Normalized Units'!B:B,"Temperature $ Normalization",'Normalized Units'!D:D,B45,'Normalized Units'!C:C,C45)</f>
        <v>0</v>
      </c>
      <c r="O45" s="59">
        <f t="shared" ref="O45:O61" si="13">(J45+K45+L45+M45+N45)*T45/100*7/12</f>
        <v>0</v>
      </c>
      <c r="P45" s="59">
        <f t="shared" ref="P45:P61" si="14">(J45+K45+L45+M45+N45)*U45/100*10/12</f>
        <v>0</v>
      </c>
      <c r="Q45" s="59">
        <f t="shared" si="3"/>
        <v>0</v>
      </c>
      <c r="R45" s="59">
        <v>0</v>
      </c>
      <c r="T45" s="177"/>
      <c r="U45" s="177"/>
      <c r="W45" s="49"/>
    </row>
    <row r="46" spans="2:23" ht="15.75" customHeight="1">
      <c r="B46" s="49" t="s">
        <v>7</v>
      </c>
      <c r="C46" s="76" t="s">
        <v>145</v>
      </c>
      <c r="D46" s="85">
        <f>SUMIFS(RVN!H:H,RVN!A:A,B46,RVN!J:J,C46)/12</f>
        <v>0</v>
      </c>
      <c r="E46" s="76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59">
        <f>SUMIFS(RVN!I:I,RVN!A:A,B46,RVN!J:J,C46)</f>
        <v>0</v>
      </c>
      <c r="G46" s="59">
        <f>SUMIFS('Normalized Units'!I:I,'Normalized Units'!B:B,"Temperature kWh Normalization",'Normalized Units'!C:C,C46,'Normalized Units'!D:D,B46)</f>
        <v>0</v>
      </c>
      <c r="H46" s="59">
        <f t="shared" ref="H46:H57" si="15">I46-G46-F46</f>
        <v>0</v>
      </c>
      <c r="I46" s="59">
        <f>SUMIFS('Normalized Units'!I:I,'Normalized Units'!B:B,"Normalized Billing Units",'Normalized Units'!C:C,C46,'Normalized Units'!D:D,B46,'Normalized Units'!H:H,"kWh*")</f>
        <v>0</v>
      </c>
      <c r="J46" s="59">
        <f>SUMIFS(RVN!F:F,RVN!A:A,B46,RVN!J:J,C46)</f>
        <v>26.44</v>
      </c>
      <c r="K46" s="59" cm="1">
        <f t="array" ref="K46">IF(OR(C46={"Alt Rev Program","Blue Sky","Customer Bill Credits","DSM","Income Tax Defer Adj","Irr Demand Charge Accrual","Rev Adj Property Insur","Rev Adj"}),-J46,0)</f>
        <v>-26.44</v>
      </c>
      <c r="L46" s="59">
        <f>-SUMIFS(RVN!F:F,RVN!A:A,B46,RVN!B:B,"B",RVN!J:J,C46)</f>
        <v>0</v>
      </c>
      <c r="M46" s="59">
        <v>0</v>
      </c>
      <c r="N46" s="59">
        <f>SUMIFS('Normalized Units'!I:I,'Normalized Units'!B:B,"Temperature $ Normalization",'Normalized Units'!D:D,B46,'Normalized Units'!C:C,C46)</f>
        <v>0</v>
      </c>
      <c r="O46" s="59">
        <f t="shared" si="13"/>
        <v>0</v>
      </c>
      <c r="P46" s="59">
        <f t="shared" si="14"/>
        <v>0</v>
      </c>
      <c r="Q46" s="59">
        <f t="shared" si="3"/>
        <v>0</v>
      </c>
      <c r="R46" s="59">
        <v>0</v>
      </c>
      <c r="T46" s="177"/>
      <c r="U46" s="177"/>
      <c r="W46" s="49"/>
    </row>
    <row r="47" spans="2:23" ht="15.75" customHeight="1">
      <c r="B47" s="49" t="s">
        <v>7</v>
      </c>
      <c r="C47" s="76" t="s">
        <v>149</v>
      </c>
      <c r="D47" s="85">
        <f>SUMIFS(RVN!H:H,RVN!A:A,B47,RVN!J:J,C47)/12</f>
        <v>0</v>
      </c>
      <c r="E47" s="76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59">
        <f>SUMIFS(RVN!I:I,RVN!A:A,B47,RVN!J:J,C47)</f>
        <v>0</v>
      </c>
      <c r="G47" s="59">
        <f>SUMIFS('Normalized Units'!I:I,'Normalized Units'!B:B,"Temperature kWh Normalization",'Normalized Units'!C:C,C47,'Normalized Units'!D:D,B47)</f>
        <v>0</v>
      </c>
      <c r="H47" s="59">
        <f t="shared" si="15"/>
        <v>0</v>
      </c>
      <c r="I47" s="59">
        <f>SUMIFS('Normalized Units'!I:I,'Normalized Units'!B:B,"Normalized Billing Units",'Normalized Units'!C:C,C47,'Normalized Units'!D:D,B47,'Normalized Units'!H:H,"kWh*")</f>
        <v>0</v>
      </c>
      <c r="J47" s="59">
        <f>SUMIFS(RVN!F:F,RVN!A:A,B47,RVN!J:J,C47)</f>
        <v>2206257.17</v>
      </c>
      <c r="K47" s="59" cm="1">
        <f t="array" ref="K47">IF(OR(C47={"Alt Rev Program","Blue Sky","Customer Bill Credits","DSM","Income Tax Defer Adj","Irr Demand Charge Accrual","Rev Adj Property Insur","Rev Adj"}),-J47,0)</f>
        <v>-2206257.17</v>
      </c>
      <c r="L47" s="59">
        <f>-SUMIFS(RVN!F:F,RVN!A:A,B47,RVN!B:B,"B",RVN!J:J,C47)</f>
        <v>0</v>
      </c>
      <c r="M47" s="59">
        <v>0</v>
      </c>
      <c r="N47" s="59">
        <f>SUMIFS('Normalized Units'!I:I,'Normalized Units'!B:B,"Temperature $ Normalization",'Normalized Units'!D:D,B47,'Normalized Units'!C:C,C47)</f>
        <v>0</v>
      </c>
      <c r="O47" s="59">
        <f t="shared" si="13"/>
        <v>0</v>
      </c>
      <c r="P47" s="59">
        <f t="shared" si="14"/>
        <v>0</v>
      </c>
      <c r="Q47" s="59">
        <f t="shared" si="3"/>
        <v>0</v>
      </c>
      <c r="R47" s="59">
        <v>0</v>
      </c>
      <c r="T47" s="177"/>
      <c r="U47" s="177"/>
      <c r="W47" s="49"/>
    </row>
    <row r="48" spans="2:23" ht="15.75" customHeight="1">
      <c r="B48" s="49" t="s">
        <v>7</v>
      </c>
      <c r="C48" s="76" t="s">
        <v>273</v>
      </c>
      <c r="D48" s="85">
        <f>SUMIFS(RVN!H:H,RVN!A:A,B48,RVN!J:J,C48)/12</f>
        <v>0</v>
      </c>
      <c r="E48" s="76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59">
        <f>SUMIFS(RVN!I:I,RVN!A:A,B48,RVN!J:J,C48)</f>
        <v>0</v>
      </c>
      <c r="G48" s="59">
        <f>SUMIFS('Normalized Units'!I:I,'Normalized Units'!B:B,"Temperature kWh Normalization",'Normalized Units'!C:C,C48,'Normalized Units'!D:D,B48)</f>
        <v>0</v>
      </c>
      <c r="H48" s="59">
        <f t="shared" si="15"/>
        <v>0</v>
      </c>
      <c r="I48" s="59">
        <f>SUMIFS('Normalized Units'!I:I,'Normalized Units'!B:B,"Normalized Billing Units",'Normalized Units'!C:C,C48,'Normalized Units'!D:D,B48,'Normalized Units'!H:H,"kWh*")</f>
        <v>0</v>
      </c>
      <c r="J48" s="59">
        <f>SUMIFS(RVN!F:F,RVN!A:A,B48,RVN!J:J,C48)</f>
        <v>324830.88</v>
      </c>
      <c r="K48" s="59" cm="1">
        <f t="array" ref="K48">IF(OR(C48={"Alt Rev Program","Blue Sky","Customer Bill Credits","DSM","Income Tax Defer Adj","Irr Demand Charge Accrual","Rev Adj Property Insur","Rev Adj"}),-J48,0)</f>
        <v>-324830.88</v>
      </c>
      <c r="L48" s="59">
        <f>-SUMIFS(RVN!F:F,RVN!A:A,B48,RVN!B:B,"B",RVN!J:J,C48)</f>
        <v>0</v>
      </c>
      <c r="M48" s="59">
        <v>0</v>
      </c>
      <c r="N48" s="59">
        <f>SUMIFS('Normalized Units'!I:I,'Normalized Units'!B:B,"Temperature $ Normalization",'Normalized Units'!D:D,B48,'Normalized Units'!C:C,C48)</f>
        <v>0</v>
      </c>
      <c r="O48" s="59">
        <f t="shared" si="13"/>
        <v>0</v>
      </c>
      <c r="P48" s="59">
        <f t="shared" si="14"/>
        <v>0</v>
      </c>
      <c r="Q48" s="59">
        <f t="shared" si="3"/>
        <v>0</v>
      </c>
      <c r="R48" s="59">
        <v>0</v>
      </c>
      <c r="T48" s="177"/>
      <c r="U48" s="177"/>
      <c r="W48" s="49"/>
    </row>
    <row r="49" spans="2:23" ht="15.75" customHeight="1">
      <c r="B49" s="49" t="s">
        <v>7</v>
      </c>
      <c r="C49" s="76" t="s">
        <v>190</v>
      </c>
      <c r="D49" s="85">
        <f>SUMIFS(RVN!H:H,RVN!A:A,B49,RVN!J:J,C49)/12</f>
        <v>0</v>
      </c>
      <c r="E49" s="76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59">
        <f>SUMIFS(RVN!I:I,RVN!A:A,B49,RVN!J:J,C49)</f>
        <v>0</v>
      </c>
      <c r="G49" s="59">
        <f>SUMIFS('Normalized Units'!I:I,'Normalized Units'!B:B,"Temperature kWh Normalization",'Normalized Units'!C:C,C49,'Normalized Units'!D:D,B49)</f>
        <v>0</v>
      </c>
      <c r="H49" s="59">
        <f t="shared" si="15"/>
        <v>0</v>
      </c>
      <c r="I49" s="59">
        <f>SUMIFS('Normalized Units'!I:I,'Normalized Units'!B:B,"Normalized Billing Units",'Normalized Units'!C:C,C49,'Normalized Units'!D:D,B49,'Normalized Units'!H:H,"kWh*")</f>
        <v>0</v>
      </c>
      <c r="J49" s="59">
        <f>SUMIFS(RVN!F:F,RVN!A:A,B49,RVN!J:J,C49)</f>
        <v>20010.68</v>
      </c>
      <c r="K49" s="59" cm="1">
        <f t="array" ref="K49">IF(OR(C49={"Alt Rev Program","Blue Sky","Customer Bill Credits","DSM","Income Tax Defer Adj","Irr Demand Charge Accrual","Rev Adj Property Insur","Rev Adj"}),-J49,0)</f>
        <v>-20010.68</v>
      </c>
      <c r="L49" s="59">
        <f>-SUMIFS(RVN!F:F,RVN!A:A,B49,RVN!B:B,"B",RVN!J:J,C49)</f>
        <v>0</v>
      </c>
      <c r="M49" s="59">
        <v>0</v>
      </c>
      <c r="N49" s="59">
        <f>SUMIFS('Normalized Units'!I:I,'Normalized Units'!B:B,"Temperature $ Normalization",'Normalized Units'!D:D,B49,'Normalized Units'!C:C,C49)</f>
        <v>0</v>
      </c>
      <c r="O49" s="59">
        <f t="shared" si="13"/>
        <v>0</v>
      </c>
      <c r="P49" s="59">
        <f t="shared" si="14"/>
        <v>0</v>
      </c>
      <c r="Q49" s="59">
        <f t="shared" si="3"/>
        <v>0</v>
      </c>
      <c r="R49" s="59">
        <v>0</v>
      </c>
      <c r="T49" s="177"/>
      <c r="U49" s="177"/>
      <c r="W49" s="49"/>
    </row>
    <row r="50" spans="2:23" ht="15.75" customHeight="1">
      <c r="B50" s="49" t="s">
        <v>7</v>
      </c>
      <c r="C50" s="76" t="s">
        <v>173</v>
      </c>
      <c r="D50" s="85">
        <f>SUMIFS(RVN!H:H,RVN!A:A,B50,RVN!J:J,C50)/12</f>
        <v>0</v>
      </c>
      <c r="E50" s="76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59">
        <f>SUMIFS(RVN!I:I,RVN!A:A,B50,RVN!J:J,C50)</f>
        <v>0</v>
      </c>
      <c r="G50" s="59">
        <f>SUMIFS('Normalized Units'!I:I,'Normalized Units'!B:B,"Temperature kWh Normalization",'Normalized Units'!C:C,C50,'Normalized Units'!D:D,B50)</f>
        <v>0</v>
      </c>
      <c r="H50" s="59">
        <f t="shared" si="15"/>
        <v>0</v>
      </c>
      <c r="I50" s="59">
        <f>SUMIFS('Normalized Units'!I:I,'Normalized Units'!B:B,"Normalized Billing Units",'Normalized Units'!C:C,C50,'Normalized Units'!D:D,B50,'Normalized Units'!H:H,"kWh*")</f>
        <v>0</v>
      </c>
      <c r="J50" s="59">
        <f>SUMIFS(RVN!F:F,RVN!A:A,B50,RVN!J:J,C50)</f>
        <v>629694.75</v>
      </c>
      <c r="K50" s="59" cm="1">
        <f t="array" ref="K50">IF(OR(C50={"Alt Rev Program","Blue Sky","Customer Bill Credits","DSM","Income Tax Defer Adj","Irr Demand Charge Accrual","Rev Adj Property Insur","Rev Adj"}),-J50,0)</f>
        <v>-629694.75</v>
      </c>
      <c r="L50" s="59">
        <f>-SUMIFS(RVN!F:F,RVN!A:A,B50,RVN!B:B,"B",RVN!J:J,C50)</f>
        <v>0</v>
      </c>
      <c r="M50" s="59">
        <v>0</v>
      </c>
      <c r="N50" s="59">
        <f>SUMIFS('Normalized Units'!I:I,'Normalized Units'!B:B,"Temperature $ Normalization",'Normalized Units'!D:D,B50,'Normalized Units'!C:C,C50)</f>
        <v>0</v>
      </c>
      <c r="O50" s="59">
        <f t="shared" si="13"/>
        <v>0</v>
      </c>
      <c r="P50" s="59">
        <f t="shared" si="14"/>
        <v>0</v>
      </c>
      <c r="Q50" s="59">
        <f t="shared" si="3"/>
        <v>0</v>
      </c>
      <c r="R50" s="59">
        <v>0</v>
      </c>
      <c r="T50" s="177"/>
      <c r="U50" s="177"/>
      <c r="W50" s="49"/>
    </row>
    <row r="51" spans="2:23" ht="15.75" customHeight="1">
      <c r="B51" s="49" t="s">
        <v>7</v>
      </c>
      <c r="C51" s="76" t="s">
        <v>272</v>
      </c>
      <c r="D51" s="85">
        <f>SUMIFS(RVN!H:H,RVN!A:A,B51,RVN!J:J,C51)/12</f>
        <v>0</v>
      </c>
      <c r="E51" s="76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59">
        <f>SUMIFS(RVN!I:I,RVN!A:A,B51,RVN!J:J,C51)</f>
        <v>0</v>
      </c>
      <c r="G51" s="59">
        <f>SUMIFS('Normalized Units'!I:I,'Normalized Units'!B:B,"Temperature kWh Normalization",'Normalized Units'!C:C,C51,'Normalized Units'!D:D,B51)</f>
        <v>0</v>
      </c>
      <c r="H51" s="59">
        <f t="shared" si="15"/>
        <v>0</v>
      </c>
      <c r="I51" s="59">
        <f>SUMIFS('Normalized Units'!I:I,'Normalized Units'!B:B,"Normalized Billing Units",'Normalized Units'!C:C,C51,'Normalized Units'!D:D,B51,'Normalized Units'!H:H,"kWh*")</f>
        <v>0</v>
      </c>
      <c r="J51" s="59">
        <f>SUMIFS(RVN!F:F,RVN!A:A,B51,RVN!J:J,C51)</f>
        <v>-477.25</v>
      </c>
      <c r="K51" s="59" cm="1">
        <f t="array" ref="K51">IF(OR(C51={"Alt Rev Program","Blue Sky","Customer Bill Credits","DSM","Income Tax Defer Adj","Irr Demand Charge Accrual","Rev Adj Property Insur","Rev Adj"}),-J51,0)</f>
        <v>0</v>
      </c>
      <c r="L51" s="59">
        <f>-SUMIFS(RVN!F:F,RVN!A:A,B51,RVN!B:B,"B",RVN!J:J,C51)</f>
        <v>477.25</v>
      </c>
      <c r="M51" s="59">
        <v>0</v>
      </c>
      <c r="N51" s="59">
        <f>SUMIFS('Normalized Units'!I:I,'Normalized Units'!B:B,"Temperature $ Normalization",'Normalized Units'!D:D,B51,'Normalized Units'!C:C,C51)</f>
        <v>0</v>
      </c>
      <c r="O51" s="59">
        <f t="shared" si="13"/>
        <v>0</v>
      </c>
      <c r="P51" s="59">
        <f t="shared" si="14"/>
        <v>0</v>
      </c>
      <c r="Q51" s="59">
        <f t="shared" si="3"/>
        <v>0</v>
      </c>
      <c r="R51" s="59">
        <v>0</v>
      </c>
      <c r="T51" s="177"/>
      <c r="U51" s="177"/>
      <c r="W51" s="49"/>
    </row>
    <row r="52" spans="2:23" ht="15.75" customHeight="1">
      <c r="B52" s="49" t="s">
        <v>7</v>
      </c>
      <c r="C52" s="85" t="s">
        <v>168</v>
      </c>
      <c r="D52" s="85">
        <f>SUMIFS(RVN!H:H,RVN!A:A,B52,RVN!J:J,C52)/12</f>
        <v>0</v>
      </c>
      <c r="E52" s="76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59">
        <f>SUMIFS(RVN!I:I,RVN!A:A,B52,RVN!J:J,C52)</f>
        <v>6151000</v>
      </c>
      <c r="G52" s="59">
        <f>SUMIFS('Normalized Units'!I:I,'Normalized Units'!B:B,"Temperature kWh Normalization",'Normalized Units'!C:C,C52,'Normalized Units'!D:D,B52)</f>
        <v>0</v>
      </c>
      <c r="H52" s="59">
        <f t="shared" si="15"/>
        <v>-6151000</v>
      </c>
      <c r="I52" s="59">
        <f>SUMIFS('Normalized Units'!I:I,'Normalized Units'!B:B,"Normalized Billing Units",'Normalized Units'!C:C,C52,'Normalized Units'!D:D,B52,'Normalized Units'!H:H,"kWh*")</f>
        <v>0</v>
      </c>
      <c r="J52" s="59">
        <f>SUMIFS(RVN!F:F,RVN!A:A,B52,RVN!J:J,C52)</f>
        <v>1243000</v>
      </c>
      <c r="K52" s="59" cm="1">
        <f t="array" ref="K52">IF(OR(C52={"Alt Rev Program","Blue Sky","Customer Bill Credits","DSM","Income Tax Defer Adj","Irr Demand Charge Accrual","Rev Adj Property Insur","Rev Adj"}),-J52,0)</f>
        <v>0</v>
      </c>
      <c r="L52" s="59">
        <f>-SUMIFS(RVN!F:F,RVN!A:A,B52,RVN!B:B,"B",RVN!J:J,C52)</f>
        <v>0</v>
      </c>
      <c r="M52" s="59">
        <v>0</v>
      </c>
      <c r="N52" s="59">
        <f>SUMIFS('Normalized Units'!I:I,'Normalized Units'!B:B,"Temperature $ Normalization",'Normalized Units'!D:D,B52,'Normalized Units'!C:C,C52)</f>
        <v>0</v>
      </c>
      <c r="O52" s="59">
        <f t="shared" si="13"/>
        <v>0</v>
      </c>
      <c r="P52" s="59">
        <f t="shared" si="14"/>
        <v>0</v>
      </c>
      <c r="Q52" s="59">
        <f t="shared" si="3"/>
        <v>-1243000</v>
      </c>
      <c r="R52" s="59">
        <v>0</v>
      </c>
      <c r="T52" s="177"/>
      <c r="U52" s="177"/>
      <c r="W52" s="49"/>
    </row>
    <row r="53" spans="2:23" ht="15.75" customHeight="1">
      <c r="B53" s="49" t="s">
        <v>7</v>
      </c>
      <c r="C53" s="78" t="s">
        <v>169</v>
      </c>
      <c r="D53" s="85">
        <f>SUMIFS(RVN!H:H,RVN!A:A,B53,RVN!J:J,C53)/12</f>
        <v>50.166666666666664</v>
      </c>
      <c r="E53" s="76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59">
        <f>SUMIFS(RVN!I:I,RVN!A:A,B53,RVN!J:J,C53)</f>
        <v>122247</v>
      </c>
      <c r="G53" s="59">
        <f>SUMIFS('Normalized Units'!I:I,'Normalized Units'!B:B,"Temperature kWh Normalization",'Normalized Units'!C:C,C53,'Normalized Units'!D:D,B53)</f>
        <v>0</v>
      </c>
      <c r="H53" s="59">
        <f t="shared" si="15"/>
        <v>540.4500167688966</v>
      </c>
      <c r="I53" s="59">
        <f>SUMIFS('Normalized Units'!I:I,'Normalized Units'!B:B,"Normalized Billing Units",'Normalized Units'!C:C,C53,'Normalized Units'!D:D,B53,'Normalized Units'!H:H,"kWh*")</f>
        <v>122787.4500167689</v>
      </c>
      <c r="J53" s="59">
        <f>SUMIFS(RVN!F:F,RVN!A:A,B53,RVN!J:J,C53)</f>
        <v>8633.64</v>
      </c>
      <c r="K53" s="59" cm="1">
        <f t="array" ref="K53">IF(OR(C53={"Alt Rev Program","Blue Sky","Customer Bill Credits","DSM","Income Tax Defer Adj","Irr Demand Charge Accrual","Rev Adj Property Insur","Rev Adj"}),-J53,0)</f>
        <v>0</v>
      </c>
      <c r="L53" s="59">
        <f>-SUMIFS(RVN!F:F,RVN!A:A,B53,RVN!B:B,"B",RVN!J:J,C53)</f>
        <v>62.64</v>
      </c>
      <c r="M53" s="59">
        <v>44.754958124539293</v>
      </c>
      <c r="N53" s="59">
        <f>SUMIFS('Normalized Units'!I:I,'Normalized Units'!B:B,"Temperature $ Normalization",'Normalized Units'!D:D,B53,'Normalized Units'!C:C,C53)</f>
        <v>0</v>
      </c>
      <c r="O53" s="59">
        <f t="shared" si="13"/>
        <v>-13.891859244135929</v>
      </c>
      <c r="P53" s="59">
        <f t="shared" si="14"/>
        <v>840.10510612714154</v>
      </c>
      <c r="Q53" s="59">
        <f t="shared" si="3"/>
        <v>353.57499669869196</v>
      </c>
      <c r="R53" s="59">
        <f>SUM('Sch.15,51,53,54'!G59:G61,'Sch.15,51,53,54'!G62)</f>
        <v>9920.8232017062364</v>
      </c>
      <c r="T53" s="178">
        <f>T18</f>
        <v>-0.27244618012830585</v>
      </c>
      <c r="U53" s="178">
        <f>U18</f>
        <v>11.533258157439882</v>
      </c>
      <c r="W53" s="49"/>
    </row>
    <row r="54" spans="2:23" ht="15.75" customHeight="1">
      <c r="B54" s="49" t="s">
        <v>7</v>
      </c>
      <c r="C54" s="78" t="s">
        <v>229</v>
      </c>
      <c r="D54" s="85">
        <f>SUMIFS(RVN!H:H,RVN!A:A,B54,RVN!J:J,C54)/12</f>
        <v>370.58333333333331</v>
      </c>
      <c r="E54" s="76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59">
        <f>SUMIFS(RVN!I:I,RVN!A:A,B54,RVN!J:J,C54)</f>
        <v>15038716</v>
      </c>
      <c r="G54" s="59">
        <f>SUMIFS('Normalized Units'!I:I,'Normalized Units'!B:B,"Temperature kWh Normalization",'Normalized Units'!C:C,C54,'Normalized Units'!D:D,B54)</f>
        <v>0</v>
      </c>
      <c r="H54" s="59">
        <f t="shared" si="15"/>
        <v>173641.59661523998</v>
      </c>
      <c r="I54" s="59">
        <f>SUMIFS('Normalized Units'!I:I,'Normalized Units'!B:B,"Normalized Billing Units",'Normalized Units'!C:C,C54,'Normalized Units'!D:D,B54,'Normalized Units'!H:H,"kWh*")</f>
        <v>15212357.59661524</v>
      </c>
      <c r="J54" s="59">
        <f>SUMIFS(RVN!F:F,RVN!A:A,B54,RVN!J:J,C54)</f>
        <v>1468678.6199999999</v>
      </c>
      <c r="K54" s="59" cm="1">
        <f t="array" ref="K54">IF(OR(C54={"Alt Rev Program","Blue Sky","Customer Bill Credits","DSM","Income Tax Defer Adj","Irr Demand Charge Accrual","Rev Adj Property Insur","Rev Adj"}),-J54,0)</f>
        <v>0</v>
      </c>
      <c r="L54" s="59">
        <f>-SUMIFS(RVN!F:F,RVN!A:A,B54,RVN!B:B,"B",RVN!J:J,C54)</f>
        <v>8414.2799999999988</v>
      </c>
      <c r="M54" s="59">
        <v>-21125.865000000005</v>
      </c>
      <c r="N54" s="59">
        <f>SUMIFS('Normalized Units'!I:I,'Normalized Units'!B:B,"Temperature $ Normalization",'Normalized Units'!D:D,B54,'Normalized Units'!C:C,C54)</f>
        <v>0</v>
      </c>
      <c r="O54" s="59">
        <f t="shared" si="13"/>
        <v>-3999.2353530243704</v>
      </c>
      <c r="P54" s="59">
        <f t="shared" si="14"/>
        <v>134194.76167361406</v>
      </c>
      <c r="Q54" s="59">
        <f t="shared" si="3"/>
        <v>45932.552945439063</v>
      </c>
      <c r="R54" s="59">
        <f>SUM(Sch.24!S90:S102,Sch.24!S103)</f>
        <v>1632095.1142660286</v>
      </c>
      <c r="T54" s="178">
        <f>T20</f>
        <v>-0.47087824579462839</v>
      </c>
      <c r="U54" s="178">
        <f>U20</f>
        <v>11.060258243301291</v>
      </c>
      <c r="W54" s="49"/>
    </row>
    <row r="55" spans="2:23" ht="15.75" customHeight="1">
      <c r="B55" s="49" t="s">
        <v>7</v>
      </c>
      <c r="C55" s="78" t="s">
        <v>279</v>
      </c>
      <c r="D55" s="85">
        <f>SUMIFS(RVN!H:H,RVN!A:A,B55,RVN!J:J,C55)/12</f>
        <v>96.083333333333329</v>
      </c>
      <c r="E55" s="76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59">
        <f>SUMIFS(RVN!I:I,RVN!A:A,B55,RVN!J:J,C55)</f>
        <v>87611331</v>
      </c>
      <c r="G55" s="59">
        <f>SUMIFS('Normalized Units'!I:I,'Normalized Units'!B:B,"Temperature kWh Normalization",'Normalized Units'!C:C,C55,'Normalized Units'!D:D,B55)</f>
        <v>0</v>
      </c>
      <c r="H55" s="59">
        <f t="shared" si="15"/>
        <v>454418.44772994518</v>
      </c>
      <c r="I55" s="59">
        <f>SUMIFS('Normalized Units'!I:I,'Normalized Units'!B:B,"Normalized Billing Units",'Normalized Units'!C:C,C55,'Normalized Units'!D:D,B55,'Normalized Units'!H:H,"kWh*")</f>
        <v>88065749.447729945</v>
      </c>
      <c r="J55" s="59">
        <f>SUMIFS(RVN!F:F,RVN!A:A,B55,RVN!J:J,C55)</f>
        <v>7426183.9900000002</v>
      </c>
      <c r="K55" s="59" cm="1">
        <f t="array" ref="K55">IF(OR(C55={"Alt Rev Program","Blue Sky","Customer Bill Credits","DSM","Income Tax Defer Adj","Irr Demand Charge Accrual","Rev Adj Property Insur","Rev Adj"}),-J55,0)</f>
        <v>0</v>
      </c>
      <c r="L55" s="59">
        <f>-SUMIFS(RVN!F:F,RVN!A:A,B55,RVN!B:B,"B",RVN!J:J,C55)</f>
        <v>8097.89</v>
      </c>
      <c r="M55" s="59">
        <v>28906.72317000007</v>
      </c>
      <c r="N55" s="59">
        <f>SUMIFS('Normalized Units'!I:I,'Normalized Units'!B:B,"Temperature $ Normalization",'Normalized Units'!D:D,B55,'Normalized Units'!C:C,C55)</f>
        <v>0</v>
      </c>
      <c r="O55" s="59">
        <f t="shared" si="13"/>
        <v>-23617.10182600014</v>
      </c>
      <c r="P55" s="59">
        <f t="shared" si="14"/>
        <v>811062.80119957775</v>
      </c>
      <c r="Q55" s="59">
        <f t="shared" si="3"/>
        <v>140475.57102261193</v>
      </c>
      <c r="R55" s="59">
        <f>SUM('Sch.29,36'!S77:S88,'Sch.29,36'!S89)</f>
        <v>8391109.8735661898</v>
      </c>
      <c r="T55" s="178">
        <f>T21</f>
        <v>-0.54248207335865006</v>
      </c>
      <c r="U55" s="178">
        <f>U21</f>
        <v>13.041012537537819</v>
      </c>
      <c r="W55" s="49"/>
    </row>
    <row r="56" spans="2:23" ht="15.75" customHeight="1">
      <c r="B56" s="49" t="s">
        <v>7</v>
      </c>
      <c r="C56" s="78" t="s">
        <v>172</v>
      </c>
      <c r="D56" s="85">
        <f>SUMIFS(RVN!H:H,RVN!A:A,B56,RVN!J:J,C56)/12</f>
        <v>29</v>
      </c>
      <c r="E56" s="76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59">
        <f>SUMIFS(RVN!I:I,RVN!A:A,B56,RVN!J:J,C56)</f>
        <v>196837800</v>
      </c>
      <c r="G56" s="59">
        <f>SUMIFS('Normalized Units'!I:I,'Normalized Units'!B:B,"Temperature kWh Normalization",'Normalized Units'!C:C,C56,'Normalized Units'!D:D,B56)</f>
        <v>0</v>
      </c>
      <c r="H56" s="59">
        <f t="shared" si="15"/>
        <v>3837597.2055466175</v>
      </c>
      <c r="I56" s="59">
        <f>SUMIFS('Normalized Units'!I:I,'Normalized Units'!B:B,"Normalized Billing Units",'Normalized Units'!C:C,C56,'Normalized Units'!D:D,B56,'Normalized Units'!H:H,"kWh*")</f>
        <v>200675397.20554662</v>
      </c>
      <c r="J56" s="59">
        <f>SUMIFS(RVN!F:F,RVN!A:A,B56,RVN!J:J,C56)</f>
        <v>14420276</v>
      </c>
      <c r="K56" s="59" cm="1">
        <f t="array" ref="K56">IF(OR(C56={"Alt Rev Program","Blue Sky","Customer Bill Credits","DSM","Income Tax Defer Adj","Irr Demand Charge Accrual","Rev Adj Property Insur","Rev Adj"}),-J56,0)</f>
        <v>0</v>
      </c>
      <c r="L56" s="59">
        <f>-SUMIFS(RVN!F:F,RVN!A:A,B56,RVN!B:B,"B",RVN!J:J,C56)</f>
        <v>0</v>
      </c>
      <c r="M56" s="59">
        <v>1181558.06504</v>
      </c>
      <c r="N56" s="59">
        <f>SUMIFS('Normalized Units'!I:I,'Normalized Units'!B:B,"Temperature $ Normalization",'Normalized Units'!D:D,B56,'Normalized Units'!C:C,C56)</f>
        <v>0</v>
      </c>
      <c r="O56" s="59">
        <f t="shared" si="13"/>
        <v>-51674.808992793849</v>
      </c>
      <c r="P56" s="59">
        <f t="shared" si="14"/>
        <v>1859599.0170968184</v>
      </c>
      <c r="Q56" s="59">
        <f t="shared" si="3"/>
        <v>-684919.80185682815</v>
      </c>
      <c r="R56" s="59">
        <f>SUM(Sch.48T!T67:T80,Sch.48T!T81)</f>
        <v>16724838.471287197</v>
      </c>
      <c r="T56" s="178">
        <f>T38</f>
        <v>-0.56778828998885622</v>
      </c>
      <c r="U56" s="178">
        <f>U38</f>
        <v>14.302926253500445</v>
      </c>
      <c r="W56" s="49"/>
    </row>
    <row r="57" spans="2:23" ht="15.75" customHeight="1">
      <c r="B57" s="49" t="s">
        <v>7</v>
      </c>
      <c r="C57" s="78" t="s">
        <v>287</v>
      </c>
      <c r="D57" s="85">
        <f>SUMIFS(RVN!H:H,RVN!A:A,B57,RVN!J:J,C57)/12</f>
        <v>1</v>
      </c>
      <c r="E57" s="76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59">
        <f>SUMIFS(RVN!I:I,RVN!A:A,B57,RVN!J:J,C57)</f>
        <v>540230400</v>
      </c>
      <c r="G57" s="59">
        <f>SUMIFS('Normalized Units'!I:I,'Normalized Units'!B:B,"Temperature kWh Normalization",'Normalized Units'!C:C,C57,'Normalized Units'!D:D,B57)</f>
        <v>0</v>
      </c>
      <c r="H57" s="59">
        <f t="shared" si="15"/>
        <v>3938165.2885745764</v>
      </c>
      <c r="I57" s="59">
        <f>SUMIFS('Normalized Units'!I:I,'Normalized Units'!B:B,"Normalized Billing Units",'Normalized Units'!C:C,C57,'Normalized Units'!D:D,B57,'Normalized Units'!H:H,"kWh*")</f>
        <v>544168565.28857458</v>
      </c>
      <c r="J57" s="59">
        <f>SUMIFS(RVN!F:F,RVN!A:A,B57,RVN!J:J,C57)</f>
        <v>32758440.510000002</v>
      </c>
      <c r="K57" s="59" cm="1">
        <f t="array" ref="K57">IF(OR(C57={"Alt Rev Program","Blue Sky","Customer Bill Credits","DSM","Income Tax Defer Adj","Irr Demand Charge Accrual","Rev Adj Property Insur","Rev Adj"}),-J57,0)</f>
        <v>0</v>
      </c>
      <c r="L57" s="59">
        <f>-SUMIFS(RVN!F:F,RVN!A:A,B57,RVN!B:B,"B",RVN!J:J,C57)</f>
        <v>0</v>
      </c>
      <c r="M57" s="59">
        <v>-1005576.192</v>
      </c>
      <c r="N57" s="59">
        <f>SUMIFS('Normalized Units'!I:I,'Normalized Units'!B:B,"Temperature $ Normalization",'Normalized Units'!D:D,B57,'Normalized Units'!C:C,C57)</f>
        <v>0</v>
      </c>
      <c r="O57" s="59">
        <f t="shared" si="13"/>
        <v>-107795.47164483044</v>
      </c>
      <c r="P57" s="59">
        <f t="shared" si="14"/>
        <v>4655693.2855571164</v>
      </c>
      <c r="Q57" s="59">
        <f t="shared" si="3"/>
        <v>2370543.1930042766</v>
      </c>
      <c r="R57" s="59">
        <f>SUM('Sch.48T-DF'!O17:O23)</f>
        <v>38671305.324916564</v>
      </c>
      <c r="T57" s="177">
        <v>-0.58197029173418213</v>
      </c>
      <c r="U57" s="177">
        <v>17.594733774935342</v>
      </c>
      <c r="W57" s="49"/>
    </row>
    <row r="58" spans="2:23" ht="15.75" customHeight="1">
      <c r="B58" s="49" t="s">
        <v>7</v>
      </c>
      <c r="C58" s="78" t="s">
        <v>252</v>
      </c>
      <c r="D58" s="85">
        <f>SUMIFS(RVN!H:H,RVN!A:A,B58,RVN!J:J,C58)/12</f>
        <v>1</v>
      </c>
      <c r="E58" s="76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59">
        <f>SUMIFS(RVN!I:I,RVN!A:A,B58,RVN!J:J,C58)</f>
        <v>1710000</v>
      </c>
      <c r="G58" s="59">
        <f>SUMIFS('Normalized Units'!I:I,'Normalized Units'!B:B,"Temperature kWh Normalization",'Normalized Units'!C:C,C58,'Normalized Units'!D:D,B58)</f>
        <v>0</v>
      </c>
      <c r="H58" s="59">
        <f>I58-G58-F58</f>
        <v>-20775.0250976854</v>
      </c>
      <c r="I58" s="59">
        <f>SUMIFS('Normalized Units'!I:I,'Normalized Units'!B:B,"Normalized Billing Units",'Normalized Units'!C:C,C58,'Normalized Units'!D:D,B58,'Normalized Units'!H:H,"kWh*")</f>
        <v>1689224.9749023146</v>
      </c>
      <c r="J58" s="59">
        <f>SUMIFS(RVN!F:F,RVN!A:A,B58,RVN!J:J,C58)</f>
        <v>312626.78000000003</v>
      </c>
      <c r="K58" s="59" cm="1">
        <f t="array" ref="K58">IF(OR(C58={"Alt Rev Program","Blue Sky","Customer Bill Credits","DSM","Income Tax Defer Adj","Irr Demand Charge Accrual","Rev Adj Property Insur","Rev Adj"}),-J58,0)</f>
        <v>0</v>
      </c>
      <c r="L58" s="59">
        <f>-SUMIFS(RVN!F:F,RVN!A:A,B58,RVN!B:B,"B",RVN!J:J,C58)</f>
        <v>0</v>
      </c>
      <c r="M58" s="59">
        <v>408.599999999999</v>
      </c>
      <c r="N58" s="59">
        <f>SUMIFS('Normalized Units'!I:I,'Normalized Units'!B:B,"Temperature $ Normalization",'Normalized Units'!D:D,B58,'Normalized Units'!C:C,C58)</f>
        <v>0</v>
      </c>
      <c r="O58" s="59">
        <f>(J58+K58+L58+M58+N58)*T58/100*7/12</f>
        <v>-1930.9752121659758</v>
      </c>
      <c r="P58" s="59">
        <f>(J58+K58+L58+M58+N58)*U58/100*10/12</f>
        <v>18310.150675638772</v>
      </c>
      <c r="Q58" s="59">
        <f>R58-J58-K58-L58-M58-N58-O58-P58</f>
        <v>2425.5326434356066</v>
      </c>
      <c r="R58" s="59">
        <f>SUM(Sch.47T!F17:F23)</f>
        <v>331840.08810690843</v>
      </c>
      <c r="T58" s="177">
        <v>-1.0574661627244686</v>
      </c>
      <c r="U58" s="177">
        <v>7.0190726718387317</v>
      </c>
      <c r="W58" s="49"/>
    </row>
    <row r="59" spans="2:23" ht="15.75" customHeight="1">
      <c r="B59" s="49" t="s">
        <v>7</v>
      </c>
      <c r="C59" s="87" t="s">
        <v>369</v>
      </c>
      <c r="D59" s="85">
        <f>SUMIFS(RVN!H:H,RVN!A:A,B59,RVN!J:J,C59)/12</f>
        <v>0</v>
      </c>
      <c r="E59" s="76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59">
        <f>SUMIFS(RVN!I:I,RVN!A:A,B59,RVN!J:J,C59)</f>
        <v>0</v>
      </c>
      <c r="G59" s="59">
        <f>SUMIFS('Normalized Units'!I:I,'Normalized Units'!B:B,"Temperature kWh Normalization",'Normalized Units'!C:C,C59,'Normalized Units'!D:D,B59)</f>
        <v>0</v>
      </c>
      <c r="H59" s="59">
        <f t="shared" ref="H59:H61" si="16">I59-G59-F59</f>
        <v>0</v>
      </c>
      <c r="I59" s="59">
        <f>SUMIFS('Normalized Units'!I:I,'Normalized Units'!B:B,"Normalized Billing Units",'Normalized Units'!C:C,C59,'Normalized Units'!D:D,B59,'Normalized Units'!H:H,"kWh*")</f>
        <v>0</v>
      </c>
      <c r="J59" s="59">
        <f>SUMIFS(RVN!F:F,RVN!A:A,B59,RVN!J:J,C59)</f>
        <v>0</v>
      </c>
      <c r="K59" s="59" cm="1">
        <f t="array" ref="K59">IF(OR(C59={"Alt Rev Program","Blue Sky","Customer Bill Credits","DSM","Income Tax Defer Adj","Irr Demand Charge Accrual","Rev Adj Property Insur","Rev Adj"}),-J59,0)</f>
        <v>0</v>
      </c>
      <c r="L59" s="59">
        <f>-SUMIFS(RVN!F:F,RVN!A:A,B59,RVN!B:B,"B",RVN!J:J,C59)</f>
        <v>0</v>
      </c>
      <c r="M59" s="59">
        <v>0</v>
      </c>
      <c r="N59" s="59">
        <f>SUMIFS('Normalized Units'!I:I,'Normalized Units'!B:B,"Temperature $ Normalization",'Normalized Units'!D:D,B59,'Normalized Units'!C:C,C59)</f>
        <v>0</v>
      </c>
      <c r="O59" s="59">
        <f t="shared" si="13"/>
        <v>0</v>
      </c>
      <c r="P59" s="59">
        <f t="shared" si="14"/>
        <v>0</v>
      </c>
      <c r="Q59" s="59">
        <f t="shared" si="3"/>
        <v>-426</v>
      </c>
      <c r="R59" s="59">
        <f>'AutoPay&amp;Paperless'!F19</f>
        <v>-426</v>
      </c>
      <c r="T59" s="177"/>
      <c r="U59" s="177"/>
      <c r="W59" s="49"/>
    </row>
    <row r="60" spans="2:23" ht="15.75" customHeight="1">
      <c r="B60" s="49" t="s">
        <v>7</v>
      </c>
      <c r="C60" s="87" t="s">
        <v>370</v>
      </c>
      <c r="D60" s="85">
        <f>SUMIFS(RVN!H:H,RVN!A:A,B60,RVN!J:J,C60)/12</f>
        <v>0</v>
      </c>
      <c r="E60" s="76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59">
        <f>SUMIFS(RVN!I:I,RVN!A:A,B60,RVN!J:J,C60)</f>
        <v>0</v>
      </c>
      <c r="G60" s="59">
        <f>SUMIFS('Normalized Units'!I:I,'Normalized Units'!B:B,"Temperature kWh Normalization",'Normalized Units'!C:C,C60,'Normalized Units'!D:D,B60)</f>
        <v>0</v>
      </c>
      <c r="H60" s="59">
        <f t="shared" si="16"/>
        <v>0</v>
      </c>
      <c r="I60" s="59">
        <f>SUMIFS('Normalized Units'!I:I,'Normalized Units'!B:B,"Normalized Billing Units",'Normalized Units'!C:C,C60,'Normalized Units'!D:D,B60,'Normalized Units'!H:H,"kWh*")</f>
        <v>0</v>
      </c>
      <c r="J60" s="59">
        <f>SUMIFS(RVN!F:F,RVN!A:A,B60,RVN!J:J,C60)</f>
        <v>0</v>
      </c>
      <c r="K60" s="59" cm="1">
        <f t="array" ref="K60">IF(OR(C60={"Alt Rev Program","Blue Sky","Customer Bill Credits","DSM","Income Tax Defer Adj","Irr Demand Charge Accrual","Rev Adj Property Insur","Rev Adj"}),-J60,0)</f>
        <v>0</v>
      </c>
      <c r="L60" s="59">
        <f>-SUMIFS(RVN!F:F,RVN!A:A,B60,RVN!B:B,"B",RVN!J:J,C60)</f>
        <v>0</v>
      </c>
      <c r="M60" s="59">
        <v>0</v>
      </c>
      <c r="N60" s="59">
        <f>SUMIFS('Normalized Units'!I:I,'Normalized Units'!B:B,"Temperature $ Normalization",'Normalized Units'!D:D,B60,'Normalized Units'!C:C,C60)</f>
        <v>0</v>
      </c>
      <c r="O60" s="59">
        <f t="shared" si="13"/>
        <v>0</v>
      </c>
      <c r="P60" s="59">
        <f t="shared" si="14"/>
        <v>0</v>
      </c>
      <c r="Q60" s="59">
        <f t="shared" si="3"/>
        <v>-748</v>
      </c>
      <c r="R60" s="59">
        <f>'AutoPay&amp;Paperless'!F20</f>
        <v>-748</v>
      </c>
      <c r="T60" s="177"/>
      <c r="U60" s="177"/>
      <c r="W60" s="49"/>
    </row>
    <row r="61" spans="2:23" ht="15.75" customHeight="1">
      <c r="B61" s="49" t="s">
        <v>7</v>
      </c>
      <c r="C61" s="54" t="s">
        <v>352</v>
      </c>
      <c r="D61" s="85">
        <f>SUMIFS(RVN!H:H,RVN!A:A,B61,RVN!J:J,C61)/12</f>
        <v>0</v>
      </c>
      <c r="E61" s="76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59">
        <f>SUMIFS(RVN!I:I,RVN!A:A,B61,RVN!J:J,C61)</f>
        <v>0</v>
      </c>
      <c r="G61" s="59">
        <f>SUMIFS('Normalized Units'!I:I,'Normalized Units'!B:B,"Temperature kWh Normalization",'Normalized Units'!C:C,C61,'Normalized Units'!D:D,B61)</f>
        <v>0</v>
      </c>
      <c r="H61" s="59">
        <f t="shared" si="16"/>
        <v>0</v>
      </c>
      <c r="I61" s="59">
        <f>SUMIFS('Normalized Units'!I:I,'Normalized Units'!B:B,"Normalized Billing Units",'Normalized Units'!C:C,C61,'Normalized Units'!D:D,B61,'Normalized Units'!H:H,"kWh*")</f>
        <v>0</v>
      </c>
      <c r="J61" s="59">
        <f>SUMIFS(RVN!F:F,RVN!A:A,B61,RVN!J:J,C61)</f>
        <v>11579.08</v>
      </c>
      <c r="K61" s="59" cm="1">
        <f t="array" ref="K61">IF(OR(C61={"Alt Rev Program","Blue Sky","Customer Bill Credits","DSM","Income Tax Defer Adj","Irr Demand Charge Accrual","Rev Adj Property Insur","Rev Adj"}),-J61,0)</f>
        <v>0</v>
      </c>
      <c r="L61" s="59">
        <f>-SUMIFS(RVN!F:F,RVN!A:A,B61,RVN!B:B,"B",RVN!J:J,C61)</f>
        <v>0</v>
      </c>
      <c r="M61" s="59">
        <v>0</v>
      </c>
      <c r="N61" s="59">
        <f>SUMIFS('Normalized Units'!I:I,'Normalized Units'!B:B,"Temperature $ Normalization",'Normalized Units'!D:D,B61,'Normalized Units'!C:C,C61)</f>
        <v>0</v>
      </c>
      <c r="O61" s="59">
        <f t="shared" si="13"/>
        <v>0</v>
      </c>
      <c r="P61" s="59">
        <f t="shared" si="14"/>
        <v>0</v>
      </c>
      <c r="Q61" s="59">
        <f t="shared" si="3"/>
        <v>0</v>
      </c>
      <c r="R61" s="59">
        <f>J61</f>
        <v>11579.08</v>
      </c>
      <c r="T61" s="177"/>
      <c r="U61" s="177"/>
      <c r="W61" s="49"/>
    </row>
    <row r="62" spans="2:23" ht="15.75" customHeight="1">
      <c r="B62" s="56" t="s">
        <v>7</v>
      </c>
      <c r="C62" s="57" t="s">
        <v>1</v>
      </c>
      <c r="D62" s="60">
        <f t="shared" ref="D62:R62" si="17">SUM(D45:D61)</f>
        <v>547.83333333333337</v>
      </c>
      <c r="E62" s="60">
        <f t="shared" si="17"/>
        <v>584.58055555555563</v>
      </c>
      <c r="F62" s="60">
        <f t="shared" si="17"/>
        <v>847701494</v>
      </c>
      <c r="G62" s="60">
        <f t="shared" si="17"/>
        <v>0</v>
      </c>
      <c r="H62" s="60">
        <f t="shared" si="17"/>
        <v>2232587.9633854623</v>
      </c>
      <c r="I62" s="60">
        <f t="shared" si="17"/>
        <v>849934081.96338546</v>
      </c>
      <c r="J62" s="60">
        <f t="shared" si="17"/>
        <v>60847274.540000007</v>
      </c>
      <c r="K62" s="60">
        <f t="shared" si="17"/>
        <v>-3198333.17</v>
      </c>
      <c r="L62" s="60">
        <f t="shared" si="17"/>
        <v>17052.059999999998</v>
      </c>
      <c r="M62" s="60">
        <f t="shared" si="17"/>
        <v>184216.08616812449</v>
      </c>
      <c r="N62" s="60">
        <f t="shared" si="17"/>
        <v>0</v>
      </c>
      <c r="O62" s="60">
        <f t="shared" si="17"/>
        <v>-189031.48488805891</v>
      </c>
      <c r="P62" s="60">
        <f t="shared" si="17"/>
        <v>7479700.121308892</v>
      </c>
      <c r="Q62" s="60">
        <f t="shared" si="17"/>
        <v>630636.62275563355</v>
      </c>
      <c r="R62" s="60">
        <f t="shared" si="17"/>
        <v>65771514.775344588</v>
      </c>
      <c r="T62" s="177"/>
      <c r="U62" s="177"/>
      <c r="W62" s="49"/>
    </row>
    <row r="63" spans="2:23" ht="15.75" customHeight="1">
      <c r="B63" s="48"/>
      <c r="C63" s="80"/>
      <c r="D63" s="69"/>
      <c r="E63" s="84"/>
      <c r="F63" s="70"/>
      <c r="G63" s="70"/>
      <c r="H63" s="70"/>
      <c r="I63" s="70"/>
      <c r="J63" s="59"/>
      <c r="K63" s="59"/>
      <c r="L63" s="59"/>
      <c r="M63" s="59"/>
      <c r="N63" s="59"/>
      <c r="O63" s="59"/>
      <c r="P63" s="59"/>
      <c r="Q63" s="59"/>
      <c r="R63" s="59"/>
      <c r="T63" s="177"/>
      <c r="U63" s="177"/>
      <c r="W63" s="49"/>
    </row>
    <row r="64" spans="2:23" ht="15.75" customHeight="1">
      <c r="B64" s="49" t="s">
        <v>179</v>
      </c>
      <c r="C64" s="76" t="s">
        <v>270</v>
      </c>
      <c r="D64" s="85">
        <f>SUMIFS(RVN!H:H,RVN!A:A,B64,RVN!J:J,C64)/12</f>
        <v>0</v>
      </c>
      <c r="E64" s="76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59">
        <f>SUMIFS(RVN!I:I,RVN!A:A,B64,RVN!J:J,C64)</f>
        <v>0</v>
      </c>
      <c r="G64" s="59">
        <f>SUMIFS('Normalized Units'!I:I,'Normalized Units'!B:B,"Temperature kWh Normalization",'Normalized Units'!C:C,C64,'Normalized Units'!D:D,B64)</f>
        <v>0</v>
      </c>
      <c r="H64" s="59">
        <f>I64-G64-F64</f>
        <v>0</v>
      </c>
      <c r="I64" s="59">
        <f>SUMIFS('Normalized Units'!I:I,'Normalized Units'!B:B,"Normalized Billing Units",'Normalized Units'!C:C,C64,'Normalized Units'!D:D,B64,'Normalized Units'!H:H,"kWh*")</f>
        <v>0</v>
      </c>
      <c r="J64" s="59">
        <f>SUMIFS(RVN!F:F,RVN!A:A,B64,RVN!J:J,C64)</f>
        <v>26769.200000000001</v>
      </c>
      <c r="K64" s="59" cm="1">
        <f t="array" ref="K64">IF(OR(C64={"Alt Rev Program","Blue Sky","Customer Bill Credits","DSM","Income Tax Defer Adj","Irr Demand Charge Accrual","Rev Adj Property Insur","Rev Adj"}),-J64,0)</f>
        <v>-26769.200000000001</v>
      </c>
      <c r="L64" s="59">
        <f>-SUMIFS(RVN!F:F,RVN!A:A,B64,RVN!B:B,"B",RVN!J:J,C64)</f>
        <v>0</v>
      </c>
      <c r="M64" s="59">
        <v>0</v>
      </c>
      <c r="N64" s="59">
        <f>SUMIFS('Normalized Units'!I:I,'Normalized Units'!B:B,"Temperature $ Normalization",'Normalized Units'!D:D,B64,'Normalized Units'!C:C,C64)</f>
        <v>0</v>
      </c>
      <c r="O64" s="59">
        <f t="shared" ref="O64:O77" si="18">(J64+K64+L64+M64+N64)*T64/100*7/12</f>
        <v>0</v>
      </c>
      <c r="P64" s="59">
        <f t="shared" ref="P64:P77" si="19">(J64+K64+L64+M64+N64)*U64/100*10/12</f>
        <v>0</v>
      </c>
      <c r="Q64" s="59">
        <f t="shared" si="3"/>
        <v>0</v>
      </c>
      <c r="R64" s="59">
        <v>0</v>
      </c>
      <c r="T64" s="177"/>
      <c r="U64" s="177"/>
      <c r="W64" s="49"/>
    </row>
    <row r="65" spans="2:23" ht="15.75" customHeight="1">
      <c r="B65" s="49" t="s">
        <v>179</v>
      </c>
      <c r="C65" s="76" t="s">
        <v>145</v>
      </c>
      <c r="D65" s="85">
        <f>SUMIFS(RVN!H:H,RVN!A:A,B65,RVN!J:J,C65)/12</f>
        <v>0</v>
      </c>
      <c r="E65" s="76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59">
        <f>SUMIFS(RVN!I:I,RVN!A:A,B65,RVN!J:J,C65)</f>
        <v>0</v>
      </c>
      <c r="G65" s="59">
        <f>SUMIFS('Normalized Units'!I:I,'Normalized Units'!B:B,"Temperature kWh Normalization",'Normalized Units'!C:C,C65,'Normalized Units'!D:D,B65)</f>
        <v>0</v>
      </c>
      <c r="H65" s="59">
        <f t="shared" ref="H65:H74" si="20">I65-G65-F65</f>
        <v>0</v>
      </c>
      <c r="I65" s="59">
        <f>SUMIFS('Normalized Units'!I:I,'Normalized Units'!B:B,"Normalized Billing Units",'Normalized Units'!C:C,C65,'Normalized Units'!D:D,B65,'Normalized Units'!H:H,"kWh*")</f>
        <v>0</v>
      </c>
      <c r="J65" s="59">
        <f>SUMIFS(RVN!F:F,RVN!A:A,B65,RVN!J:J,C65)</f>
        <v>2235.14</v>
      </c>
      <c r="K65" s="59" cm="1">
        <f t="array" ref="K65">IF(OR(C65={"Alt Rev Program","Blue Sky","Customer Bill Credits","DSM","Income Tax Defer Adj","Irr Demand Charge Accrual","Rev Adj Property Insur","Rev Adj"}),-J65,0)</f>
        <v>-2235.14</v>
      </c>
      <c r="L65" s="59">
        <f>-SUMIFS(RVN!F:F,RVN!A:A,B65,RVN!B:B,"B",RVN!J:J,C65)</f>
        <v>0</v>
      </c>
      <c r="M65" s="59">
        <v>0</v>
      </c>
      <c r="N65" s="59">
        <f>SUMIFS('Normalized Units'!I:I,'Normalized Units'!B:B,"Temperature $ Normalization",'Normalized Units'!D:D,B65,'Normalized Units'!C:C,C65)</f>
        <v>0</v>
      </c>
      <c r="O65" s="59">
        <f t="shared" si="18"/>
        <v>0</v>
      </c>
      <c r="P65" s="59">
        <f t="shared" si="19"/>
        <v>0</v>
      </c>
      <c r="Q65" s="59">
        <f t="shared" si="3"/>
        <v>0</v>
      </c>
      <c r="R65" s="59">
        <v>0</v>
      </c>
      <c r="T65" s="177"/>
      <c r="U65" s="177"/>
      <c r="W65" s="49"/>
    </row>
    <row r="66" spans="2:23" ht="15.75" customHeight="1">
      <c r="B66" s="49" t="s">
        <v>179</v>
      </c>
      <c r="C66" s="76" t="s">
        <v>149</v>
      </c>
      <c r="D66" s="85">
        <f>SUMIFS(RVN!H:H,RVN!A:A,B66,RVN!J:J,C66)/12</f>
        <v>0</v>
      </c>
      <c r="E66" s="76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59">
        <f>SUMIFS(RVN!I:I,RVN!A:A,B66,RVN!J:J,C66)</f>
        <v>0</v>
      </c>
      <c r="G66" s="59">
        <f>SUMIFS('Normalized Units'!I:I,'Normalized Units'!B:B,"Temperature kWh Normalization",'Normalized Units'!C:C,C66,'Normalized Units'!D:D,B66)</f>
        <v>0</v>
      </c>
      <c r="H66" s="59">
        <f t="shared" si="20"/>
        <v>0</v>
      </c>
      <c r="I66" s="59">
        <f>SUMIFS('Normalized Units'!I:I,'Normalized Units'!B:B,"Normalized Billing Units",'Normalized Units'!C:C,C66,'Normalized Units'!D:D,B66,'Normalized Units'!H:H,"kWh*")</f>
        <v>0</v>
      </c>
      <c r="J66" s="59">
        <f>SUMIFS(RVN!F:F,RVN!A:A,B66,RVN!J:J,C66)</f>
        <v>536487.11</v>
      </c>
      <c r="K66" s="59" cm="1">
        <f t="array" ref="K66">IF(OR(C66={"Alt Rev Program","Blue Sky","Customer Bill Credits","DSM","Income Tax Defer Adj","Irr Demand Charge Accrual","Rev Adj Property Insur","Rev Adj"}),-J66,0)</f>
        <v>-536487.11</v>
      </c>
      <c r="L66" s="59">
        <f>-SUMIFS(RVN!F:F,RVN!A:A,B66,RVN!B:B,"B",RVN!J:J,C66)</f>
        <v>0</v>
      </c>
      <c r="M66" s="59">
        <v>0</v>
      </c>
      <c r="N66" s="59">
        <f>SUMIFS('Normalized Units'!I:I,'Normalized Units'!B:B,"Temperature $ Normalization",'Normalized Units'!D:D,B66,'Normalized Units'!C:C,C66)</f>
        <v>0</v>
      </c>
      <c r="O66" s="59">
        <f t="shared" si="18"/>
        <v>0</v>
      </c>
      <c r="P66" s="59">
        <f t="shared" si="19"/>
        <v>0</v>
      </c>
      <c r="Q66" s="59">
        <f t="shared" si="3"/>
        <v>0</v>
      </c>
      <c r="R66" s="59">
        <v>0</v>
      </c>
      <c r="T66" s="177"/>
      <c r="U66" s="177"/>
      <c r="W66" s="49"/>
    </row>
    <row r="67" spans="2:23" ht="15.75" customHeight="1">
      <c r="B67" s="49" t="s">
        <v>179</v>
      </c>
      <c r="C67" s="76" t="s">
        <v>273</v>
      </c>
      <c r="D67" s="85">
        <f>SUMIFS(RVN!H:H,RVN!A:A,B67,RVN!J:J,C67)/12</f>
        <v>0</v>
      </c>
      <c r="E67" s="76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59">
        <f>SUMIFS(RVN!I:I,RVN!A:A,B67,RVN!J:J,C67)</f>
        <v>0</v>
      </c>
      <c r="G67" s="59">
        <f>SUMIFS('Normalized Units'!I:I,'Normalized Units'!B:B,"Temperature kWh Normalization",'Normalized Units'!C:C,C67,'Normalized Units'!D:D,B67)</f>
        <v>0</v>
      </c>
      <c r="H67" s="59">
        <f t="shared" si="20"/>
        <v>0</v>
      </c>
      <c r="I67" s="59">
        <f>SUMIFS('Normalized Units'!I:I,'Normalized Units'!B:B,"Normalized Billing Units",'Normalized Units'!C:C,C67,'Normalized Units'!D:D,B67,'Normalized Units'!H:H,"kWh*")</f>
        <v>0</v>
      </c>
      <c r="J67" s="59">
        <f>SUMIFS(RVN!F:F,RVN!A:A,B67,RVN!J:J,C67)</f>
        <v>61977.3</v>
      </c>
      <c r="K67" s="59" cm="1">
        <f t="array" ref="K67">IF(OR(C67={"Alt Rev Program","Blue Sky","Customer Bill Credits","DSM","Income Tax Defer Adj","Irr Demand Charge Accrual","Rev Adj Property Insur","Rev Adj"}),-J67,0)</f>
        <v>-61977.3</v>
      </c>
      <c r="L67" s="59">
        <f>-SUMIFS(RVN!F:F,RVN!A:A,B67,RVN!B:B,"B",RVN!J:J,C67)</f>
        <v>0</v>
      </c>
      <c r="M67" s="59">
        <v>0</v>
      </c>
      <c r="N67" s="59">
        <f>SUMIFS('Normalized Units'!I:I,'Normalized Units'!B:B,"Temperature $ Normalization",'Normalized Units'!D:D,B67,'Normalized Units'!C:C,C67)</f>
        <v>0</v>
      </c>
      <c r="O67" s="59">
        <f t="shared" si="18"/>
        <v>0</v>
      </c>
      <c r="P67" s="59">
        <f t="shared" si="19"/>
        <v>0</v>
      </c>
      <c r="Q67" s="59">
        <f t="shared" si="3"/>
        <v>0</v>
      </c>
      <c r="R67" s="59">
        <v>0</v>
      </c>
      <c r="T67" s="177"/>
      <c r="U67" s="177"/>
      <c r="W67" s="49"/>
    </row>
    <row r="68" spans="2:23" ht="15.75" customHeight="1">
      <c r="B68" s="49" t="s">
        <v>179</v>
      </c>
      <c r="C68" s="76" t="s">
        <v>322</v>
      </c>
      <c r="D68" s="85">
        <f>SUMIFS(RVN!H:H,RVN!A:A,B68,RVN!J:J,C68)/12</f>
        <v>0</v>
      </c>
      <c r="E68" s="76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59">
        <f>SUMIFS(RVN!I:I,RVN!A:A,B68,RVN!J:J,C68)</f>
        <v>0</v>
      </c>
      <c r="G68" s="59">
        <f>SUMIFS('Normalized Units'!I:I,'Normalized Units'!B:B,"Temperature kWh Normalization",'Normalized Units'!C:C,C68,'Normalized Units'!D:D,B68)</f>
        <v>0</v>
      </c>
      <c r="H68" s="59">
        <f t="shared" si="20"/>
        <v>0</v>
      </c>
      <c r="I68" s="59">
        <f>SUMIFS('Normalized Units'!I:I,'Normalized Units'!B:B,"Normalized Billing Units",'Normalized Units'!C:C,C68,'Normalized Units'!D:D,B68,'Normalized Units'!H:H,"kWh*")</f>
        <v>0</v>
      </c>
      <c r="J68" s="59">
        <f>SUMIFS(RVN!F:F,RVN!A:A,B68,RVN!J:J,C68)</f>
        <v>275000</v>
      </c>
      <c r="K68" s="59" cm="1">
        <f t="array" ref="K68">IF(OR(C68={"Alt Rev Program","Blue Sky","Customer Bill Credits","DSM","Income Tax Defer Adj","Irr Demand Charge Accrual","Rev Adj Property Insur","Rev Adj"}),-J68,0)</f>
        <v>-275000</v>
      </c>
      <c r="L68" s="59">
        <f>-SUMIFS(RVN!F:F,RVN!A:A,B68,RVN!B:B,"B",RVN!J:J,C68)</f>
        <v>0</v>
      </c>
      <c r="M68" s="59">
        <v>0</v>
      </c>
      <c r="N68" s="59">
        <f>SUMIFS('Normalized Units'!I:I,'Normalized Units'!B:B,"Temperature $ Normalization",'Normalized Units'!D:D,B68,'Normalized Units'!C:C,C68)</f>
        <v>0</v>
      </c>
      <c r="O68" s="59">
        <f t="shared" si="18"/>
        <v>0</v>
      </c>
      <c r="P68" s="59">
        <f t="shared" si="19"/>
        <v>0</v>
      </c>
      <c r="Q68" s="59">
        <f t="shared" si="3"/>
        <v>0</v>
      </c>
      <c r="R68" s="59">
        <v>0</v>
      </c>
      <c r="T68" s="177"/>
      <c r="U68" s="177"/>
      <c r="W68" s="49"/>
    </row>
    <row r="69" spans="2:23" ht="15.75" customHeight="1">
      <c r="B69" s="49" t="s">
        <v>179</v>
      </c>
      <c r="C69" s="76" t="s">
        <v>190</v>
      </c>
      <c r="D69" s="85">
        <f>SUMIFS(RVN!H:H,RVN!A:A,B69,RVN!J:J,C69)/12</f>
        <v>0</v>
      </c>
      <c r="E69" s="76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59">
        <f>SUMIFS(RVN!I:I,RVN!A:A,B69,RVN!J:J,C69)</f>
        <v>0</v>
      </c>
      <c r="G69" s="59">
        <f>SUMIFS('Normalized Units'!I:I,'Normalized Units'!B:B,"Temperature kWh Normalization",'Normalized Units'!C:C,C69,'Normalized Units'!D:D,B69)</f>
        <v>0</v>
      </c>
      <c r="H69" s="59">
        <f t="shared" si="20"/>
        <v>0</v>
      </c>
      <c r="I69" s="59">
        <f>SUMIFS('Normalized Units'!I:I,'Normalized Units'!B:B,"Normalized Billing Units",'Normalized Units'!C:C,C69,'Normalized Units'!D:D,B69,'Normalized Units'!H:H,"kWh*")</f>
        <v>0</v>
      </c>
      <c r="J69" s="59">
        <f>SUMIFS(RVN!F:F,RVN!A:A,B69,RVN!J:J,C69)</f>
        <v>5509.44</v>
      </c>
      <c r="K69" s="59" cm="1">
        <f t="array" ref="K69">IF(OR(C69={"Alt Rev Program","Blue Sky","Customer Bill Credits","DSM","Income Tax Defer Adj","Irr Demand Charge Accrual","Rev Adj Property Insur","Rev Adj"}),-J69,0)</f>
        <v>-5509.44</v>
      </c>
      <c r="L69" s="59">
        <f>-SUMIFS(RVN!F:F,RVN!A:A,B69,RVN!B:B,"B",RVN!J:J,C69)</f>
        <v>0</v>
      </c>
      <c r="M69" s="59">
        <v>0</v>
      </c>
      <c r="N69" s="59">
        <f>SUMIFS('Normalized Units'!I:I,'Normalized Units'!B:B,"Temperature $ Normalization",'Normalized Units'!D:D,B69,'Normalized Units'!C:C,C69)</f>
        <v>0</v>
      </c>
      <c r="O69" s="59">
        <f t="shared" si="18"/>
        <v>0</v>
      </c>
      <c r="P69" s="59">
        <f t="shared" si="19"/>
        <v>0</v>
      </c>
      <c r="Q69" s="59">
        <f t="shared" si="3"/>
        <v>0</v>
      </c>
      <c r="R69" s="59">
        <v>0</v>
      </c>
      <c r="T69" s="177"/>
      <c r="U69" s="177"/>
      <c r="W69" s="49"/>
    </row>
    <row r="70" spans="2:23" ht="15.75" customHeight="1">
      <c r="B70" s="49" t="s">
        <v>179</v>
      </c>
      <c r="C70" s="76" t="s">
        <v>173</v>
      </c>
      <c r="D70" s="85">
        <f>SUMIFS(RVN!H:H,RVN!A:A,B70,RVN!J:J,C70)/12</f>
        <v>0</v>
      </c>
      <c r="E70" s="76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59">
        <f>SUMIFS(RVN!I:I,RVN!A:A,B70,RVN!J:J,C70)</f>
        <v>0</v>
      </c>
      <c r="G70" s="59">
        <f>SUMIFS('Normalized Units'!I:I,'Normalized Units'!B:B,"Temperature kWh Normalization",'Normalized Units'!C:C,C70,'Normalized Units'!D:D,B70)</f>
        <v>0</v>
      </c>
      <c r="H70" s="59">
        <f t="shared" si="20"/>
        <v>0</v>
      </c>
      <c r="I70" s="59">
        <f>SUMIFS('Normalized Units'!I:I,'Normalized Units'!B:B,"Normalized Billing Units",'Normalized Units'!C:C,C70,'Normalized Units'!D:D,B70,'Normalized Units'!H:H,"kWh*")</f>
        <v>0</v>
      </c>
      <c r="J70" s="59">
        <f>SUMIFS(RVN!F:F,RVN!A:A,B70,RVN!J:J,C70)</f>
        <v>549518.66</v>
      </c>
      <c r="K70" s="59" cm="1">
        <f t="array" ref="K70">IF(OR(C70={"Alt Rev Program","Blue Sky","Customer Bill Credits","DSM","Income Tax Defer Adj","Irr Demand Charge Accrual","Rev Adj Property Insur","Rev Adj"}),-J70,0)</f>
        <v>-549518.66</v>
      </c>
      <c r="L70" s="59">
        <f>-SUMIFS(RVN!F:F,RVN!A:A,B70,RVN!B:B,"B",RVN!J:J,C70)</f>
        <v>0</v>
      </c>
      <c r="M70" s="59">
        <v>0</v>
      </c>
      <c r="N70" s="59">
        <f>SUMIFS('Normalized Units'!I:I,'Normalized Units'!B:B,"Temperature $ Normalization",'Normalized Units'!D:D,B70,'Normalized Units'!C:C,C70)</f>
        <v>0</v>
      </c>
      <c r="O70" s="59">
        <f t="shared" si="18"/>
        <v>0</v>
      </c>
      <c r="P70" s="59">
        <f t="shared" si="19"/>
        <v>0</v>
      </c>
      <c r="Q70" s="59">
        <f t="shared" si="3"/>
        <v>0</v>
      </c>
      <c r="R70" s="59">
        <v>0</v>
      </c>
      <c r="T70" s="177"/>
      <c r="U70" s="177"/>
      <c r="W70" s="49"/>
    </row>
    <row r="71" spans="2:23" ht="15.75" customHeight="1">
      <c r="B71" s="49" t="s">
        <v>179</v>
      </c>
      <c r="C71" s="76" t="s">
        <v>272</v>
      </c>
      <c r="D71" s="85">
        <f>SUMIFS(RVN!H:H,RVN!A:A,B71,RVN!J:J,C71)/12</f>
        <v>0</v>
      </c>
      <c r="E71" s="76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59">
        <f>SUMIFS(RVN!I:I,RVN!A:A,B71,RVN!J:J,C71)</f>
        <v>0</v>
      </c>
      <c r="G71" s="59">
        <f>SUMIFS('Normalized Units'!I:I,'Normalized Units'!B:B,"Temperature kWh Normalization",'Normalized Units'!C:C,C71,'Normalized Units'!D:D,B71)</f>
        <v>0</v>
      </c>
      <c r="H71" s="59">
        <f t="shared" si="20"/>
        <v>0</v>
      </c>
      <c r="I71" s="59">
        <f>SUMIFS('Normalized Units'!I:I,'Normalized Units'!B:B,"Normalized Billing Units",'Normalized Units'!C:C,C71,'Normalized Units'!D:D,B71,'Normalized Units'!H:H,"kWh*")</f>
        <v>0</v>
      </c>
      <c r="J71" s="59">
        <f>SUMIFS(RVN!F:F,RVN!A:A,B71,RVN!J:J,C71)</f>
        <v>16810.400000000001</v>
      </c>
      <c r="K71" s="59" cm="1">
        <f t="array" ref="K71">IF(OR(C71={"Alt Rev Program","Blue Sky","Customer Bill Credits","DSM","Income Tax Defer Adj","Irr Demand Charge Accrual","Rev Adj Property Insur","Rev Adj"}),-J71,0)</f>
        <v>0</v>
      </c>
      <c r="L71" s="59">
        <f>-SUMIFS(RVN!F:F,RVN!A:A,B71,RVN!B:B,"B",RVN!J:J,C71)</f>
        <v>-16810.400000000001</v>
      </c>
      <c r="M71" s="59">
        <v>0</v>
      </c>
      <c r="N71" s="59">
        <f>SUMIFS('Normalized Units'!I:I,'Normalized Units'!B:B,"Temperature $ Normalization",'Normalized Units'!D:D,B71,'Normalized Units'!C:C,C71)</f>
        <v>0</v>
      </c>
      <c r="O71" s="59">
        <f t="shared" si="18"/>
        <v>0</v>
      </c>
      <c r="P71" s="59">
        <f t="shared" si="19"/>
        <v>0</v>
      </c>
      <c r="Q71" s="59">
        <f t="shared" si="3"/>
        <v>0</v>
      </c>
      <c r="R71" s="59">
        <v>0</v>
      </c>
      <c r="T71" s="177"/>
      <c r="U71" s="177"/>
      <c r="W71" s="49"/>
    </row>
    <row r="72" spans="2:23" ht="15.75" customHeight="1">
      <c r="B72" s="49" t="s">
        <v>179</v>
      </c>
      <c r="C72" s="76" t="s">
        <v>225</v>
      </c>
      <c r="D72" s="85">
        <f>SUMIFS(RVN!H:H,RVN!A:A,B72,RVN!J:J,C72)/12</f>
        <v>0</v>
      </c>
      <c r="E72" s="76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59">
        <f>SUMIFS(RVN!I:I,RVN!A:A,B72,RVN!J:J,C72)</f>
        <v>0</v>
      </c>
      <c r="G72" s="59">
        <f>SUMIFS('Normalized Units'!I:I,'Normalized Units'!B:B,"Temperature kWh Normalization",'Normalized Units'!C:C,C72,'Normalized Units'!D:D,B72)</f>
        <v>0</v>
      </c>
      <c r="H72" s="59">
        <f t="shared" si="20"/>
        <v>0</v>
      </c>
      <c r="I72" s="59">
        <f>SUMIFS('Normalized Units'!I:I,'Normalized Units'!B:B,"Normalized Billing Units",'Normalized Units'!C:C,C72,'Normalized Units'!D:D,B72,'Normalized Units'!H:H,"kWh*")</f>
        <v>0</v>
      </c>
      <c r="J72" s="59">
        <f>SUMIFS(RVN!F:F,RVN!A:A,B72,RVN!J:J,C72)</f>
        <v>83580.22</v>
      </c>
      <c r="K72" s="59" cm="1">
        <f t="array" ref="K72">IF(OR(C72={"Alt Rev Program","Blue Sky","Customer Bill Credits","DSM","Income Tax Defer Adj","Irr Demand Charge Accrual","Rev Adj Property Insur","Rev Adj"}),-J72,0)</f>
        <v>0</v>
      </c>
      <c r="L72" s="59">
        <f>-SUMIFS(RVN!F:F,RVN!A:A,B72,RVN!B:B,"B",RVN!J:J,C72)</f>
        <v>-83580.22</v>
      </c>
      <c r="M72" s="59">
        <v>0</v>
      </c>
      <c r="N72" s="59">
        <f>SUMIFS('Normalized Units'!I:I,'Normalized Units'!B:B,"Temperature $ Normalization",'Normalized Units'!D:D,B72,'Normalized Units'!C:C,C72)</f>
        <v>0</v>
      </c>
      <c r="O72" s="59">
        <f t="shared" si="18"/>
        <v>0</v>
      </c>
      <c r="P72" s="59">
        <f t="shared" si="19"/>
        <v>0</v>
      </c>
      <c r="Q72" s="59">
        <f t="shared" si="3"/>
        <v>0</v>
      </c>
      <c r="R72" s="59">
        <v>0</v>
      </c>
      <c r="T72" s="177"/>
      <c r="U72" s="177"/>
      <c r="W72" s="49"/>
    </row>
    <row r="73" spans="2:23" ht="15.75" customHeight="1">
      <c r="B73" s="49" t="s">
        <v>179</v>
      </c>
      <c r="C73" s="85" t="s">
        <v>168</v>
      </c>
      <c r="D73" s="85">
        <f>SUMIFS(RVN!H:H,RVN!A:A,B73,RVN!J:J,C73)/12</f>
        <v>0</v>
      </c>
      <c r="E73" s="76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59">
        <f>SUMIFS(RVN!I:I,RVN!A:A,B73,RVN!J:J,C73)</f>
        <v>-10577000</v>
      </c>
      <c r="G73" s="59">
        <f>SUMIFS('Normalized Units'!I:I,'Normalized Units'!B:B,"Temperature kWh Normalization",'Normalized Units'!C:C,C73,'Normalized Units'!D:D,B73)</f>
        <v>0</v>
      </c>
      <c r="H73" s="59">
        <f t="shared" si="20"/>
        <v>10577000</v>
      </c>
      <c r="I73" s="59">
        <f>SUMIFS('Normalized Units'!I:I,'Normalized Units'!B:B,"Normalized Billing Units",'Normalized Units'!C:C,C73,'Normalized Units'!D:D,B73,'Normalized Units'!H:H,"kWh*")</f>
        <v>0</v>
      </c>
      <c r="J73" s="59">
        <f>SUMIFS(RVN!F:F,RVN!A:A,B73,RVN!J:J,C73)</f>
        <v>-1729000</v>
      </c>
      <c r="K73" s="59" cm="1">
        <f t="array" ref="K73">IF(OR(C73={"Alt Rev Program","Blue Sky","Customer Bill Credits","DSM","Income Tax Defer Adj","Irr Demand Charge Accrual","Rev Adj Property Insur","Rev Adj"}),-J73,0)</f>
        <v>0</v>
      </c>
      <c r="L73" s="59">
        <f>-SUMIFS(RVN!F:F,RVN!A:A,B73,RVN!B:B,"B",RVN!J:J,C73)</f>
        <v>0</v>
      </c>
      <c r="M73" s="59">
        <v>0</v>
      </c>
      <c r="N73" s="59">
        <f>SUMIFS('Normalized Units'!I:I,'Normalized Units'!B:B,"Temperature $ Normalization",'Normalized Units'!D:D,B73,'Normalized Units'!C:C,C73)</f>
        <v>0</v>
      </c>
      <c r="O73" s="59">
        <f t="shared" si="18"/>
        <v>0</v>
      </c>
      <c r="P73" s="59">
        <f t="shared" si="19"/>
        <v>0</v>
      </c>
      <c r="Q73" s="59">
        <f t="shared" si="3"/>
        <v>1729000</v>
      </c>
      <c r="R73" s="59">
        <v>0</v>
      </c>
      <c r="T73" s="177"/>
      <c r="U73" s="177"/>
      <c r="W73" s="49"/>
    </row>
    <row r="74" spans="2:23" ht="15.75" customHeight="1">
      <c r="B74" s="49" t="s">
        <v>179</v>
      </c>
      <c r="C74" s="78" t="s">
        <v>152</v>
      </c>
      <c r="D74" s="85">
        <f>SUMIFS(RVN!H:H,RVN!A:A,B74,RVN!J:J,C74)/12</f>
        <v>5129.416666666667</v>
      </c>
      <c r="E74" s="76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59">
        <f>SUMIFS(RVN!I:I,RVN!A:A,B74,RVN!J:J,C74)</f>
        <v>166117899</v>
      </c>
      <c r="G74" s="59">
        <f>SUMIFS('Normalized Units'!I:I,'Normalized Units'!B:B,"Temperature kWh Normalization",'Normalized Units'!C:C,C74,'Normalized Units'!D:D,B74)</f>
        <v>-889650.20250000036</v>
      </c>
      <c r="H74" s="59">
        <f t="shared" si="20"/>
        <v>-12386761.63176176</v>
      </c>
      <c r="I74" s="59">
        <f>SUMIFS('Normalized Units'!I:I,'Normalized Units'!B:B,"Normalized Billing Units",'Normalized Units'!C:C,C74,'Normalized Units'!D:D,B74,'Normalized Units'!H:H,"kWh*")</f>
        <v>152841487.16573825</v>
      </c>
      <c r="J74" s="59">
        <f>SUMIFS(RVN!F:F,RVN!A:A,B74,RVN!J:J,C74)</f>
        <v>13636607.049999999</v>
      </c>
      <c r="K74" s="59" cm="1">
        <f t="array" ref="K74">IF(OR(C74={"Alt Rev Program","Blue Sky","Customer Bill Credits","DSM","Income Tax Defer Adj","Irr Demand Charge Accrual","Rev Adj Property Insur","Rev Adj"}),-J74,0)</f>
        <v>0</v>
      </c>
      <c r="L74" s="59">
        <f>-SUMIFS(RVN!F:F,RVN!A:A,B74,RVN!B:B,"B",RVN!J:J,C74)</f>
        <v>746154.2</v>
      </c>
      <c r="M74" s="59">
        <v>502807.73305000004</v>
      </c>
      <c r="N74" s="59">
        <f>SUMIFS('Normalized Units'!I:I,'Normalized Units'!B:B,"Temperature $ Normalization",'Normalized Units'!D:D,B74,'Normalized Units'!C:C,C74)</f>
        <v>-70255.676491425198</v>
      </c>
      <c r="O74" s="59">
        <f t="shared" si="18"/>
        <v>-40862.198104646144</v>
      </c>
      <c r="P74" s="59">
        <f t="shared" si="19"/>
        <v>1341367.5253418365</v>
      </c>
      <c r="Q74" s="59">
        <f t="shared" ref="Q74:Q86" si="21">R74-J74-K74-L74-M74-N74-O74-P74</f>
        <v>-1640802.2334989028</v>
      </c>
      <c r="R74" s="59">
        <f>SUM(Sch.40!S33:S47)</f>
        <v>14475016.400296861</v>
      </c>
      <c r="T74" s="177">
        <v>-0.47281809716502959</v>
      </c>
      <c r="U74" s="177">
        <v>10.864711377366778</v>
      </c>
      <c r="W74" s="49"/>
    </row>
    <row r="75" spans="2:23" ht="15.75" customHeight="1">
      <c r="B75" s="49" t="s">
        <v>179</v>
      </c>
      <c r="C75" s="87" t="s">
        <v>369</v>
      </c>
      <c r="D75" s="85">
        <f>SUMIFS(RVN!H:H,RVN!A:A,B75,RVN!J:J,C75)/12</f>
        <v>0</v>
      </c>
      <c r="E75" s="76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59">
        <f>SUMIFS(RVN!I:I,RVN!A:A,B75,RVN!J:J,C75)</f>
        <v>0</v>
      </c>
      <c r="G75" s="59">
        <f>SUMIFS('Normalized Units'!I:I,'Normalized Units'!B:B,"Temperature kWh Normalization",'Normalized Units'!C:C,C75,'Normalized Units'!D:D,B75)</f>
        <v>0</v>
      </c>
      <c r="H75" s="59">
        <f t="shared" ref="H75:H77" si="22">I75-G75-F75</f>
        <v>0</v>
      </c>
      <c r="I75" s="59">
        <f>SUMIFS('Normalized Units'!I:I,'Normalized Units'!B:B,"Normalized Billing Units",'Normalized Units'!C:C,C75,'Normalized Units'!D:D,B75,'Normalized Units'!H:H,"kWh*")</f>
        <v>0</v>
      </c>
      <c r="J75" s="59">
        <f>SUMIFS(RVN!F:F,RVN!A:A,B75,RVN!J:J,C75)</f>
        <v>0</v>
      </c>
      <c r="K75" s="59" cm="1">
        <f t="array" ref="K75">IF(OR(C75={"Alt Rev Program","Blue Sky","Customer Bill Credits","DSM","Income Tax Defer Adj","Irr Demand Charge Accrual","Rev Adj Property Insur","Rev Adj"}),-J75,0)</f>
        <v>0</v>
      </c>
      <c r="L75" s="59">
        <f>-SUMIFS(RVN!F:F,RVN!A:A,B75,RVN!B:B,"B",RVN!J:J,C75)</f>
        <v>0</v>
      </c>
      <c r="M75" s="59">
        <v>0</v>
      </c>
      <c r="N75" s="59">
        <f>SUMIFS('Normalized Units'!I:I,'Normalized Units'!B:B,"Temperature $ Normalization",'Normalized Units'!D:D,B75,'Normalized Units'!C:C,C75)</f>
        <v>0</v>
      </c>
      <c r="O75" s="59">
        <f t="shared" si="18"/>
        <v>0</v>
      </c>
      <c r="P75" s="59">
        <f t="shared" si="19"/>
        <v>0</v>
      </c>
      <c r="Q75" s="59">
        <f t="shared" si="21"/>
        <v>-7254</v>
      </c>
      <c r="R75" s="59">
        <f>'AutoPay&amp;Paperless'!F21</f>
        <v>-7254</v>
      </c>
      <c r="T75" s="177"/>
      <c r="U75" s="177"/>
      <c r="W75" s="49"/>
    </row>
    <row r="76" spans="2:23" ht="15.75" customHeight="1">
      <c r="B76" s="49" t="s">
        <v>179</v>
      </c>
      <c r="C76" s="87" t="s">
        <v>370</v>
      </c>
      <c r="D76" s="85">
        <f>SUMIFS(RVN!H:H,RVN!A:A,B76,RVN!J:J,C76)/12</f>
        <v>0</v>
      </c>
      <c r="E76" s="76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59">
        <f>SUMIFS(RVN!I:I,RVN!A:A,B76,RVN!J:J,C76)</f>
        <v>0</v>
      </c>
      <c r="G76" s="59">
        <f>SUMIFS('Normalized Units'!I:I,'Normalized Units'!B:B,"Temperature kWh Normalization",'Normalized Units'!C:C,C76,'Normalized Units'!D:D,B76)</f>
        <v>0</v>
      </c>
      <c r="H76" s="59">
        <f t="shared" si="22"/>
        <v>0</v>
      </c>
      <c r="I76" s="59">
        <f>SUMIFS('Normalized Units'!I:I,'Normalized Units'!B:B,"Normalized Billing Units",'Normalized Units'!C:C,C76,'Normalized Units'!D:D,B76,'Normalized Units'!H:H,"kWh*")</f>
        <v>0</v>
      </c>
      <c r="J76" s="59">
        <f>SUMIFS(RVN!F:F,RVN!A:A,B76,RVN!J:J,C76)</f>
        <v>0</v>
      </c>
      <c r="K76" s="59" cm="1">
        <f t="array" ref="K76">IF(OR(C76={"Alt Rev Program","Blue Sky","Customer Bill Credits","DSM","Income Tax Defer Adj","Irr Demand Charge Accrual","Rev Adj Property Insur","Rev Adj"}),-J76,0)</f>
        <v>0</v>
      </c>
      <c r="L76" s="59">
        <f>-SUMIFS(RVN!F:F,RVN!A:A,B76,RVN!B:B,"B",RVN!J:J,C76)</f>
        <v>0</v>
      </c>
      <c r="M76" s="59">
        <v>0</v>
      </c>
      <c r="N76" s="59">
        <f>SUMIFS('Normalized Units'!I:I,'Normalized Units'!B:B,"Temperature $ Normalization",'Normalized Units'!D:D,B76,'Normalized Units'!C:C,C76)</f>
        <v>0</v>
      </c>
      <c r="O76" s="59">
        <f t="shared" si="18"/>
        <v>0</v>
      </c>
      <c r="P76" s="59">
        <f t="shared" si="19"/>
        <v>0</v>
      </c>
      <c r="Q76" s="59">
        <f t="shared" si="21"/>
        <v>-6384.5</v>
      </c>
      <c r="R76" s="59">
        <f>'AutoPay&amp;Paperless'!F22</f>
        <v>-6384.5</v>
      </c>
      <c r="T76" s="177"/>
      <c r="U76" s="177"/>
      <c r="W76" s="49"/>
    </row>
    <row r="77" spans="2:23" ht="15.75" customHeight="1">
      <c r="B77" s="49" t="s">
        <v>179</v>
      </c>
      <c r="C77" s="54" t="s">
        <v>352</v>
      </c>
      <c r="D77" s="85">
        <f>SUMIFS(RVN!H:H,RVN!A:A,B77,RVN!J:J,C77)/12</f>
        <v>0</v>
      </c>
      <c r="E77" s="76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59">
        <f>SUMIFS(RVN!I:I,RVN!A:A,B77,RVN!J:J,C77)</f>
        <v>0</v>
      </c>
      <c r="G77" s="59">
        <f>SUMIFS('Normalized Units'!I:I,'Normalized Units'!B:B,"Temperature kWh Normalization",'Normalized Units'!C:C,C77,'Normalized Units'!D:D,B77)</f>
        <v>0</v>
      </c>
      <c r="H77" s="59">
        <f t="shared" si="22"/>
        <v>0</v>
      </c>
      <c r="I77" s="59">
        <f>SUMIFS('Normalized Units'!I:I,'Normalized Units'!B:B,"Normalized Billing Units",'Normalized Units'!C:C,C77,'Normalized Units'!D:D,B77,'Normalized Units'!H:H,"kWh*")</f>
        <v>0</v>
      </c>
      <c r="J77" s="59">
        <f>SUMIFS(RVN!F:F,RVN!A:A,B77,RVN!J:J,C77)</f>
        <v>140318.37</v>
      </c>
      <c r="K77" s="59" cm="1">
        <f t="array" ref="K77">IF(OR(C77={"Alt Rev Program","Blue Sky","Customer Bill Credits","DSM","Income Tax Defer Adj","Irr Demand Charge Accrual","Rev Adj Property Insur","Rev Adj"}),-J77,0)</f>
        <v>0</v>
      </c>
      <c r="L77" s="59">
        <f>-SUMIFS(RVN!F:F,RVN!A:A,B77,RVN!B:B,"B",RVN!J:J,C77)</f>
        <v>0</v>
      </c>
      <c r="M77" s="59">
        <v>0</v>
      </c>
      <c r="N77" s="59">
        <f>SUMIFS('Normalized Units'!I:I,'Normalized Units'!B:B,"Temperature $ Normalization",'Normalized Units'!D:D,B77,'Normalized Units'!C:C,C77)</f>
        <v>0</v>
      </c>
      <c r="O77" s="59">
        <f t="shared" si="18"/>
        <v>0</v>
      </c>
      <c r="P77" s="59">
        <f t="shared" si="19"/>
        <v>0</v>
      </c>
      <c r="Q77" s="59">
        <f t="shared" si="21"/>
        <v>0</v>
      </c>
      <c r="R77" s="59">
        <f>J77</f>
        <v>140318.37</v>
      </c>
      <c r="T77" s="177"/>
      <c r="U77" s="177"/>
      <c r="W77" s="49"/>
    </row>
    <row r="78" spans="2:23" ht="15.75" customHeight="1">
      <c r="B78" s="56" t="s">
        <v>179</v>
      </c>
      <c r="C78" s="57" t="s">
        <v>1</v>
      </c>
      <c r="D78" s="60">
        <f t="shared" ref="D78:R78" si="23">SUM(D64:D77)</f>
        <v>5129.416666666667</v>
      </c>
      <c r="E78" s="60">
        <f t="shared" si="23"/>
        <v>5140.8634747118504</v>
      </c>
      <c r="F78" s="60">
        <f t="shared" si="23"/>
        <v>155540899</v>
      </c>
      <c r="G78" s="60">
        <f t="shared" si="23"/>
        <v>-889650.20250000036</v>
      </c>
      <c r="H78" s="60">
        <f t="shared" si="23"/>
        <v>-1809761.6317617595</v>
      </c>
      <c r="I78" s="60">
        <f t="shared" si="23"/>
        <v>152841487.16573825</v>
      </c>
      <c r="J78" s="60">
        <f t="shared" si="23"/>
        <v>13605812.889999999</v>
      </c>
      <c r="K78" s="60">
        <f t="shared" si="23"/>
        <v>-1457496.85</v>
      </c>
      <c r="L78" s="60">
        <f t="shared" si="23"/>
        <v>645763.57999999996</v>
      </c>
      <c r="M78" s="60">
        <f t="shared" si="23"/>
        <v>502807.73305000004</v>
      </c>
      <c r="N78" s="60">
        <f t="shared" si="23"/>
        <v>-70255.676491425198</v>
      </c>
      <c r="O78" s="60">
        <f t="shared" si="23"/>
        <v>-40862.198104646144</v>
      </c>
      <c r="P78" s="60">
        <f t="shared" si="23"/>
        <v>1341367.5253418365</v>
      </c>
      <c r="Q78" s="60">
        <f t="shared" si="23"/>
        <v>74559.266501097241</v>
      </c>
      <c r="R78" s="60">
        <f t="shared" si="23"/>
        <v>14601696.27029686</v>
      </c>
      <c r="T78" s="177"/>
      <c r="U78" s="177"/>
      <c r="W78" s="49"/>
    </row>
    <row r="79" spans="2:23" ht="15.75" customHeight="1">
      <c r="B79" s="49"/>
      <c r="C79" s="79"/>
      <c r="D79" s="55"/>
      <c r="E79" s="83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T79" s="177"/>
      <c r="U79" s="177"/>
      <c r="W79" s="49"/>
    </row>
    <row r="80" spans="2:23" ht="15.75" customHeight="1">
      <c r="B80" s="49" t="s">
        <v>167</v>
      </c>
      <c r="C80" s="76" t="s">
        <v>149</v>
      </c>
      <c r="D80" s="85">
        <f>SUMIFS(RVN!H:H,RVN!A:A,B80,RVN!J:J,C80)/12</f>
        <v>0</v>
      </c>
      <c r="E80" s="76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59">
        <f>SUMIFS(RVN!I:I,RVN!A:A,B80,RVN!J:J,C80)</f>
        <v>0</v>
      </c>
      <c r="G80" s="59">
        <f>SUMIFS('Normalized Units'!I:I,'Normalized Units'!B:B,"Temperature kWh Normalization",'Normalized Units'!C:C,C80,'Normalized Units'!D:D,B80)</f>
        <v>0</v>
      </c>
      <c r="H80" s="59">
        <f>I80-G80-F80</f>
        <v>0</v>
      </c>
      <c r="I80" s="59">
        <f>SUMIFS('Normalized Units'!I:I,'Normalized Units'!B:B,"Normalized Billing Units",'Normalized Units'!C:C,C80,'Normalized Units'!D:D,B80,'Normalized Units'!H:H,"kWh*")</f>
        <v>0</v>
      </c>
      <c r="J80" s="59">
        <f>SUMIFS(RVN!F:F,RVN!A:A,B80,RVN!J:J,C80)</f>
        <v>11595.93</v>
      </c>
      <c r="K80" s="59" cm="1">
        <f t="array" ref="K80">IF(OR(C80={"Alt Rev Program","Blue Sky","Customer Bill Credits","DSM","Income Tax Defer Adj","Irr Demand Charge Accrual","Rev Adj Property Insur","Rev Adj"}),-J80,0)</f>
        <v>-11595.93</v>
      </c>
      <c r="L80" s="59">
        <f>-SUMIFS(RVN!F:F,RVN!A:A,B80,RVN!B:B,"B",RVN!J:J,C80)</f>
        <v>0</v>
      </c>
      <c r="M80" s="59">
        <v>0</v>
      </c>
      <c r="N80" s="59">
        <f>SUMIFS('Normalized Units'!I:I,'Normalized Units'!B:B,"Temperature $ Normalization",'Normalized Units'!D:D,B80,'Normalized Units'!C:C,C80)</f>
        <v>0</v>
      </c>
      <c r="O80" s="59">
        <f t="shared" ref="O80:O86" si="24">(J80+K80+L80+M80+N80)*T80/100*7/12</f>
        <v>0</v>
      </c>
      <c r="P80" s="59">
        <f t="shared" ref="P80:P86" si="25">(J80+K80+L80+M80+N80)*U80/100*10/12</f>
        <v>0</v>
      </c>
      <c r="Q80" s="59">
        <f t="shared" si="21"/>
        <v>0</v>
      </c>
      <c r="R80" s="59">
        <v>0</v>
      </c>
      <c r="T80" s="177"/>
      <c r="U80" s="177"/>
      <c r="W80" s="49"/>
    </row>
    <row r="81" spans="1:23" ht="15.75" customHeight="1">
      <c r="B81" s="49" t="s">
        <v>167</v>
      </c>
      <c r="C81" s="76" t="s">
        <v>273</v>
      </c>
      <c r="D81" s="85">
        <f>SUMIFS(RVN!H:H,RVN!A:A,B81,RVN!J:J,C81)/12</f>
        <v>0</v>
      </c>
      <c r="E81" s="76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59">
        <f>SUMIFS(RVN!I:I,RVN!A:A,B81,RVN!J:J,C81)</f>
        <v>0</v>
      </c>
      <c r="G81" s="59">
        <f>SUMIFS('Normalized Units'!I:I,'Normalized Units'!B:B,"Temperature kWh Normalization",'Normalized Units'!C:C,C81,'Normalized Units'!D:D,B81)</f>
        <v>0</v>
      </c>
      <c r="H81" s="59">
        <f t="shared" ref="H81:H86" si="26">I81-G81-F81</f>
        <v>0</v>
      </c>
      <c r="I81" s="59">
        <f>SUMIFS('Normalized Units'!I:I,'Normalized Units'!B:B,"Normalized Billing Units",'Normalized Units'!C:C,C81,'Normalized Units'!D:D,B81,'Normalized Units'!H:H,"kWh*")</f>
        <v>0</v>
      </c>
      <c r="J81" s="59">
        <f>SUMIFS(RVN!F:F,RVN!A:A,B81,RVN!J:J,C81)</f>
        <v>3821.16</v>
      </c>
      <c r="K81" s="59" cm="1">
        <f t="array" ref="K81">IF(OR(C81={"Alt Rev Program","Blue Sky","Customer Bill Credits","DSM","Income Tax Defer Adj","Irr Demand Charge Accrual","Rev Adj Property Insur","Rev Adj"}),-J81,0)</f>
        <v>-3821.16</v>
      </c>
      <c r="L81" s="59">
        <f>-SUMIFS(RVN!F:F,RVN!A:A,B81,RVN!B:B,"B",RVN!J:J,C81)</f>
        <v>0</v>
      </c>
      <c r="M81" s="59">
        <v>0</v>
      </c>
      <c r="N81" s="59">
        <f>SUMIFS('Normalized Units'!I:I,'Normalized Units'!B:B,"Temperature $ Normalization",'Normalized Units'!D:D,B81,'Normalized Units'!C:C,C81)</f>
        <v>0</v>
      </c>
      <c r="O81" s="59">
        <f t="shared" si="24"/>
        <v>0</v>
      </c>
      <c r="P81" s="59">
        <f t="shared" si="25"/>
        <v>0</v>
      </c>
      <c r="Q81" s="59">
        <f t="shared" si="21"/>
        <v>0</v>
      </c>
      <c r="R81" s="59">
        <v>0</v>
      </c>
      <c r="T81" s="177"/>
      <c r="U81" s="177"/>
      <c r="W81" s="49"/>
    </row>
    <row r="82" spans="1:23" ht="15.75" customHeight="1">
      <c r="B82" s="49" t="s">
        <v>167</v>
      </c>
      <c r="C82" s="76" t="s">
        <v>173</v>
      </c>
      <c r="D82" s="85">
        <f>SUMIFS(RVN!H:H,RVN!A:A,B82,RVN!J:J,C82)/12</f>
        <v>0</v>
      </c>
      <c r="E82" s="76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59">
        <f>SUMIFS(RVN!I:I,RVN!A:A,B82,RVN!J:J,C82)</f>
        <v>0</v>
      </c>
      <c r="G82" s="59">
        <f>SUMIFS('Normalized Units'!I:I,'Normalized Units'!B:B,"Temperature kWh Normalization",'Normalized Units'!C:C,C82,'Normalized Units'!D:D,B82)</f>
        <v>0</v>
      </c>
      <c r="H82" s="59">
        <f t="shared" si="26"/>
        <v>0</v>
      </c>
      <c r="I82" s="59">
        <f>SUMIFS('Normalized Units'!I:I,'Normalized Units'!B:B,"Normalized Billing Units",'Normalized Units'!C:C,C82,'Normalized Units'!D:D,B82,'Normalized Units'!H:H,"kWh*")</f>
        <v>0</v>
      </c>
      <c r="J82" s="59">
        <f>SUMIFS(RVN!F:F,RVN!A:A,B82,RVN!J:J,C82)</f>
        <v>2413.6799999999998</v>
      </c>
      <c r="K82" s="59" cm="1">
        <f t="array" ref="K82">IF(OR(C82={"Alt Rev Program","Blue Sky","Customer Bill Credits","DSM","Income Tax Defer Adj","Irr Demand Charge Accrual","Rev Adj Property Insur","Rev Adj"}),-J82,0)</f>
        <v>-2413.6799999999998</v>
      </c>
      <c r="L82" s="59">
        <f>-SUMIFS(RVN!F:F,RVN!A:A,B82,RVN!B:B,"B",RVN!J:J,C82)</f>
        <v>0</v>
      </c>
      <c r="M82" s="59">
        <v>0</v>
      </c>
      <c r="N82" s="59">
        <f>SUMIFS('Normalized Units'!I:I,'Normalized Units'!B:B,"Temperature $ Normalization",'Normalized Units'!D:D,B82,'Normalized Units'!C:C,C82)</f>
        <v>0</v>
      </c>
      <c r="O82" s="59">
        <f t="shared" si="24"/>
        <v>0</v>
      </c>
      <c r="P82" s="59">
        <f t="shared" si="25"/>
        <v>0</v>
      </c>
      <c r="Q82" s="59">
        <f t="shared" si="21"/>
        <v>0</v>
      </c>
      <c r="R82" s="59">
        <v>0</v>
      </c>
      <c r="T82" s="177"/>
      <c r="U82" s="177"/>
      <c r="W82" s="49"/>
    </row>
    <row r="83" spans="1:23" ht="15.75" customHeight="1">
      <c r="B83" s="49" t="s">
        <v>167</v>
      </c>
      <c r="C83" s="85" t="s">
        <v>168</v>
      </c>
      <c r="D83" s="85">
        <f>SUMIFS(RVN!H:H,RVN!A:A,B83,RVN!J:J,C83)/12</f>
        <v>0</v>
      </c>
      <c r="E83" s="76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59">
        <f>SUMIFS(RVN!I:I,RVN!A:A,B83,RVN!J:J,C83)</f>
        <v>-290000</v>
      </c>
      <c r="G83" s="59">
        <f>SUMIFS('Normalized Units'!I:I,'Normalized Units'!B:B,"Temperature kWh Normalization",'Normalized Units'!C:C,C83,'Normalized Units'!D:D,B83)</f>
        <v>0</v>
      </c>
      <c r="H83" s="59">
        <f t="shared" si="26"/>
        <v>290000</v>
      </c>
      <c r="I83" s="59">
        <f>SUMIFS('Normalized Units'!I:I,'Normalized Units'!B:B,"Normalized Billing Units",'Normalized Units'!C:C,C83,'Normalized Units'!D:D,B83,'Normalized Units'!H:H,"kWh*")</f>
        <v>0</v>
      </c>
      <c r="J83" s="59">
        <f>SUMIFS(RVN!F:F,RVN!A:A,B83,RVN!J:J,C83)</f>
        <v>-41000</v>
      </c>
      <c r="K83" s="59" cm="1">
        <f t="array" ref="K83">IF(OR(C83={"Alt Rev Program","Blue Sky","Customer Bill Credits","DSM","Income Tax Defer Adj","Irr Demand Charge Accrual","Rev Adj Property Insur","Rev Adj"}),-J83,0)</f>
        <v>0</v>
      </c>
      <c r="L83" s="59">
        <f>-SUMIFS(RVN!F:F,RVN!A:A,B83,RVN!B:B,"B",RVN!J:J,C83)</f>
        <v>0</v>
      </c>
      <c r="M83" s="59">
        <v>0</v>
      </c>
      <c r="N83" s="59">
        <f>SUMIFS('Normalized Units'!I:I,'Normalized Units'!B:B,"Temperature $ Normalization",'Normalized Units'!D:D,B83,'Normalized Units'!C:C,C83)</f>
        <v>0</v>
      </c>
      <c r="O83" s="59">
        <f t="shared" si="24"/>
        <v>0</v>
      </c>
      <c r="P83" s="59">
        <f t="shared" si="25"/>
        <v>0</v>
      </c>
      <c r="Q83" s="59">
        <f t="shared" si="21"/>
        <v>41000</v>
      </c>
      <c r="R83" s="59">
        <v>0</v>
      </c>
      <c r="T83" s="177"/>
      <c r="U83" s="177"/>
      <c r="W83" s="49"/>
    </row>
    <row r="84" spans="1:23" ht="15.75" customHeight="1">
      <c r="B84" s="49" t="s">
        <v>167</v>
      </c>
      <c r="C84" s="78" t="s">
        <v>170</v>
      </c>
      <c r="D84" s="85">
        <f>SUMIFS(RVN!H:H,RVN!A:A,B84,RVN!J:J,C84)/12</f>
        <v>225.91666666666666</v>
      </c>
      <c r="E84" s="76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59">
        <f>SUMIFS(RVN!I:I,RVN!A:A,B84,RVN!J:J,C84)</f>
        <v>1962495</v>
      </c>
      <c r="G84" s="59">
        <f>SUMIFS('Normalized Units'!I:I,'Normalized Units'!B:B,"Temperature kWh Normalization",'Normalized Units'!C:C,C84,'Normalized Units'!D:D,B84)</f>
        <v>0</v>
      </c>
      <c r="H84" s="59">
        <f t="shared" si="26"/>
        <v>-142277.62306893896</v>
      </c>
      <c r="I84" s="59">
        <f>SUMIFS('Normalized Units'!I:I,'Normalized Units'!B:B,"Normalized Billing Units",'Normalized Units'!C:C,C84,'Normalized Units'!D:D,B84,'Normalized Units'!H:H,"kWh*")</f>
        <v>1820217.376931061</v>
      </c>
      <c r="J84" s="59">
        <f>SUMIFS(RVN!F:F,RVN!A:A,B84,RVN!J:J,C84)</f>
        <v>444222.36</v>
      </c>
      <c r="K84" s="59" cm="1">
        <f t="array" ref="K84">IF(OR(C84={"Alt Rev Program","Blue Sky","Customer Bill Credits","DSM","Income Tax Defer Adj","Irr Demand Charge Accrual","Rev Adj Property Insur","Rev Adj"}),-J84,0)</f>
        <v>0</v>
      </c>
      <c r="L84" s="59">
        <f>-SUMIFS(RVN!F:F,RVN!A:A,B84,RVN!B:B,"B",RVN!J:J,C84)</f>
        <v>0</v>
      </c>
      <c r="M84" s="59">
        <v>2801.9686094780027</v>
      </c>
      <c r="N84" s="59">
        <f>SUMIFS('Normalized Units'!I:I,'Normalized Units'!B:B,"Temperature $ Normalization",'Normalized Units'!D:D,B84,'Normalized Units'!C:C,C84)</f>
        <v>0</v>
      </c>
      <c r="O84" s="59">
        <f t="shared" si="24"/>
        <v>-441.68222203751748</v>
      </c>
      <c r="P84" s="59">
        <f t="shared" si="25"/>
        <v>27989.117417954447</v>
      </c>
      <c r="Q84" s="59">
        <f t="shared" si="21"/>
        <v>-10300.802474574288</v>
      </c>
      <c r="R84" s="59">
        <f>SUM('Sch.15,51,53,54'!G63:G75)</f>
        <v>464270.96133082063</v>
      </c>
      <c r="T84" s="177">
        <v>-0.16937993640036381</v>
      </c>
      <c r="U84" s="177">
        <v>7.5134480948769582</v>
      </c>
      <c r="W84" s="49"/>
    </row>
    <row r="85" spans="1:23" ht="15.75" customHeight="1">
      <c r="B85" s="49" t="s">
        <v>167</v>
      </c>
      <c r="C85" s="78" t="s">
        <v>227</v>
      </c>
      <c r="D85" s="85">
        <f>SUMIFS(RVN!H:H,RVN!A:A,B85,RVN!J:J,C85)/12</f>
        <v>232.58333333333334</v>
      </c>
      <c r="E85" s="76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59">
        <f>SUMIFS(RVN!I:I,RVN!A:A,B85,RVN!J:J,C85)</f>
        <v>2111852</v>
      </c>
      <c r="G85" s="59">
        <f>SUMIFS('Normalized Units'!I:I,'Normalized Units'!B:B,"Temperature kWh Normalization",'Normalized Units'!C:C,C85,'Normalized Units'!D:D,B85)</f>
        <v>0</v>
      </c>
      <c r="H85" s="59">
        <f t="shared" si="26"/>
        <v>-150379.09512371384</v>
      </c>
      <c r="I85" s="59">
        <f>SUMIFS('Normalized Units'!I:I,'Normalized Units'!B:B,"Normalized Billing Units",'Normalized Units'!C:C,C85,'Normalized Units'!D:D,B85,'Normalized Units'!H:H,"kWh*")</f>
        <v>1961472.9048762862</v>
      </c>
      <c r="J85" s="59">
        <f>SUMIFS(RVN!F:F,RVN!A:A,B85,RVN!J:J,C85)</f>
        <v>93649.87</v>
      </c>
      <c r="K85" s="59" cm="1">
        <f t="array" ref="K85">IF(OR(C85={"Alt Rev Program","Blue Sky","Customer Bill Credits","DSM","Income Tax Defer Adj","Irr Demand Charge Accrual","Rev Adj Property Insur","Rev Adj"}),-J85,0)</f>
        <v>0</v>
      </c>
      <c r="L85" s="59">
        <f>-SUMIFS(RVN!F:F,RVN!A:A,B85,RVN!B:B,"B",RVN!J:J,C85)</f>
        <v>0</v>
      </c>
      <c r="M85" s="59">
        <v>2726.2280064087818</v>
      </c>
      <c r="N85" s="59">
        <f>SUMIFS('Normalized Units'!I:I,'Normalized Units'!B:B,"Temperature $ Normalization",'Normalized Units'!D:D,B85,'Normalized Units'!C:C,C85)</f>
        <v>0</v>
      </c>
      <c r="O85" s="59">
        <f t="shared" si="24"/>
        <v>-334.61766828109091</v>
      </c>
      <c r="P85" s="59">
        <f t="shared" si="25"/>
        <v>18672.842300806904</v>
      </c>
      <c r="Q85" s="59">
        <f t="shared" si="21"/>
        <v>-7039.395129714434</v>
      </c>
      <c r="R85" s="59">
        <f>SUM('Sch.15,51,53,54'!G76:G77)</f>
        <v>107674.92750922016</v>
      </c>
      <c r="T85" s="177">
        <v>-0.59519974386566787</v>
      </c>
      <c r="U85" s="177">
        <v>23.249966770265225</v>
      </c>
      <c r="W85" s="49"/>
    </row>
    <row r="86" spans="1:23" ht="15.75" customHeight="1">
      <c r="B86" s="49" t="s">
        <v>167</v>
      </c>
      <c r="C86" s="54" t="s">
        <v>352</v>
      </c>
      <c r="D86" s="85">
        <f>SUMIFS(RVN!H:H,RVN!A:A,B86,RVN!J:J,C86)/12</f>
        <v>0</v>
      </c>
      <c r="E86" s="76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59">
        <f>SUMIFS(RVN!I:I,RVN!A:A,B86,RVN!J:J,C86)</f>
        <v>0</v>
      </c>
      <c r="G86" s="59">
        <f>SUMIFS('Normalized Units'!I:I,'Normalized Units'!B:B,"Temperature kWh Normalization",'Normalized Units'!C:C,C86,'Normalized Units'!D:D,B86)</f>
        <v>0</v>
      </c>
      <c r="H86" s="59">
        <f t="shared" si="26"/>
        <v>0</v>
      </c>
      <c r="I86" s="59">
        <f>SUMIFS('Normalized Units'!I:I,'Normalized Units'!B:B,"Normalized Billing Units",'Normalized Units'!C:C,C86,'Normalized Units'!D:D,B86,'Normalized Units'!H:H,"kWh*")</f>
        <v>0</v>
      </c>
      <c r="J86" s="59">
        <f>SUMIFS(RVN!F:F,RVN!A:A,B86,RVN!J:J,C86)</f>
        <v>90.84</v>
      </c>
      <c r="K86" s="59" cm="1">
        <f t="array" ref="K86">IF(OR(C86={"Alt Rev Program","Blue Sky","Customer Bill Credits","DSM","Income Tax Defer Adj","Irr Demand Charge Accrual","Rev Adj Property Insur","Rev Adj"}),-J86,0)</f>
        <v>0</v>
      </c>
      <c r="L86" s="59">
        <f>-SUMIFS(RVN!F:F,RVN!A:A,B86,RVN!B:B,"B",RVN!J:J,C86)</f>
        <v>0</v>
      </c>
      <c r="M86" s="59">
        <v>0</v>
      </c>
      <c r="N86" s="59">
        <f>SUMIFS('Normalized Units'!I:I,'Normalized Units'!B:B,"Temperature $ Normalization",'Normalized Units'!D:D,B86,'Normalized Units'!C:C,C86)</f>
        <v>0</v>
      </c>
      <c r="O86" s="59">
        <f t="shared" si="24"/>
        <v>0</v>
      </c>
      <c r="P86" s="59">
        <f t="shared" si="25"/>
        <v>0</v>
      </c>
      <c r="Q86" s="59">
        <f t="shared" si="21"/>
        <v>0</v>
      </c>
      <c r="R86" s="59">
        <f>J86</f>
        <v>90.84</v>
      </c>
      <c r="T86" s="175"/>
      <c r="U86" s="175"/>
      <c r="W86" s="49"/>
    </row>
    <row r="87" spans="1:23" ht="15.75" customHeight="1">
      <c r="B87" s="56" t="s">
        <v>167</v>
      </c>
      <c r="C87" s="57" t="s">
        <v>1</v>
      </c>
      <c r="D87" s="60">
        <f>SUM(D80:D86)</f>
        <v>458.5</v>
      </c>
      <c r="E87" s="60">
        <f t="shared" ref="E87:R87" si="27">SUM(E80:E86)</f>
        <v>458.5</v>
      </c>
      <c r="F87" s="60">
        <f t="shared" si="27"/>
        <v>3784347</v>
      </c>
      <c r="G87" s="60">
        <f t="shared" si="27"/>
        <v>0</v>
      </c>
      <c r="H87" s="60">
        <f t="shared" si="27"/>
        <v>-2656.7181926527992</v>
      </c>
      <c r="I87" s="60">
        <f t="shared" si="27"/>
        <v>3781690.2818073472</v>
      </c>
      <c r="J87" s="60">
        <f t="shared" si="27"/>
        <v>514793.84</v>
      </c>
      <c r="K87" s="60">
        <f t="shared" si="27"/>
        <v>-17830.77</v>
      </c>
      <c r="L87" s="60">
        <f t="shared" si="27"/>
        <v>0</v>
      </c>
      <c r="M87" s="60">
        <f t="shared" si="27"/>
        <v>5528.1966158867845</v>
      </c>
      <c r="N87" s="60">
        <f t="shared" si="27"/>
        <v>0</v>
      </c>
      <c r="O87" s="60">
        <f t="shared" si="27"/>
        <v>-776.29989031860839</v>
      </c>
      <c r="P87" s="60">
        <f t="shared" si="27"/>
        <v>46661.959718761354</v>
      </c>
      <c r="Q87" s="60">
        <f t="shared" si="27"/>
        <v>23659.802395711278</v>
      </c>
      <c r="R87" s="60">
        <f t="shared" si="27"/>
        <v>572036.72884004074</v>
      </c>
      <c r="T87" s="175"/>
      <c r="U87" s="175"/>
      <c r="W87" s="49"/>
    </row>
    <row r="88" spans="1:23" ht="15.75" customHeight="1">
      <c r="B88" s="62"/>
      <c r="C88" s="81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T88" s="175"/>
      <c r="U88" s="175"/>
      <c r="W88" s="49"/>
    </row>
    <row r="89" spans="1:23" ht="15.75" customHeight="1">
      <c r="B89" s="56" t="s">
        <v>321</v>
      </c>
      <c r="C89" s="57" t="s">
        <v>1</v>
      </c>
      <c r="D89" s="70">
        <f t="shared" ref="D89:R89" si="28">D25+D43+D62+D78+D87</f>
        <v>140534.33333333331</v>
      </c>
      <c r="E89" s="70">
        <f t="shared" si="28"/>
        <v>140527.93088372098</v>
      </c>
      <c r="F89" s="70">
        <f t="shared" si="28"/>
        <v>4215927681</v>
      </c>
      <c r="G89" s="70">
        <f t="shared" si="28"/>
        <v>-21584677.015499998</v>
      </c>
      <c r="H89" s="70">
        <f t="shared" si="28"/>
        <v>-165625.04667415097</v>
      </c>
      <c r="I89" s="70">
        <f t="shared" si="28"/>
        <v>4194177378.9378257</v>
      </c>
      <c r="J89" s="70">
        <f t="shared" si="28"/>
        <v>370457281.33999997</v>
      </c>
      <c r="K89" s="70">
        <f t="shared" si="28"/>
        <v>-17957628.640000001</v>
      </c>
      <c r="L89" s="70">
        <f t="shared" si="28"/>
        <v>16540951.610000001</v>
      </c>
      <c r="M89" s="70">
        <f t="shared" si="28"/>
        <v>-543604.89671070105</v>
      </c>
      <c r="N89" s="70">
        <f t="shared" si="28"/>
        <v>-2240536.6973766158</v>
      </c>
      <c r="O89" s="70">
        <f t="shared" si="28"/>
        <v>-1116263.2978495776</v>
      </c>
      <c r="P89" s="70">
        <f t="shared" si="28"/>
        <v>36674333.914721645</v>
      </c>
      <c r="Q89" s="70">
        <f t="shared" si="28"/>
        <v>3209782.5679518194</v>
      </c>
      <c r="R89" s="70">
        <f t="shared" si="28"/>
        <v>405024315.90073657</v>
      </c>
      <c r="T89" s="176"/>
      <c r="U89" s="176"/>
      <c r="W89" s="261">
        <f>Summary!D25+(Summary!E25+Summary!F25)*1000-E89-I89-R89</f>
        <v>7.152557373046875E-7</v>
      </c>
    </row>
    <row r="90" spans="1:23"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</row>
    <row r="91" spans="1:23" ht="17.7">
      <c r="A91" s="101" t="s">
        <v>393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</row>
    <row r="92" spans="1:23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</row>
    <row r="93" spans="1:23" ht="17.7">
      <c r="A93" s="100" t="s">
        <v>381</v>
      </c>
    </row>
    <row r="95" spans="1:23" s="72" customFormat="1" ht="17.7">
      <c r="A95" s="100" t="s">
        <v>383</v>
      </c>
    </row>
    <row r="96" spans="1:23" s="72" customFormat="1">
      <c r="A96" s="76" t="s">
        <v>323</v>
      </c>
    </row>
    <row r="97" spans="1:1" s="72" customFormat="1">
      <c r="A97" s="76" t="s">
        <v>175</v>
      </c>
    </row>
    <row r="98" spans="1:1" s="72" customFormat="1">
      <c r="A98" s="76" t="s">
        <v>324</v>
      </c>
    </row>
    <row r="99" spans="1:1" s="72" customFormat="1">
      <c r="A99" s="76" t="s">
        <v>174</v>
      </c>
    </row>
    <row r="100" spans="1:1" s="72" customFormat="1">
      <c r="A100" s="76" t="s">
        <v>325</v>
      </c>
    </row>
    <row r="101" spans="1:1">
      <c r="A101" s="76" t="s">
        <v>326</v>
      </c>
    </row>
    <row r="102" spans="1:1" s="72" customFormat="1">
      <c r="A102" s="76" t="s">
        <v>192</v>
      </c>
    </row>
    <row r="103" spans="1:1">
      <c r="A103" s="76" t="s">
        <v>191</v>
      </c>
    </row>
    <row r="104" spans="1:1" s="72" customFormat="1"/>
    <row r="105" spans="1:1" s="72" customFormat="1" ht="17.7">
      <c r="A105" s="100" t="s">
        <v>386</v>
      </c>
    </row>
    <row r="106" spans="1:1" s="72" customFormat="1">
      <c r="A106" s="76" t="s">
        <v>361</v>
      </c>
    </row>
    <row r="107" spans="1:1" s="72" customFormat="1">
      <c r="A107" s="76" t="s">
        <v>362</v>
      </c>
    </row>
    <row r="108" spans="1:1" s="72" customFormat="1">
      <c r="A108" s="76" t="s">
        <v>363</v>
      </c>
    </row>
    <row r="109" spans="1:1" s="72" customFormat="1">
      <c r="A109" s="76" t="s">
        <v>364</v>
      </c>
    </row>
    <row r="110" spans="1:1">
      <c r="A110" s="76" t="s">
        <v>365</v>
      </c>
    </row>
    <row r="111" spans="1:1" s="71" customFormat="1" ht="15.75" customHeight="1">
      <c r="A111" s="72"/>
    </row>
    <row r="112" spans="1:1" ht="17.7">
      <c r="A112" s="100" t="s">
        <v>387</v>
      </c>
    </row>
    <row r="113" spans="1:1" ht="17.7">
      <c r="A113" s="100" t="s">
        <v>388</v>
      </c>
    </row>
    <row r="114" spans="1:1" ht="17.7">
      <c r="A114" s="101"/>
    </row>
    <row r="115" spans="1:1" ht="17.7">
      <c r="A115" s="101" t="s">
        <v>389</v>
      </c>
    </row>
    <row r="116" spans="1:1">
      <c r="A116" s="71" t="s">
        <v>374</v>
      </c>
    </row>
    <row r="117" spans="1:1">
      <c r="A117" s="71" t="s">
        <v>371</v>
      </c>
    </row>
    <row r="118" spans="1:1">
      <c r="A118" s="71" t="s">
        <v>372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/>
    </sheetView>
  </sheetViews>
  <sheetFormatPr defaultColWidth="9" defaultRowHeight="15.35"/>
  <cols>
    <col min="1" max="1" width="0.83203125" style="109" customWidth="1"/>
    <col min="2" max="2" width="15.1640625" style="109" customWidth="1"/>
    <col min="3" max="3" width="11" style="109" bestFit="1" customWidth="1"/>
    <col min="4" max="4" width="7.6640625" style="109" bestFit="1" customWidth="1"/>
    <col min="5" max="5" width="12.6640625" style="109" bestFit="1" customWidth="1"/>
    <col min="6" max="6" width="13.6640625" style="110" customWidth="1"/>
    <col min="7" max="19" width="15.1640625" style="110" customWidth="1"/>
    <col min="20" max="21" width="0.83203125" style="110" customWidth="1"/>
    <col min="22" max="23" width="15.1640625" style="110" customWidth="1"/>
    <col min="24" max="16384" width="9" style="110"/>
  </cols>
  <sheetData>
    <row r="2" spans="2:22">
      <c r="B2" s="111" t="s">
        <v>221</v>
      </c>
      <c r="C2" s="112"/>
      <c r="D2" s="112"/>
      <c r="E2" s="112"/>
      <c r="F2" s="112"/>
      <c r="G2" s="171"/>
      <c r="H2" s="111" t="s">
        <v>214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V2" s="114"/>
    </row>
    <row r="3" spans="2:22">
      <c r="B3" s="114" t="s">
        <v>209</v>
      </c>
      <c r="C3" s="114" t="s">
        <v>178</v>
      </c>
      <c r="D3" s="114" t="s">
        <v>193</v>
      </c>
      <c r="E3" s="169" t="s">
        <v>205</v>
      </c>
      <c r="F3" s="115" t="s">
        <v>216</v>
      </c>
      <c r="G3" s="116" t="s">
        <v>217</v>
      </c>
      <c r="H3" s="117">
        <v>44378</v>
      </c>
      <c r="I3" s="117">
        <v>44409</v>
      </c>
      <c r="J3" s="117">
        <v>44440</v>
      </c>
      <c r="K3" s="117">
        <v>44470</v>
      </c>
      <c r="L3" s="117">
        <v>44501</v>
      </c>
      <c r="M3" s="117">
        <v>44531</v>
      </c>
      <c r="N3" s="117">
        <v>44562</v>
      </c>
      <c r="O3" s="117">
        <v>44593</v>
      </c>
      <c r="P3" s="117">
        <v>44621</v>
      </c>
      <c r="Q3" s="117">
        <v>44652</v>
      </c>
      <c r="R3" s="117">
        <v>44682</v>
      </c>
      <c r="S3" s="117">
        <v>44713</v>
      </c>
      <c r="V3" s="118" t="s">
        <v>215</v>
      </c>
    </row>
    <row r="4" spans="2:22">
      <c r="B4" s="119"/>
      <c r="C4" s="119"/>
      <c r="D4" s="114"/>
      <c r="E4" s="115"/>
      <c r="F4" s="115"/>
      <c r="G4" s="114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V4" s="121"/>
    </row>
    <row r="5" spans="2:22">
      <c r="B5" s="122" t="s">
        <v>229</v>
      </c>
      <c r="C5" s="122" t="s">
        <v>195</v>
      </c>
      <c r="D5" s="121" t="s">
        <v>199</v>
      </c>
      <c r="E5" s="168" t="s">
        <v>335</v>
      </c>
      <c r="F5" s="123" t="s">
        <v>276</v>
      </c>
      <c r="G5" s="124">
        <f t="shared" ref="G5:G28" si="0">SUM(H5:S5)/IF(OR(B5="Schedule 40",E5="Annual Bill"),1,12)</f>
        <v>9169.3972222222237</v>
      </c>
      <c r="H5" s="125">
        <v>9226.2666666666682</v>
      </c>
      <c r="I5" s="125">
        <v>9224.0333333333292</v>
      </c>
      <c r="J5" s="125">
        <v>9192.133333333335</v>
      </c>
      <c r="K5" s="125">
        <v>9189.8000000000029</v>
      </c>
      <c r="L5" s="125">
        <v>9187.466666666669</v>
      </c>
      <c r="M5" s="125">
        <v>9186.1000000000022</v>
      </c>
      <c r="N5" s="125">
        <v>9158.6333333333278</v>
      </c>
      <c r="O5" s="125">
        <v>9133.9666666666708</v>
      </c>
      <c r="P5" s="125">
        <v>9144.5666666666693</v>
      </c>
      <c r="Q5" s="125">
        <v>9123.8333333333358</v>
      </c>
      <c r="R5" s="125">
        <v>9121.9333333333343</v>
      </c>
      <c r="S5" s="125">
        <v>9144.0333333333347</v>
      </c>
      <c r="V5" s="121"/>
    </row>
    <row r="6" spans="2:22">
      <c r="B6" s="122" t="s">
        <v>229</v>
      </c>
      <c r="C6" s="122" t="s">
        <v>195</v>
      </c>
      <c r="D6" s="121" t="s">
        <v>199</v>
      </c>
      <c r="E6" s="168" t="s">
        <v>335</v>
      </c>
      <c r="F6" s="126" t="s">
        <v>277</v>
      </c>
      <c r="G6" s="124">
        <f t="shared" si="0"/>
        <v>2931.172222222222</v>
      </c>
      <c r="H6" s="125">
        <v>2873.3666666666668</v>
      </c>
      <c r="I6" s="125">
        <v>2883.8666666666668</v>
      </c>
      <c r="J6" s="125">
        <v>2882.2333333333336</v>
      </c>
      <c r="K6" s="125">
        <v>2886.9666666666667</v>
      </c>
      <c r="L6" s="125">
        <v>2899.7333333333336</v>
      </c>
      <c r="M6" s="125">
        <v>2923</v>
      </c>
      <c r="N6" s="125">
        <v>2944.0666666666666</v>
      </c>
      <c r="O6" s="125">
        <v>2946.1</v>
      </c>
      <c r="P6" s="125">
        <v>2965.666666666667</v>
      </c>
      <c r="Q6" s="125">
        <v>2976.9666666666662</v>
      </c>
      <c r="R6" s="125">
        <v>2989.1333333333332</v>
      </c>
      <c r="S6" s="125">
        <v>3002.9666666666662</v>
      </c>
      <c r="V6" s="121"/>
    </row>
    <row r="7" spans="2:22">
      <c r="B7" s="122" t="s">
        <v>229</v>
      </c>
      <c r="C7" s="122" t="s">
        <v>195</v>
      </c>
      <c r="D7" s="121" t="s">
        <v>199</v>
      </c>
      <c r="E7" s="168" t="s">
        <v>335</v>
      </c>
      <c r="F7" s="127" t="s">
        <v>278</v>
      </c>
      <c r="G7" s="124">
        <f t="shared" si="0"/>
        <v>2799.2333333333331</v>
      </c>
      <c r="H7" s="125">
        <v>2752.5000000000005</v>
      </c>
      <c r="I7" s="125">
        <v>2764.9</v>
      </c>
      <c r="J7" s="125">
        <v>2772.9333333333334</v>
      </c>
      <c r="K7" s="125">
        <v>2784.7333333333336</v>
      </c>
      <c r="L7" s="125">
        <v>2802.5999999999995</v>
      </c>
      <c r="M7" s="125">
        <v>2816.0666666666671</v>
      </c>
      <c r="N7" s="125">
        <v>2824.8</v>
      </c>
      <c r="O7" s="125">
        <v>2817.1999999999994</v>
      </c>
      <c r="P7" s="125">
        <v>2817.5333333333328</v>
      </c>
      <c r="Q7" s="125">
        <v>2813.6333333333328</v>
      </c>
      <c r="R7" s="125">
        <v>2812.2</v>
      </c>
      <c r="S7" s="125">
        <v>2811.7000000000003</v>
      </c>
      <c r="V7" s="121"/>
    </row>
    <row r="8" spans="2:22">
      <c r="B8" s="122" t="s">
        <v>229</v>
      </c>
      <c r="C8" s="122" t="s">
        <v>195</v>
      </c>
      <c r="D8" s="121" t="s">
        <v>199</v>
      </c>
      <c r="E8" s="168" t="s">
        <v>335</v>
      </c>
      <c r="F8" s="127" t="s">
        <v>218</v>
      </c>
      <c r="G8" s="124">
        <f t="shared" si="0"/>
        <v>1.25</v>
      </c>
      <c r="H8" s="125">
        <v>3</v>
      </c>
      <c r="I8" s="125">
        <v>2</v>
      </c>
      <c r="J8" s="125">
        <v>1</v>
      </c>
      <c r="K8" s="125">
        <v>1</v>
      </c>
      <c r="L8" s="125">
        <v>1</v>
      </c>
      <c r="M8" s="125">
        <v>1</v>
      </c>
      <c r="N8" s="125">
        <v>1</v>
      </c>
      <c r="O8" s="125">
        <v>1</v>
      </c>
      <c r="P8" s="125">
        <v>1</v>
      </c>
      <c r="Q8" s="125">
        <v>1</v>
      </c>
      <c r="R8" s="125">
        <v>1</v>
      </c>
      <c r="S8" s="125">
        <v>1</v>
      </c>
      <c r="V8" s="121"/>
    </row>
    <row r="9" spans="2:22">
      <c r="B9" s="122" t="s">
        <v>229</v>
      </c>
      <c r="C9" s="122" t="s">
        <v>195</v>
      </c>
      <c r="D9" s="121" t="s">
        <v>199</v>
      </c>
      <c r="E9" s="168" t="s">
        <v>335</v>
      </c>
      <c r="F9" s="127" t="s">
        <v>219</v>
      </c>
      <c r="G9" s="124">
        <f t="shared" si="0"/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V9" s="121"/>
    </row>
    <row r="10" spans="2:22">
      <c r="B10" s="122" t="s">
        <v>229</v>
      </c>
      <c r="C10" s="122" t="s">
        <v>195</v>
      </c>
      <c r="D10" s="121" t="s">
        <v>199</v>
      </c>
      <c r="E10" s="168" t="s">
        <v>335</v>
      </c>
      <c r="F10" s="127" t="s">
        <v>220</v>
      </c>
      <c r="G10" s="124">
        <f t="shared" si="0"/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V10" s="121"/>
    </row>
    <row r="11" spans="2:22">
      <c r="B11" s="122" t="s">
        <v>229</v>
      </c>
      <c r="C11" s="122" t="s">
        <v>195</v>
      </c>
      <c r="D11" s="121" t="s">
        <v>199</v>
      </c>
      <c r="E11" s="168" t="s">
        <v>336</v>
      </c>
      <c r="F11" s="123" t="s">
        <v>276</v>
      </c>
      <c r="G11" s="124">
        <f t="shared" si="0"/>
        <v>0.63013698630136983</v>
      </c>
      <c r="H11" s="125">
        <v>0</v>
      </c>
      <c r="I11" s="125">
        <v>0</v>
      </c>
      <c r="J11" s="125">
        <v>0</v>
      </c>
      <c r="K11" s="125">
        <v>0</v>
      </c>
      <c r="L11" s="125">
        <v>0.63013698630136983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V11" s="121"/>
    </row>
    <row r="12" spans="2:22">
      <c r="B12" s="122" t="s">
        <v>229</v>
      </c>
      <c r="C12" s="122" t="s">
        <v>195</v>
      </c>
      <c r="D12" s="121" t="s">
        <v>199</v>
      </c>
      <c r="E12" s="168" t="s">
        <v>336</v>
      </c>
      <c r="F12" s="126" t="s">
        <v>277</v>
      </c>
      <c r="G12" s="124">
        <f t="shared" si="0"/>
        <v>2</v>
      </c>
      <c r="H12" s="125">
        <v>0</v>
      </c>
      <c r="I12" s="125">
        <v>0</v>
      </c>
      <c r="J12" s="125">
        <v>0</v>
      </c>
      <c r="K12" s="125">
        <v>0</v>
      </c>
      <c r="L12" s="125">
        <v>2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V12" s="121"/>
    </row>
    <row r="13" spans="2:22">
      <c r="B13" s="122" t="s">
        <v>229</v>
      </c>
      <c r="C13" s="122" t="s">
        <v>195</v>
      </c>
      <c r="D13" s="121" t="s">
        <v>199</v>
      </c>
      <c r="E13" s="168" t="s">
        <v>336</v>
      </c>
      <c r="F13" s="127" t="s">
        <v>278</v>
      </c>
      <c r="G13" s="124">
        <f t="shared" si="0"/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V13" s="121"/>
    </row>
    <row r="14" spans="2:22">
      <c r="B14" s="122" t="s">
        <v>229</v>
      </c>
      <c r="C14" s="122" t="s">
        <v>195</v>
      </c>
      <c r="D14" s="121" t="s">
        <v>199</v>
      </c>
      <c r="E14" s="168" t="s">
        <v>336</v>
      </c>
      <c r="F14" s="127" t="s">
        <v>218</v>
      </c>
      <c r="G14" s="124">
        <f t="shared" si="0"/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V14" s="121"/>
    </row>
    <row r="15" spans="2:22">
      <c r="B15" s="122" t="s">
        <v>229</v>
      </c>
      <c r="C15" s="122" t="s">
        <v>195</v>
      </c>
      <c r="D15" s="121" t="s">
        <v>199</v>
      </c>
      <c r="E15" s="168" t="s">
        <v>336</v>
      </c>
      <c r="F15" s="127" t="s">
        <v>219</v>
      </c>
      <c r="G15" s="124">
        <f t="shared" si="0"/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V15" s="121"/>
    </row>
    <row r="16" spans="2:22">
      <c r="B16" s="122" t="s">
        <v>229</v>
      </c>
      <c r="C16" s="122" t="s">
        <v>195</v>
      </c>
      <c r="D16" s="121" t="s">
        <v>199</v>
      </c>
      <c r="E16" s="168" t="s">
        <v>336</v>
      </c>
      <c r="F16" s="127" t="s">
        <v>220</v>
      </c>
      <c r="G16" s="124">
        <f t="shared" si="0"/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V16" s="121"/>
    </row>
    <row r="17" spans="2:22">
      <c r="B17" s="122" t="s">
        <v>229</v>
      </c>
      <c r="C17" s="122" t="s">
        <v>195</v>
      </c>
      <c r="D17" s="121" t="s">
        <v>200</v>
      </c>
      <c r="E17" s="168" t="s">
        <v>335</v>
      </c>
      <c r="F17" s="123" t="s">
        <v>276</v>
      </c>
      <c r="G17" s="124">
        <f t="shared" si="0"/>
        <v>602.85000000000014</v>
      </c>
      <c r="H17" s="125">
        <v>604.16666666666674</v>
      </c>
      <c r="I17" s="125">
        <v>604.56666666666672</v>
      </c>
      <c r="J17" s="125">
        <v>606.13333333333344</v>
      </c>
      <c r="K17" s="125">
        <v>598.66666666666674</v>
      </c>
      <c r="L17" s="125">
        <v>598.40000000000009</v>
      </c>
      <c r="M17" s="125">
        <v>604.80000000000007</v>
      </c>
      <c r="N17" s="125">
        <v>604.43333333333328</v>
      </c>
      <c r="O17" s="125">
        <v>599.16666666666674</v>
      </c>
      <c r="P17" s="125">
        <v>601.30000000000007</v>
      </c>
      <c r="Q17" s="125">
        <v>601.40000000000009</v>
      </c>
      <c r="R17" s="125">
        <v>603.23333333333335</v>
      </c>
      <c r="S17" s="125">
        <v>607.93333333333339</v>
      </c>
      <c r="V17" s="121"/>
    </row>
    <row r="18" spans="2:22">
      <c r="B18" s="122" t="s">
        <v>229</v>
      </c>
      <c r="C18" s="122" t="s">
        <v>195</v>
      </c>
      <c r="D18" s="121" t="s">
        <v>200</v>
      </c>
      <c r="E18" s="168" t="s">
        <v>335</v>
      </c>
      <c r="F18" s="126" t="s">
        <v>277</v>
      </c>
      <c r="G18" s="124">
        <f t="shared" si="0"/>
        <v>1439.5722222222223</v>
      </c>
      <c r="H18" s="125">
        <v>1445.8999999999999</v>
      </c>
      <c r="I18" s="125">
        <v>1435.3666666666666</v>
      </c>
      <c r="J18" s="125">
        <v>1424.9999999999998</v>
      </c>
      <c r="K18" s="125">
        <v>1420.7333333333331</v>
      </c>
      <c r="L18" s="125">
        <v>1422.7666666666669</v>
      </c>
      <c r="M18" s="125">
        <v>1435.6000000000001</v>
      </c>
      <c r="N18" s="125">
        <v>1441.3666666666668</v>
      </c>
      <c r="O18" s="125">
        <v>1438.8333333333335</v>
      </c>
      <c r="P18" s="125">
        <v>1444.1</v>
      </c>
      <c r="Q18" s="125">
        <v>1447.4666666666667</v>
      </c>
      <c r="R18" s="125">
        <v>1453.1333333333332</v>
      </c>
      <c r="S18" s="125">
        <v>1464.6</v>
      </c>
      <c r="V18" s="121"/>
    </row>
    <row r="19" spans="2:22">
      <c r="B19" s="122" t="s">
        <v>229</v>
      </c>
      <c r="C19" s="122" t="s">
        <v>195</v>
      </c>
      <c r="D19" s="121" t="s">
        <v>200</v>
      </c>
      <c r="E19" s="168" t="s">
        <v>335</v>
      </c>
      <c r="F19" s="127" t="s">
        <v>278</v>
      </c>
      <c r="G19" s="124">
        <f t="shared" si="0"/>
        <v>3709.1944444444439</v>
      </c>
      <c r="H19" s="125">
        <v>3670.166666666667</v>
      </c>
      <c r="I19" s="125">
        <v>3686.7999999999993</v>
      </c>
      <c r="J19" s="125">
        <v>3692.8</v>
      </c>
      <c r="K19" s="125">
        <v>3709.4333333333329</v>
      </c>
      <c r="L19" s="125">
        <v>3715.8666666666663</v>
      </c>
      <c r="M19" s="125">
        <v>3716.7333333333336</v>
      </c>
      <c r="N19" s="125">
        <v>3718.7666666666669</v>
      </c>
      <c r="O19" s="125">
        <v>3719.4</v>
      </c>
      <c r="P19" s="125">
        <v>3725.4</v>
      </c>
      <c r="Q19" s="125">
        <v>3720.7333333333331</v>
      </c>
      <c r="R19" s="125">
        <v>3720.4666666666662</v>
      </c>
      <c r="S19" s="125">
        <v>3713.7666666666664</v>
      </c>
      <c r="V19" s="121"/>
    </row>
    <row r="20" spans="2:22">
      <c r="B20" s="122" t="s">
        <v>229</v>
      </c>
      <c r="C20" s="122" t="s">
        <v>195</v>
      </c>
      <c r="D20" s="121" t="s">
        <v>200</v>
      </c>
      <c r="E20" s="168" t="s">
        <v>335</v>
      </c>
      <c r="F20" s="127" t="s">
        <v>218</v>
      </c>
      <c r="G20" s="124">
        <f t="shared" si="0"/>
        <v>90.677777777777763</v>
      </c>
      <c r="H20" s="125">
        <v>130.03333333333333</v>
      </c>
      <c r="I20" s="125">
        <v>113.06666666666666</v>
      </c>
      <c r="J20" s="125">
        <v>111.06666666666666</v>
      </c>
      <c r="K20" s="125">
        <v>102.8</v>
      </c>
      <c r="L20" s="125">
        <v>92.366666666666674</v>
      </c>
      <c r="M20" s="125">
        <v>87</v>
      </c>
      <c r="N20" s="125">
        <v>83</v>
      </c>
      <c r="O20" s="125">
        <v>77.366666666666674</v>
      </c>
      <c r="P20" s="125">
        <v>75.766666666666666</v>
      </c>
      <c r="Q20" s="125">
        <v>74.366666666666674</v>
      </c>
      <c r="R20" s="125">
        <v>71.3</v>
      </c>
      <c r="S20" s="125">
        <v>70</v>
      </c>
      <c r="V20" s="121"/>
    </row>
    <row r="21" spans="2:22">
      <c r="B21" s="122" t="s">
        <v>229</v>
      </c>
      <c r="C21" s="122" t="s">
        <v>195</v>
      </c>
      <c r="D21" s="121" t="s">
        <v>200</v>
      </c>
      <c r="E21" s="168" t="s">
        <v>335</v>
      </c>
      <c r="F21" s="127" t="s">
        <v>219</v>
      </c>
      <c r="G21" s="124">
        <f t="shared" si="0"/>
        <v>3.4166666666666665</v>
      </c>
      <c r="H21" s="125">
        <v>5</v>
      </c>
      <c r="I21" s="125">
        <v>5</v>
      </c>
      <c r="J21" s="125">
        <v>4</v>
      </c>
      <c r="K21" s="125">
        <v>4</v>
      </c>
      <c r="L21" s="125">
        <v>4</v>
      </c>
      <c r="M21" s="125">
        <v>4</v>
      </c>
      <c r="N21" s="125">
        <v>2</v>
      </c>
      <c r="O21" s="125">
        <v>3</v>
      </c>
      <c r="P21" s="125">
        <v>3</v>
      </c>
      <c r="Q21" s="125">
        <v>3</v>
      </c>
      <c r="R21" s="125">
        <v>2</v>
      </c>
      <c r="S21" s="125">
        <v>2</v>
      </c>
      <c r="V21" s="121"/>
    </row>
    <row r="22" spans="2:22">
      <c r="B22" s="122" t="s">
        <v>229</v>
      </c>
      <c r="C22" s="122" t="s">
        <v>195</v>
      </c>
      <c r="D22" s="121" t="s">
        <v>200</v>
      </c>
      <c r="E22" s="168" t="s">
        <v>335</v>
      </c>
      <c r="F22" s="127" t="s">
        <v>220</v>
      </c>
      <c r="G22" s="124">
        <f t="shared" si="0"/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V22" s="167"/>
    </row>
    <row r="23" spans="2:22">
      <c r="B23" s="122" t="s">
        <v>229</v>
      </c>
      <c r="C23" s="122" t="s">
        <v>195</v>
      </c>
      <c r="D23" s="121" t="s">
        <v>200</v>
      </c>
      <c r="E23" s="168" t="s">
        <v>336</v>
      </c>
      <c r="F23" s="123" t="s">
        <v>276</v>
      </c>
      <c r="G23" s="124">
        <f t="shared" si="0"/>
        <v>23.131506849315066</v>
      </c>
      <c r="H23" s="125">
        <v>0</v>
      </c>
      <c r="I23" s="125">
        <v>0</v>
      </c>
      <c r="J23" s="125">
        <v>0</v>
      </c>
      <c r="K23" s="125">
        <v>0</v>
      </c>
      <c r="L23" s="125">
        <v>22.501369863013696</v>
      </c>
      <c r="M23" s="125">
        <v>0</v>
      </c>
      <c r="N23" s="125">
        <v>0</v>
      </c>
      <c r="O23" s="125">
        <v>0.19178082191780821</v>
      </c>
      <c r="P23" s="125">
        <v>0</v>
      </c>
      <c r="Q23" s="125">
        <v>0</v>
      </c>
      <c r="R23" s="125">
        <v>0.43835616438356162</v>
      </c>
      <c r="S23" s="125">
        <v>0</v>
      </c>
      <c r="V23" s="121"/>
    </row>
    <row r="24" spans="2:22">
      <c r="B24" s="122" t="s">
        <v>229</v>
      </c>
      <c r="C24" s="122" t="s">
        <v>195</v>
      </c>
      <c r="D24" s="121" t="s">
        <v>200</v>
      </c>
      <c r="E24" s="168" t="s">
        <v>336</v>
      </c>
      <c r="F24" s="126" t="s">
        <v>277</v>
      </c>
      <c r="G24" s="124">
        <f t="shared" si="0"/>
        <v>2</v>
      </c>
      <c r="H24" s="125">
        <v>0</v>
      </c>
      <c r="I24" s="125">
        <v>0</v>
      </c>
      <c r="J24" s="125">
        <v>0</v>
      </c>
      <c r="K24" s="125">
        <v>0</v>
      </c>
      <c r="L24" s="125">
        <v>2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V24" s="121"/>
    </row>
    <row r="25" spans="2:22">
      <c r="B25" s="122" t="s">
        <v>229</v>
      </c>
      <c r="C25" s="122" t="s">
        <v>195</v>
      </c>
      <c r="D25" s="121" t="s">
        <v>200</v>
      </c>
      <c r="E25" s="168" t="s">
        <v>336</v>
      </c>
      <c r="F25" s="127" t="s">
        <v>278</v>
      </c>
      <c r="G25" s="124">
        <f t="shared" si="0"/>
        <v>39.339726027397248</v>
      </c>
      <c r="H25" s="125">
        <v>0</v>
      </c>
      <c r="I25" s="125">
        <v>0</v>
      </c>
      <c r="J25" s="125">
        <v>0</v>
      </c>
      <c r="K25" s="125">
        <v>0</v>
      </c>
      <c r="L25" s="125">
        <v>38.649315068493138</v>
      </c>
      <c r="M25" s="125">
        <v>0</v>
      </c>
      <c r="N25" s="125">
        <v>0</v>
      </c>
      <c r="O25" s="125">
        <v>0</v>
      </c>
      <c r="P25" s="125">
        <v>0.30410958904109592</v>
      </c>
      <c r="Q25" s="125">
        <v>0</v>
      </c>
      <c r="R25" s="125">
        <v>0.38630136986301372</v>
      </c>
      <c r="S25" s="125">
        <v>0</v>
      </c>
      <c r="V25" s="121"/>
    </row>
    <row r="26" spans="2:22">
      <c r="B26" s="122" t="s">
        <v>229</v>
      </c>
      <c r="C26" s="122" t="s">
        <v>195</v>
      </c>
      <c r="D26" s="121" t="s">
        <v>200</v>
      </c>
      <c r="E26" s="168" t="s">
        <v>336</v>
      </c>
      <c r="F26" s="127" t="s">
        <v>218</v>
      </c>
      <c r="G26" s="124">
        <f t="shared" si="0"/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V26" s="121"/>
    </row>
    <row r="27" spans="2:22">
      <c r="B27" s="122" t="s">
        <v>229</v>
      </c>
      <c r="C27" s="122" t="s">
        <v>195</v>
      </c>
      <c r="D27" s="121" t="s">
        <v>200</v>
      </c>
      <c r="E27" s="168" t="s">
        <v>336</v>
      </c>
      <c r="F27" s="127" t="s">
        <v>219</v>
      </c>
      <c r="G27" s="124">
        <f t="shared" si="0"/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V27" s="121"/>
    </row>
    <row r="28" spans="2:22">
      <c r="B28" s="122" t="s">
        <v>229</v>
      </c>
      <c r="C28" s="122" t="s">
        <v>195</v>
      </c>
      <c r="D28" s="121" t="s">
        <v>200</v>
      </c>
      <c r="E28" s="168" t="s">
        <v>336</v>
      </c>
      <c r="F28" s="127" t="s">
        <v>220</v>
      </c>
      <c r="G28" s="132">
        <f t="shared" si="0"/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V28" s="128">
        <f>'Normalized Summary'!E20+'Normalized Summary'!E36+'Normalized Summary'!E54-SUM(G5:G28)</f>
        <v>0</v>
      </c>
    </row>
    <row r="29" spans="2:22">
      <c r="B29" s="114"/>
      <c r="C29" s="114"/>
      <c r="D29" s="114"/>
      <c r="E29" s="169"/>
      <c r="F29" s="115"/>
      <c r="G29" s="17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V29" s="114"/>
    </row>
    <row r="30" spans="2:22">
      <c r="B30" s="122" t="s">
        <v>279</v>
      </c>
      <c r="C30" s="122" t="s">
        <v>176</v>
      </c>
      <c r="D30" s="121" t="s">
        <v>199</v>
      </c>
      <c r="E30" s="168" t="s">
        <v>195</v>
      </c>
      <c r="F30" s="123" t="s">
        <v>276</v>
      </c>
      <c r="G30" s="124">
        <f t="shared" ref="G30:G53" si="1">SUM(H30:S30)/IF(OR(B30="Schedule 40",E30="Annual Bill"),1,12)</f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V30" s="121"/>
    </row>
    <row r="31" spans="2:22">
      <c r="B31" s="122" t="s">
        <v>279</v>
      </c>
      <c r="C31" s="122" t="s">
        <v>176</v>
      </c>
      <c r="D31" s="121" t="s">
        <v>199</v>
      </c>
      <c r="E31" s="168" t="s">
        <v>195</v>
      </c>
      <c r="F31" s="126" t="s">
        <v>277</v>
      </c>
      <c r="G31" s="124">
        <f t="shared" si="1"/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V31" s="121"/>
    </row>
    <row r="32" spans="2:22">
      <c r="B32" s="122" t="s">
        <v>279</v>
      </c>
      <c r="C32" s="122" t="s">
        <v>176</v>
      </c>
      <c r="D32" s="121" t="s">
        <v>199</v>
      </c>
      <c r="E32" s="168" t="s">
        <v>195</v>
      </c>
      <c r="F32" s="127" t="s">
        <v>278</v>
      </c>
      <c r="G32" s="124">
        <f t="shared" si="1"/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V32" s="121"/>
    </row>
    <row r="33" spans="2:22">
      <c r="B33" s="122" t="s">
        <v>279</v>
      </c>
      <c r="C33" s="122" t="s">
        <v>176</v>
      </c>
      <c r="D33" s="121" t="s">
        <v>199</v>
      </c>
      <c r="E33" s="168" t="s">
        <v>195</v>
      </c>
      <c r="F33" s="127" t="s">
        <v>218</v>
      </c>
      <c r="G33" s="124">
        <f t="shared" si="1"/>
        <v>10.441666666666666</v>
      </c>
      <c r="H33" s="125">
        <v>9</v>
      </c>
      <c r="I33" s="125">
        <v>10</v>
      </c>
      <c r="J33" s="125">
        <v>11</v>
      </c>
      <c r="K33" s="125">
        <v>11</v>
      </c>
      <c r="L33" s="125">
        <v>11</v>
      </c>
      <c r="M33" s="125">
        <v>11</v>
      </c>
      <c r="N33" s="125">
        <v>11</v>
      </c>
      <c r="O33" s="125">
        <v>11.3</v>
      </c>
      <c r="P33" s="125">
        <v>10</v>
      </c>
      <c r="Q33" s="125">
        <v>10</v>
      </c>
      <c r="R33" s="125">
        <v>10</v>
      </c>
      <c r="S33" s="125">
        <v>10</v>
      </c>
      <c r="V33" s="121"/>
    </row>
    <row r="34" spans="2:22">
      <c r="B34" s="122" t="s">
        <v>279</v>
      </c>
      <c r="C34" s="122" t="s">
        <v>176</v>
      </c>
      <c r="D34" s="121" t="s">
        <v>199</v>
      </c>
      <c r="E34" s="168" t="s">
        <v>195</v>
      </c>
      <c r="F34" s="127" t="s">
        <v>219</v>
      </c>
      <c r="G34" s="124">
        <f t="shared" si="1"/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V34" s="121"/>
    </row>
    <row r="35" spans="2:22">
      <c r="B35" s="122" t="s">
        <v>279</v>
      </c>
      <c r="C35" s="122" t="s">
        <v>176</v>
      </c>
      <c r="D35" s="121" t="s">
        <v>199</v>
      </c>
      <c r="E35" s="168" t="s">
        <v>195</v>
      </c>
      <c r="F35" s="127" t="s">
        <v>220</v>
      </c>
      <c r="G35" s="124">
        <f t="shared" si="1"/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V35" s="121"/>
    </row>
    <row r="36" spans="2:22">
      <c r="B36" s="122" t="s">
        <v>279</v>
      </c>
      <c r="C36" s="122" t="s">
        <v>176</v>
      </c>
      <c r="D36" s="121" t="s">
        <v>200</v>
      </c>
      <c r="E36" s="168" t="s">
        <v>195</v>
      </c>
      <c r="F36" s="123" t="s">
        <v>276</v>
      </c>
      <c r="G36" s="124">
        <f t="shared" si="1"/>
        <v>6.5222222222222221</v>
      </c>
      <c r="H36" s="125">
        <v>5</v>
      </c>
      <c r="I36" s="125">
        <v>6</v>
      </c>
      <c r="J36" s="125">
        <v>6</v>
      </c>
      <c r="K36" s="125">
        <v>6</v>
      </c>
      <c r="L36" s="125">
        <v>6</v>
      </c>
      <c r="M36" s="125">
        <v>6</v>
      </c>
      <c r="N36" s="125">
        <v>6</v>
      </c>
      <c r="O36" s="125">
        <v>6</v>
      </c>
      <c r="P36" s="125">
        <v>6.8666666666666671</v>
      </c>
      <c r="Q36" s="125">
        <v>7.7333333333333334</v>
      </c>
      <c r="R36" s="125">
        <v>8</v>
      </c>
      <c r="S36" s="125">
        <v>8.6666666666666679</v>
      </c>
      <c r="V36" s="121"/>
    </row>
    <row r="37" spans="2:22">
      <c r="B37" s="122" t="s">
        <v>279</v>
      </c>
      <c r="C37" s="122" t="s">
        <v>176</v>
      </c>
      <c r="D37" s="121" t="s">
        <v>200</v>
      </c>
      <c r="E37" s="168" t="s">
        <v>195</v>
      </c>
      <c r="F37" s="126" t="s">
        <v>277</v>
      </c>
      <c r="G37" s="124">
        <f t="shared" si="1"/>
        <v>2.4138888888888888</v>
      </c>
      <c r="H37" s="125">
        <v>1</v>
      </c>
      <c r="I37" s="125">
        <v>1</v>
      </c>
      <c r="J37" s="125">
        <v>1</v>
      </c>
      <c r="K37" s="125">
        <v>1</v>
      </c>
      <c r="L37" s="125">
        <v>3.7</v>
      </c>
      <c r="M37" s="125">
        <v>3</v>
      </c>
      <c r="N37" s="125">
        <v>3</v>
      </c>
      <c r="O37" s="125">
        <v>3</v>
      </c>
      <c r="P37" s="125">
        <v>3</v>
      </c>
      <c r="Q37" s="125">
        <v>3</v>
      </c>
      <c r="R37" s="125">
        <v>3</v>
      </c>
      <c r="S37" s="125">
        <v>3.2666666666666666</v>
      </c>
      <c r="V37" s="121"/>
    </row>
    <row r="38" spans="2:22">
      <c r="B38" s="122" t="s">
        <v>279</v>
      </c>
      <c r="C38" s="122" t="s">
        <v>176</v>
      </c>
      <c r="D38" s="121" t="s">
        <v>200</v>
      </c>
      <c r="E38" s="168" t="s">
        <v>195</v>
      </c>
      <c r="F38" s="127" t="s">
        <v>278</v>
      </c>
      <c r="G38" s="124">
        <f t="shared" si="1"/>
        <v>32.136111111111113</v>
      </c>
      <c r="H38" s="125">
        <v>41.8</v>
      </c>
      <c r="I38" s="125">
        <v>41.599999999999994</v>
      </c>
      <c r="J38" s="125">
        <v>38.400000000000006</v>
      </c>
      <c r="K38" s="125">
        <v>32.933333333333337</v>
      </c>
      <c r="L38" s="125">
        <v>32.766666666666666</v>
      </c>
      <c r="M38" s="125">
        <v>30.366666666666667</v>
      </c>
      <c r="N38" s="125">
        <v>29.766666666666666</v>
      </c>
      <c r="O38" s="125">
        <v>29</v>
      </c>
      <c r="P38" s="125">
        <v>26.633333333333333</v>
      </c>
      <c r="Q38" s="125">
        <v>27.766666666666666</v>
      </c>
      <c r="R38" s="125">
        <v>27</v>
      </c>
      <c r="S38" s="125">
        <v>27.6</v>
      </c>
      <c r="V38" s="121"/>
    </row>
    <row r="39" spans="2:22">
      <c r="B39" s="122" t="s">
        <v>279</v>
      </c>
      <c r="C39" s="122" t="s">
        <v>176</v>
      </c>
      <c r="D39" s="121" t="s">
        <v>200</v>
      </c>
      <c r="E39" s="168" t="s">
        <v>195</v>
      </c>
      <c r="F39" s="127" t="s">
        <v>218</v>
      </c>
      <c r="G39" s="124">
        <f t="shared" si="1"/>
        <v>679.99999999999989</v>
      </c>
      <c r="H39" s="125">
        <v>638.5333333333333</v>
      </c>
      <c r="I39" s="125">
        <v>654.9</v>
      </c>
      <c r="J39" s="125">
        <v>661.9</v>
      </c>
      <c r="K39" s="125">
        <v>670</v>
      </c>
      <c r="L39" s="125">
        <v>678.43333333333339</v>
      </c>
      <c r="M39" s="125">
        <v>683.0333333333333</v>
      </c>
      <c r="N39" s="125">
        <v>693.86666666666667</v>
      </c>
      <c r="O39" s="125">
        <v>696.96666666666658</v>
      </c>
      <c r="P39" s="125">
        <v>696.4</v>
      </c>
      <c r="Q39" s="125">
        <v>695.4</v>
      </c>
      <c r="R39" s="125">
        <v>697</v>
      </c>
      <c r="S39" s="125">
        <v>693.56666666666672</v>
      </c>
      <c r="V39" s="121"/>
    </row>
    <row r="40" spans="2:22">
      <c r="B40" s="122" t="s">
        <v>279</v>
      </c>
      <c r="C40" s="122" t="s">
        <v>176</v>
      </c>
      <c r="D40" s="121" t="s">
        <v>200</v>
      </c>
      <c r="E40" s="168" t="s">
        <v>195</v>
      </c>
      <c r="F40" s="127" t="s">
        <v>219</v>
      </c>
      <c r="G40" s="124">
        <f t="shared" si="1"/>
        <v>324.61666666666662</v>
      </c>
      <c r="H40" s="125">
        <v>323.26666666666665</v>
      </c>
      <c r="I40" s="125">
        <v>324.9666666666667</v>
      </c>
      <c r="J40" s="125">
        <v>325.3</v>
      </c>
      <c r="K40" s="125">
        <v>325</v>
      </c>
      <c r="L40" s="125">
        <v>325.83333333333331</v>
      </c>
      <c r="M40" s="125">
        <v>324</v>
      </c>
      <c r="N40" s="125">
        <v>326.93333333333334</v>
      </c>
      <c r="O40" s="125">
        <v>325</v>
      </c>
      <c r="P40" s="125">
        <v>324.10000000000002</v>
      </c>
      <c r="Q40" s="125">
        <v>323</v>
      </c>
      <c r="R40" s="125">
        <v>324</v>
      </c>
      <c r="S40" s="125">
        <v>324</v>
      </c>
      <c r="V40" s="121"/>
    </row>
    <row r="41" spans="2:22">
      <c r="B41" s="122" t="s">
        <v>279</v>
      </c>
      <c r="C41" s="122" t="s">
        <v>176</v>
      </c>
      <c r="D41" s="121" t="s">
        <v>200</v>
      </c>
      <c r="E41" s="168" t="s">
        <v>195</v>
      </c>
      <c r="F41" s="127" t="s">
        <v>220</v>
      </c>
      <c r="G41" s="124">
        <f t="shared" si="1"/>
        <v>4.6055555555555552</v>
      </c>
      <c r="H41" s="125">
        <v>5</v>
      </c>
      <c r="I41" s="125">
        <v>5</v>
      </c>
      <c r="J41" s="125">
        <v>5</v>
      </c>
      <c r="K41" s="125">
        <v>5</v>
      </c>
      <c r="L41" s="125">
        <v>5</v>
      </c>
      <c r="M41" s="125">
        <v>5</v>
      </c>
      <c r="N41" s="125">
        <v>5</v>
      </c>
      <c r="O41" s="125">
        <v>4.2666666666666666</v>
      </c>
      <c r="P41" s="125">
        <v>4</v>
      </c>
      <c r="Q41" s="125">
        <v>4</v>
      </c>
      <c r="R41" s="125">
        <v>4</v>
      </c>
      <c r="S41" s="125">
        <v>4</v>
      </c>
      <c r="V41" s="121"/>
    </row>
    <row r="42" spans="2:22">
      <c r="B42" s="122" t="s">
        <v>279</v>
      </c>
      <c r="C42" s="122" t="s">
        <v>177</v>
      </c>
      <c r="D42" s="121" t="s">
        <v>199</v>
      </c>
      <c r="E42" s="168" t="s">
        <v>195</v>
      </c>
      <c r="F42" s="123" t="s">
        <v>276</v>
      </c>
      <c r="G42" s="124">
        <f t="shared" si="1"/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V42" s="121"/>
    </row>
    <row r="43" spans="2:22">
      <c r="B43" s="122" t="s">
        <v>279</v>
      </c>
      <c r="C43" s="122" t="s">
        <v>177</v>
      </c>
      <c r="D43" s="121" t="s">
        <v>199</v>
      </c>
      <c r="E43" s="168" t="s">
        <v>195</v>
      </c>
      <c r="F43" s="126" t="s">
        <v>277</v>
      </c>
      <c r="G43" s="124">
        <f t="shared" si="1"/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V43" s="121"/>
    </row>
    <row r="44" spans="2:22">
      <c r="B44" s="122" t="s">
        <v>279</v>
      </c>
      <c r="C44" s="122" t="s">
        <v>177</v>
      </c>
      <c r="D44" s="121" t="s">
        <v>199</v>
      </c>
      <c r="E44" s="168" t="s">
        <v>195</v>
      </c>
      <c r="F44" s="127" t="s">
        <v>278</v>
      </c>
      <c r="G44" s="124">
        <f t="shared" si="1"/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V44" s="121"/>
    </row>
    <row r="45" spans="2:22">
      <c r="B45" s="122" t="s">
        <v>279</v>
      </c>
      <c r="C45" s="122" t="s">
        <v>177</v>
      </c>
      <c r="D45" s="121" t="s">
        <v>199</v>
      </c>
      <c r="E45" s="168" t="s">
        <v>195</v>
      </c>
      <c r="F45" s="127" t="s">
        <v>218</v>
      </c>
      <c r="G45" s="124">
        <f t="shared" si="1"/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V45" s="121"/>
    </row>
    <row r="46" spans="2:22">
      <c r="B46" s="122" t="s">
        <v>279</v>
      </c>
      <c r="C46" s="122" t="s">
        <v>177</v>
      </c>
      <c r="D46" s="121" t="s">
        <v>199</v>
      </c>
      <c r="E46" s="168" t="s">
        <v>195</v>
      </c>
      <c r="F46" s="127" t="s">
        <v>219</v>
      </c>
      <c r="G46" s="124">
        <f t="shared" si="1"/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V46" s="121"/>
    </row>
    <row r="47" spans="2:22">
      <c r="B47" s="122" t="s">
        <v>279</v>
      </c>
      <c r="C47" s="122" t="s">
        <v>177</v>
      </c>
      <c r="D47" s="121" t="s">
        <v>199</v>
      </c>
      <c r="E47" s="168" t="s">
        <v>195</v>
      </c>
      <c r="F47" s="127" t="s">
        <v>220</v>
      </c>
      <c r="G47" s="124">
        <f t="shared" si="1"/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V47" s="121"/>
    </row>
    <row r="48" spans="2:22">
      <c r="B48" s="122" t="s">
        <v>279</v>
      </c>
      <c r="C48" s="122" t="s">
        <v>177</v>
      </c>
      <c r="D48" s="121" t="s">
        <v>200</v>
      </c>
      <c r="E48" s="168" t="s">
        <v>195</v>
      </c>
      <c r="F48" s="123" t="s">
        <v>276</v>
      </c>
      <c r="G48" s="124">
        <f t="shared" si="1"/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V48" s="121"/>
    </row>
    <row r="49" spans="2:22">
      <c r="B49" s="122" t="s">
        <v>279</v>
      </c>
      <c r="C49" s="122" t="s">
        <v>177</v>
      </c>
      <c r="D49" s="121" t="s">
        <v>200</v>
      </c>
      <c r="E49" s="168" t="s">
        <v>195</v>
      </c>
      <c r="F49" s="126" t="s">
        <v>277</v>
      </c>
      <c r="G49" s="124">
        <f t="shared" si="1"/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V49" s="121"/>
    </row>
    <row r="50" spans="2:22">
      <c r="B50" s="122" t="s">
        <v>279</v>
      </c>
      <c r="C50" s="122" t="s">
        <v>177</v>
      </c>
      <c r="D50" s="121" t="s">
        <v>200</v>
      </c>
      <c r="E50" s="168" t="s">
        <v>195</v>
      </c>
      <c r="F50" s="127" t="s">
        <v>278</v>
      </c>
      <c r="G50" s="124">
        <f t="shared" si="1"/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V50" s="121"/>
    </row>
    <row r="51" spans="2:22">
      <c r="B51" s="122" t="s">
        <v>279</v>
      </c>
      <c r="C51" s="122" t="s">
        <v>177</v>
      </c>
      <c r="D51" s="121" t="s">
        <v>200</v>
      </c>
      <c r="E51" s="168" t="s">
        <v>195</v>
      </c>
      <c r="F51" s="127" t="s">
        <v>218</v>
      </c>
      <c r="G51" s="124">
        <f t="shared" si="1"/>
        <v>4.833333333333333</v>
      </c>
      <c r="H51" s="125">
        <v>4</v>
      </c>
      <c r="I51" s="125">
        <v>4</v>
      </c>
      <c r="J51" s="125">
        <v>5</v>
      </c>
      <c r="K51" s="125">
        <v>5</v>
      </c>
      <c r="L51" s="125">
        <v>5</v>
      </c>
      <c r="M51" s="125">
        <v>5</v>
      </c>
      <c r="N51" s="125">
        <v>5</v>
      </c>
      <c r="O51" s="125">
        <v>5</v>
      </c>
      <c r="P51" s="125">
        <v>5</v>
      </c>
      <c r="Q51" s="125">
        <v>5</v>
      </c>
      <c r="R51" s="125">
        <v>5</v>
      </c>
      <c r="S51" s="125">
        <v>5</v>
      </c>
      <c r="V51" s="121"/>
    </row>
    <row r="52" spans="2:22">
      <c r="B52" s="122" t="s">
        <v>279</v>
      </c>
      <c r="C52" s="122" t="s">
        <v>177</v>
      </c>
      <c r="D52" s="121" t="s">
        <v>200</v>
      </c>
      <c r="E52" s="168" t="s">
        <v>195</v>
      </c>
      <c r="F52" s="127" t="s">
        <v>219</v>
      </c>
      <c r="G52" s="124">
        <f t="shared" si="1"/>
        <v>5</v>
      </c>
      <c r="H52" s="125">
        <v>5</v>
      </c>
      <c r="I52" s="125">
        <v>5</v>
      </c>
      <c r="J52" s="125">
        <v>5</v>
      </c>
      <c r="K52" s="125">
        <v>5</v>
      </c>
      <c r="L52" s="125">
        <v>5</v>
      </c>
      <c r="M52" s="125">
        <v>5</v>
      </c>
      <c r="N52" s="125">
        <v>5</v>
      </c>
      <c r="O52" s="125">
        <v>5</v>
      </c>
      <c r="P52" s="125">
        <v>5</v>
      </c>
      <c r="Q52" s="125">
        <v>5</v>
      </c>
      <c r="R52" s="125">
        <v>5</v>
      </c>
      <c r="S52" s="125">
        <v>5</v>
      </c>
      <c r="V52" s="121"/>
    </row>
    <row r="53" spans="2:22">
      <c r="B53" s="122" t="s">
        <v>279</v>
      </c>
      <c r="C53" s="122" t="s">
        <v>177</v>
      </c>
      <c r="D53" s="121" t="s">
        <v>200</v>
      </c>
      <c r="E53" s="168" t="s">
        <v>195</v>
      </c>
      <c r="F53" s="127" t="s">
        <v>220</v>
      </c>
      <c r="G53" s="132">
        <f t="shared" si="1"/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V53" s="129">
        <f>'Normalized Summary'!E21+'Normalized Summary'!E37+'Normalized Summary'!E55-SUM(G30:G53)</f>
        <v>0</v>
      </c>
    </row>
    <row r="54" spans="2:22">
      <c r="B54" s="119"/>
      <c r="C54" s="119"/>
      <c r="D54" s="114"/>
      <c r="E54" s="169"/>
      <c r="F54" s="115"/>
      <c r="G54" s="172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V54" s="121"/>
    </row>
    <row r="55" spans="2:22">
      <c r="B55" s="122" t="s">
        <v>152</v>
      </c>
      <c r="C55" s="122" t="s">
        <v>195</v>
      </c>
      <c r="D55" s="121" t="s">
        <v>199</v>
      </c>
      <c r="E55" s="168" t="s">
        <v>195</v>
      </c>
      <c r="F55" s="123" t="s">
        <v>276</v>
      </c>
      <c r="G55" s="124">
        <f t="shared" ref="G55:G66" si="2">SUM(H55:S55)/IF(OR(B55="Schedule 40",E55="Annual Bill"),1,12)</f>
        <v>667.17906004130259</v>
      </c>
      <c r="H55" s="125">
        <v>1.2111490221156687</v>
      </c>
      <c r="I55" s="125">
        <v>0.66584472427294938</v>
      </c>
      <c r="J55" s="125">
        <v>1.6110978366072406</v>
      </c>
      <c r="K55" s="125">
        <v>2.5288286369857524</v>
      </c>
      <c r="L55" s="125">
        <v>652.78941331098713</v>
      </c>
      <c r="M55" s="125">
        <v>1.643835616438356E-2</v>
      </c>
      <c r="N55" s="125">
        <v>8.4969389909225257E-2</v>
      </c>
      <c r="O55" s="125">
        <v>0.11779607346421787</v>
      </c>
      <c r="P55" s="125">
        <v>1.3725986911547394</v>
      </c>
      <c r="Q55" s="125">
        <v>0.38632045598480053</v>
      </c>
      <c r="R55" s="125">
        <v>1.7451973823094786</v>
      </c>
      <c r="S55" s="125">
        <v>4.6494061613471329</v>
      </c>
      <c r="V55" s="121"/>
    </row>
    <row r="56" spans="2:22">
      <c r="B56" s="122" t="s">
        <v>152</v>
      </c>
      <c r="C56" s="122" t="s">
        <v>195</v>
      </c>
      <c r="D56" s="121" t="s">
        <v>199</v>
      </c>
      <c r="E56" s="168" t="s">
        <v>195</v>
      </c>
      <c r="F56" s="126" t="s">
        <v>277</v>
      </c>
      <c r="G56" s="124">
        <f t="shared" si="2"/>
        <v>301.48740094974949</v>
      </c>
      <c r="H56" s="125">
        <v>0.17532193371332067</v>
      </c>
      <c r="I56" s="125">
        <v>0</v>
      </c>
      <c r="J56" s="125">
        <v>0.79726027397260268</v>
      </c>
      <c r="K56" s="125">
        <v>4.1645112159786128</v>
      </c>
      <c r="L56" s="125">
        <v>292.69541728574438</v>
      </c>
      <c r="M56" s="125">
        <v>0.10686406343532842</v>
      </c>
      <c r="N56" s="125">
        <v>0</v>
      </c>
      <c r="O56" s="125">
        <v>0.15072830905636478</v>
      </c>
      <c r="P56" s="125">
        <v>0.41925269157694744</v>
      </c>
      <c r="Q56" s="125">
        <v>0.67943846316233913</v>
      </c>
      <c r="R56" s="125">
        <v>0.88769263246780672</v>
      </c>
      <c r="S56" s="125">
        <v>1.4109140806417564</v>
      </c>
      <c r="V56" s="121"/>
    </row>
    <row r="57" spans="2:22">
      <c r="B57" s="122" t="s">
        <v>152</v>
      </c>
      <c r="C57" s="122" t="s">
        <v>195</v>
      </c>
      <c r="D57" s="121" t="s">
        <v>199</v>
      </c>
      <c r="E57" s="168" t="s">
        <v>195</v>
      </c>
      <c r="F57" s="127" t="s">
        <v>278</v>
      </c>
      <c r="G57" s="124">
        <f t="shared" si="2"/>
        <v>35.115068493150687</v>
      </c>
      <c r="H57" s="125">
        <v>0</v>
      </c>
      <c r="I57" s="125">
        <v>0</v>
      </c>
      <c r="J57" s="125">
        <v>0</v>
      </c>
      <c r="K57" s="125">
        <v>0</v>
      </c>
      <c r="L57" s="125">
        <v>35.115068493150687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V57" s="121"/>
    </row>
    <row r="58" spans="2:22">
      <c r="B58" s="122" t="s">
        <v>152</v>
      </c>
      <c r="C58" s="122" t="s">
        <v>195</v>
      </c>
      <c r="D58" s="121" t="s">
        <v>199</v>
      </c>
      <c r="E58" s="168" t="s">
        <v>195</v>
      </c>
      <c r="F58" s="127" t="s">
        <v>218</v>
      </c>
      <c r="G58" s="124">
        <f t="shared" si="2"/>
        <v>1</v>
      </c>
      <c r="H58" s="125">
        <v>0</v>
      </c>
      <c r="I58" s="125">
        <v>0</v>
      </c>
      <c r="J58" s="125">
        <v>0</v>
      </c>
      <c r="K58" s="125">
        <v>0</v>
      </c>
      <c r="L58" s="125">
        <v>1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V58" s="121"/>
    </row>
    <row r="59" spans="2:22">
      <c r="B59" s="122" t="s">
        <v>152</v>
      </c>
      <c r="C59" s="122" t="s">
        <v>195</v>
      </c>
      <c r="D59" s="121" t="s">
        <v>199</v>
      </c>
      <c r="E59" s="168" t="s">
        <v>195</v>
      </c>
      <c r="F59" s="127" t="s">
        <v>219</v>
      </c>
      <c r="G59" s="124">
        <f t="shared" si="2"/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V59" s="121"/>
    </row>
    <row r="60" spans="2:22">
      <c r="B60" s="122" t="s">
        <v>152</v>
      </c>
      <c r="C60" s="122" t="s">
        <v>195</v>
      </c>
      <c r="D60" s="121" t="s">
        <v>199</v>
      </c>
      <c r="E60" s="168" t="s">
        <v>195</v>
      </c>
      <c r="F60" s="127" t="s">
        <v>220</v>
      </c>
      <c r="G60" s="124">
        <f t="shared" si="2"/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V60" s="121"/>
    </row>
    <row r="61" spans="2:22">
      <c r="B61" s="122" t="s">
        <v>152</v>
      </c>
      <c r="C61" s="122" t="s">
        <v>195</v>
      </c>
      <c r="D61" s="121" t="s">
        <v>200</v>
      </c>
      <c r="E61" s="168" t="s">
        <v>195</v>
      </c>
      <c r="F61" s="123" t="s">
        <v>276</v>
      </c>
      <c r="G61" s="124">
        <f t="shared" si="2"/>
        <v>804.1870461182574</v>
      </c>
      <c r="H61" s="125">
        <v>2.9945345975148667</v>
      </c>
      <c r="I61" s="125">
        <v>6.3479014666403977</v>
      </c>
      <c r="J61" s="125">
        <v>6.2027829470941285</v>
      </c>
      <c r="K61" s="125">
        <v>6.3287102265919293</v>
      </c>
      <c r="L61" s="125">
        <v>773.30215016834757</v>
      </c>
      <c r="M61" s="125">
        <v>9.8626377598676679E-2</v>
      </c>
      <c r="N61" s="125">
        <v>0.93424108085286051</v>
      </c>
      <c r="O61" s="125">
        <v>0.44384631623390336</v>
      </c>
      <c r="P61" s="125">
        <v>1.071247625079164</v>
      </c>
      <c r="Q61" s="125">
        <v>2.7369498642282704</v>
      </c>
      <c r="R61" s="125">
        <v>1.6712581802828796</v>
      </c>
      <c r="S61" s="125">
        <v>2.0547972677927477</v>
      </c>
      <c r="V61" s="121"/>
    </row>
    <row r="62" spans="2:22">
      <c r="B62" s="122" t="s">
        <v>152</v>
      </c>
      <c r="C62" s="122" t="s">
        <v>195</v>
      </c>
      <c r="D62" s="121" t="s">
        <v>200</v>
      </c>
      <c r="E62" s="168" t="s">
        <v>195</v>
      </c>
      <c r="F62" s="126" t="s">
        <v>277</v>
      </c>
      <c r="G62" s="124">
        <f t="shared" si="2"/>
        <v>859.27562595751363</v>
      </c>
      <c r="H62" s="125">
        <v>1.1397076040197085</v>
      </c>
      <c r="I62" s="125">
        <v>2.0574934958407827</v>
      </c>
      <c r="J62" s="125">
        <v>0.77260079981729157</v>
      </c>
      <c r="K62" s="125">
        <v>5.0657352544107077</v>
      </c>
      <c r="L62" s="125">
        <v>840.40733687384716</v>
      </c>
      <c r="M62" s="125">
        <v>0.18629934557736966</v>
      </c>
      <c r="N62" s="125">
        <v>0.6740025332488917</v>
      </c>
      <c r="O62" s="125">
        <v>1.4793645767363313</v>
      </c>
      <c r="P62" s="125">
        <v>1.6629723453662655</v>
      </c>
      <c r="Q62" s="125">
        <v>1.7533776651889381</v>
      </c>
      <c r="R62" s="125">
        <v>2.0109774118640491</v>
      </c>
      <c r="S62" s="125">
        <v>2.0657580515961493</v>
      </c>
      <c r="V62" s="121"/>
    </row>
    <row r="63" spans="2:22">
      <c r="B63" s="122" t="s">
        <v>152</v>
      </c>
      <c r="C63" s="122" t="s">
        <v>195</v>
      </c>
      <c r="D63" s="121" t="s">
        <v>200</v>
      </c>
      <c r="E63" s="168" t="s">
        <v>195</v>
      </c>
      <c r="F63" s="127" t="s">
        <v>278</v>
      </c>
      <c r="G63" s="124">
        <f t="shared" si="2"/>
        <v>2322.0521429840292</v>
      </c>
      <c r="H63" s="125">
        <v>1.3232876712328767</v>
      </c>
      <c r="I63" s="125">
        <v>8.4328767123287705</v>
      </c>
      <c r="J63" s="125">
        <v>6.9178082191780828</v>
      </c>
      <c r="K63" s="125">
        <v>15.400000000000007</v>
      </c>
      <c r="L63" s="125">
        <v>2271.5590658963406</v>
      </c>
      <c r="M63" s="125">
        <v>7.6731704072573556E-2</v>
      </c>
      <c r="N63" s="125">
        <v>1.440996411230737</v>
      </c>
      <c r="O63" s="125">
        <v>2.6383259446907332</v>
      </c>
      <c r="P63" s="125">
        <v>1.3616212792906905</v>
      </c>
      <c r="Q63" s="125">
        <v>4.1451868271057641</v>
      </c>
      <c r="R63" s="125">
        <v>4.5424724046489171</v>
      </c>
      <c r="S63" s="125">
        <v>4.2137699139100233</v>
      </c>
      <c r="V63" s="121"/>
    </row>
    <row r="64" spans="2:22">
      <c r="B64" s="122" t="s">
        <v>152</v>
      </c>
      <c r="C64" s="122" t="s">
        <v>195</v>
      </c>
      <c r="D64" s="121" t="s">
        <v>200</v>
      </c>
      <c r="E64" s="168" t="s">
        <v>195</v>
      </c>
      <c r="F64" s="127" t="s">
        <v>218</v>
      </c>
      <c r="G64" s="124">
        <f t="shared" si="2"/>
        <v>137.56713016786426</v>
      </c>
      <c r="H64" s="125">
        <v>0</v>
      </c>
      <c r="I64" s="125">
        <v>0</v>
      </c>
      <c r="J64" s="125">
        <v>0</v>
      </c>
      <c r="K64" s="125">
        <v>0</v>
      </c>
      <c r="L64" s="125">
        <v>136.05483205420927</v>
      </c>
      <c r="M64" s="125">
        <v>0</v>
      </c>
      <c r="N64" s="125">
        <v>0</v>
      </c>
      <c r="O64" s="125">
        <v>0.19453240447540637</v>
      </c>
      <c r="P64" s="125">
        <v>0</v>
      </c>
      <c r="Q64" s="125">
        <v>0.91228625712476252</v>
      </c>
      <c r="R64" s="125">
        <v>0.40547945205479452</v>
      </c>
      <c r="S64" s="125">
        <v>0</v>
      </c>
      <c r="V64" s="121"/>
    </row>
    <row r="65" spans="2:22">
      <c r="B65" s="122" t="s">
        <v>152</v>
      </c>
      <c r="C65" s="122" t="s">
        <v>195</v>
      </c>
      <c r="D65" s="121" t="s">
        <v>200</v>
      </c>
      <c r="E65" s="168" t="s">
        <v>195</v>
      </c>
      <c r="F65" s="127" t="s">
        <v>219</v>
      </c>
      <c r="G65" s="124">
        <f t="shared" si="2"/>
        <v>13</v>
      </c>
      <c r="H65" s="125">
        <v>0</v>
      </c>
      <c r="I65" s="125">
        <v>0</v>
      </c>
      <c r="J65" s="125">
        <v>0</v>
      </c>
      <c r="K65" s="125">
        <v>0</v>
      </c>
      <c r="L65" s="125">
        <v>13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V65" s="121"/>
    </row>
    <row r="66" spans="2:22">
      <c r="B66" s="130" t="s">
        <v>152</v>
      </c>
      <c r="C66" s="130" t="s">
        <v>195</v>
      </c>
      <c r="D66" s="129" t="s">
        <v>200</v>
      </c>
      <c r="E66" s="170" t="s">
        <v>195</v>
      </c>
      <c r="F66" s="131" t="s">
        <v>220</v>
      </c>
      <c r="G66" s="132">
        <f t="shared" si="2"/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V66" s="129">
        <f>ROUND('Normalized Summary'!E74-SUM(G55:G66),9)</f>
        <v>0</v>
      </c>
    </row>
    <row r="68" spans="2:22">
      <c r="G68" s="134"/>
    </row>
    <row r="69" spans="2:22">
      <c r="F69" s="109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4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customWidth="1"/>
    <col min="2" max="2" width="15.1640625" style="202" customWidth="1"/>
    <col min="3" max="14" width="15.1640625" customWidth="1"/>
    <col min="15" max="15" width="0.83203125" customWidth="1"/>
  </cols>
  <sheetData>
    <row r="2" spans="2:14">
      <c r="B2" s="266" t="s">
        <v>379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</row>
    <row r="3" spans="2:14">
      <c r="B3" s="204" t="s">
        <v>217</v>
      </c>
      <c r="C3" s="203">
        <v>44378</v>
      </c>
      <c r="D3" s="203">
        <v>44409</v>
      </c>
      <c r="E3" s="203">
        <v>44440</v>
      </c>
      <c r="F3" s="203">
        <v>44470</v>
      </c>
      <c r="G3" s="203">
        <v>44501</v>
      </c>
      <c r="H3" s="203">
        <v>44531</v>
      </c>
      <c r="I3" s="203">
        <v>44562</v>
      </c>
      <c r="J3" s="203">
        <v>44593</v>
      </c>
      <c r="K3" s="203">
        <v>44621</v>
      </c>
      <c r="L3" s="203">
        <v>44652</v>
      </c>
      <c r="M3" s="203">
        <v>44682</v>
      </c>
      <c r="N3" s="203">
        <v>44713</v>
      </c>
    </row>
    <row r="4" spans="2:14">
      <c r="B4" s="206">
        <f>SUM(C4:N4)/12</f>
        <v>3432</v>
      </c>
      <c r="C4" s="205">
        <v>4470</v>
      </c>
      <c r="D4" s="205">
        <v>4439</v>
      </c>
      <c r="E4" s="205">
        <v>4390</v>
      </c>
      <c r="F4" s="205">
        <v>4080</v>
      </c>
      <c r="G4" s="205">
        <v>5147</v>
      </c>
      <c r="H4" s="205">
        <v>1893</v>
      </c>
      <c r="I4" s="205">
        <v>1821</v>
      </c>
      <c r="J4" s="205">
        <v>1751</v>
      </c>
      <c r="K4" s="205">
        <v>2062</v>
      </c>
      <c r="L4" s="205">
        <v>3201</v>
      </c>
      <c r="M4" s="205">
        <v>3778</v>
      </c>
      <c r="N4" s="205">
        <v>4152</v>
      </c>
    </row>
  </sheetData>
  <pageMargins left="0.7" right="0.7" top="0.75" bottom="0.75" header="0.3" footer="0.3"/>
  <pageSetup scale="4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51"/>
  <sheetViews>
    <sheetView zoomScale="70" zoomScaleNormal="70" workbookViewId="0">
      <pane ySplit="2" topLeftCell="A3" activePane="bottomLeft" state="frozen"/>
      <selection pane="bottomLeft"/>
    </sheetView>
  </sheetViews>
  <sheetFormatPr defaultColWidth="9" defaultRowHeight="15.35"/>
  <cols>
    <col min="1" max="1" width="12.6640625" style="107" bestFit="1" customWidth="1"/>
    <col min="2" max="2" width="15.1640625" style="107" bestFit="1" customWidth="1"/>
    <col min="3" max="3" width="50.6640625" style="107" bestFit="1" customWidth="1"/>
    <col min="4" max="4" width="14" style="107" bestFit="1" customWidth="1"/>
    <col min="5" max="5" width="15.1640625" style="107" bestFit="1" customWidth="1"/>
    <col min="6" max="6" width="13.33203125" style="107" bestFit="1" customWidth="1"/>
    <col min="7" max="7" width="11.83203125" style="107" bestFit="1" customWidth="1"/>
    <col min="8" max="8" width="14" style="25" bestFit="1" customWidth="1"/>
    <col min="9" max="9" width="15.1640625" style="25" bestFit="1" customWidth="1"/>
    <col min="10" max="10" width="28.6640625" style="25" bestFit="1" customWidth="1"/>
    <col min="11" max="16384" width="9" style="107"/>
  </cols>
  <sheetData>
    <row r="1" spans="1:10" s="25" customFormat="1">
      <c r="A1" s="157"/>
      <c r="B1" s="157" t="s">
        <v>9</v>
      </c>
      <c r="C1" s="157"/>
      <c r="D1" s="157"/>
      <c r="E1" s="157"/>
      <c r="F1" s="157"/>
      <c r="G1" s="157"/>
      <c r="H1" s="158" t="s">
        <v>357</v>
      </c>
      <c r="I1" s="158"/>
      <c r="J1" s="157"/>
    </row>
    <row r="2" spans="1:10" s="25" customFormat="1">
      <c r="A2" s="159" t="s">
        <v>153</v>
      </c>
      <c r="B2" s="159" t="s">
        <v>212</v>
      </c>
      <c r="C2" s="159" t="s">
        <v>211</v>
      </c>
      <c r="D2" s="159" t="s">
        <v>214</v>
      </c>
      <c r="E2" s="159" t="s">
        <v>6</v>
      </c>
      <c r="F2" s="159" t="s">
        <v>29</v>
      </c>
      <c r="G2" s="159" t="s">
        <v>222</v>
      </c>
      <c r="H2" s="159" t="s">
        <v>214</v>
      </c>
      <c r="I2" s="156" t="s">
        <v>6</v>
      </c>
      <c r="J2" s="159" t="s">
        <v>210</v>
      </c>
    </row>
    <row r="3" spans="1:10">
      <c r="A3" s="107" t="s">
        <v>5</v>
      </c>
      <c r="B3" s="107" t="s">
        <v>288</v>
      </c>
      <c r="C3" s="107" t="s">
        <v>102</v>
      </c>
      <c r="D3" s="107">
        <v>18030</v>
      </c>
      <c r="E3" s="107">
        <v>27342095</v>
      </c>
      <c r="F3" s="107">
        <v>-253580.78</v>
      </c>
      <c r="G3" s="107">
        <v>0</v>
      </c>
      <c r="H3" s="25">
        <f>IF(AND(B3&lt;&gt;"B",J3&lt;&gt;"Blue Sky",J3&lt;&gt;"Ignore"),D3,0)</f>
        <v>0</v>
      </c>
      <c r="I3" s="25" cm="1">
        <f t="array" ref="I3">IF(OR(B3={"R","U"}),E3,0)</f>
        <v>0</v>
      </c>
      <c r="J3" s="25" t="str">
        <f>IF(B3="U","Unbilled",INDEX(Code!B:B,MATCH(LEFT(C3,10),Code!A:A,0)))</f>
        <v>Schedule 24</v>
      </c>
    </row>
    <row r="4" spans="1:10">
      <c r="A4" s="107" t="s">
        <v>5</v>
      </c>
      <c r="B4" s="107" t="s">
        <v>288</v>
      </c>
      <c r="C4" s="107" t="s">
        <v>95</v>
      </c>
      <c r="D4" s="107">
        <v>12</v>
      </c>
      <c r="E4" s="107">
        <v>868</v>
      </c>
      <c r="F4" s="107">
        <v>-8.11</v>
      </c>
      <c r="G4" s="107">
        <v>0</v>
      </c>
      <c r="H4" s="25">
        <f t="shared" ref="H4:H67" si="0">IF(AND(B4&lt;&gt;"B",J4&lt;&gt;"Blue Sky",J4&lt;&gt;"Ignore"),D4,0)</f>
        <v>0</v>
      </c>
      <c r="I4" s="25" cm="1">
        <f t="array" ref="I4">IF(OR(B4={"R","U"}),E4,0)</f>
        <v>0</v>
      </c>
      <c r="J4" s="25" t="str">
        <f>IF(B4="U","Unbilled",INDEX(Code!B:B,MATCH(LEFT(C4,10),Code!A:A,0)))</f>
        <v>Schedule 24</v>
      </c>
    </row>
    <row r="5" spans="1:10">
      <c r="A5" s="107" t="s">
        <v>5</v>
      </c>
      <c r="B5" s="107" t="s">
        <v>288</v>
      </c>
      <c r="C5" s="107" t="s">
        <v>103</v>
      </c>
      <c r="D5" s="107">
        <v>782</v>
      </c>
      <c r="E5" s="107">
        <v>356050</v>
      </c>
      <c r="F5" s="107">
        <v>-3532.49</v>
      </c>
      <c r="G5" s="107">
        <v>0</v>
      </c>
      <c r="H5" s="25">
        <f t="shared" si="0"/>
        <v>0</v>
      </c>
      <c r="I5" s="25" cm="1">
        <f t="array" ref="I5">IF(OR(B5={"R","U"}),E5,0)</f>
        <v>0</v>
      </c>
      <c r="J5" s="25" t="str">
        <f>IF(B5="U","Unbilled",INDEX(Code!B:B,MATCH(LEFT(C5,10),Code!A:A,0)))</f>
        <v>Schedule 24</v>
      </c>
    </row>
    <row r="6" spans="1:10">
      <c r="A6" s="107" t="s">
        <v>5</v>
      </c>
      <c r="B6" s="107" t="s">
        <v>288</v>
      </c>
      <c r="C6" s="107" t="s">
        <v>99</v>
      </c>
      <c r="D6" s="107">
        <v>906</v>
      </c>
      <c r="E6" s="107">
        <v>41663167</v>
      </c>
      <c r="F6" s="107">
        <v>-386303.77</v>
      </c>
      <c r="G6" s="107">
        <v>0</v>
      </c>
      <c r="H6" s="25">
        <f t="shared" si="0"/>
        <v>0</v>
      </c>
      <c r="I6" s="25" cm="1">
        <f t="array" ref="I6">IF(OR(B6={"R","U"}),E6,0)</f>
        <v>0</v>
      </c>
      <c r="J6" s="25" t="str">
        <f>IF(B6="U","Unbilled",INDEX(Code!B:B,MATCH(LEFT(C6,10),Code!A:A,0)))</f>
        <v>Schedule 29,36</v>
      </c>
    </row>
    <row r="7" spans="1:10">
      <c r="A7" s="107" t="s">
        <v>5</v>
      </c>
      <c r="B7" s="107" t="s">
        <v>288</v>
      </c>
      <c r="C7" s="107" t="s">
        <v>289</v>
      </c>
      <c r="D7" s="107">
        <v>306</v>
      </c>
      <c r="E7" s="107">
        <v>127958</v>
      </c>
      <c r="F7" s="107">
        <v>-1177.43</v>
      </c>
      <c r="G7" s="107">
        <v>0</v>
      </c>
      <c r="H7" s="25">
        <f t="shared" si="0"/>
        <v>0</v>
      </c>
      <c r="I7" s="25" cm="1">
        <f t="array" ref="I7">IF(OR(B7={"R","U"}),E7,0)</f>
        <v>0</v>
      </c>
      <c r="J7" s="25" t="str">
        <f>IF(B7="U","Unbilled",INDEX(Code!B:B,MATCH(LEFT(C7,10),Code!A:A,0)))</f>
        <v>Schedule 24</v>
      </c>
    </row>
    <row r="8" spans="1:10">
      <c r="A8" s="107" t="s">
        <v>5</v>
      </c>
      <c r="B8" s="107" t="s">
        <v>288</v>
      </c>
      <c r="C8" s="107" t="s">
        <v>290</v>
      </c>
      <c r="D8" s="107">
        <v>3</v>
      </c>
      <c r="E8" s="107">
        <v>12960</v>
      </c>
      <c r="F8" s="107">
        <v>-133.36000000000001</v>
      </c>
      <c r="G8" s="107">
        <v>0</v>
      </c>
      <c r="H8" s="25">
        <f t="shared" si="0"/>
        <v>0</v>
      </c>
      <c r="I8" s="25" cm="1">
        <f t="array" ref="I8">IF(OR(B8={"R","U"}),E8,0)</f>
        <v>0</v>
      </c>
      <c r="J8" s="25" t="str">
        <f>IF(B8="U","Unbilled",INDEX(Code!B:B,MATCH(LEFT(C8,10),Code!A:A,0)))</f>
        <v>Schedule 29,36</v>
      </c>
    </row>
    <row r="9" spans="1:10">
      <c r="A9" s="107" t="s">
        <v>5</v>
      </c>
      <c r="B9" s="107" t="s">
        <v>288</v>
      </c>
      <c r="C9" s="107" t="s">
        <v>100</v>
      </c>
      <c r="E9" s="107">
        <v>127877</v>
      </c>
      <c r="F9" s="107">
        <v>-1217.43</v>
      </c>
      <c r="H9" s="25">
        <f t="shared" si="0"/>
        <v>0</v>
      </c>
      <c r="I9" s="25" cm="1">
        <f t="array" ref="I9">IF(OR(B9={"R","U"}),E9,0)</f>
        <v>0</v>
      </c>
      <c r="J9" s="25" t="str">
        <f>IF(B9="U","Unbilled",INDEX(Code!B:B,MATCH(LEFT(C9,10),Code!A:A,0)))</f>
        <v>Schedule 15</v>
      </c>
    </row>
    <row r="10" spans="1:10">
      <c r="A10" s="107" t="s">
        <v>5</v>
      </c>
      <c r="B10" s="107" t="s">
        <v>288</v>
      </c>
      <c r="C10" s="107" t="s">
        <v>50</v>
      </c>
      <c r="D10" s="107">
        <v>0</v>
      </c>
      <c r="E10" s="107">
        <v>0</v>
      </c>
      <c r="F10" s="107">
        <v>9184.99</v>
      </c>
      <c r="G10" s="107">
        <v>0</v>
      </c>
      <c r="H10" s="25">
        <f t="shared" si="0"/>
        <v>0</v>
      </c>
      <c r="I10" s="25" cm="1">
        <f t="array" ref="I10">IF(OR(B10={"R","U"}),E10,0)</f>
        <v>0</v>
      </c>
      <c r="J10" s="25" t="str">
        <f>IF(B10="U","Unbilled",INDEX(Code!B:B,MATCH(LEFT(C10,10),Code!A:A,0)))</f>
        <v>BPA Bal Acct</v>
      </c>
    </row>
    <row r="11" spans="1:10">
      <c r="A11" s="107" t="s">
        <v>5</v>
      </c>
      <c r="B11" s="107" t="s">
        <v>288</v>
      </c>
      <c r="C11" s="107" t="s">
        <v>51</v>
      </c>
      <c r="D11" s="107">
        <v>0</v>
      </c>
      <c r="G11" s="107">
        <v>19253</v>
      </c>
      <c r="H11" s="25">
        <f t="shared" si="0"/>
        <v>0</v>
      </c>
      <c r="I11" s="25" cm="1">
        <f t="array" ref="I11">IF(OR(B11={"R","U"}),E11,0)</f>
        <v>0</v>
      </c>
      <c r="J11" s="25" t="str">
        <f>IF(B11="U","Unbilled",INDEX(Code!B:B,MATCH(LEFT(C11,10),Code!A:A,0)))</f>
        <v>CustIDs</v>
      </c>
    </row>
    <row r="12" spans="1:10">
      <c r="A12" s="107" t="s">
        <v>5</v>
      </c>
      <c r="B12" s="107" t="s">
        <v>154</v>
      </c>
      <c r="C12" s="107" t="s">
        <v>291</v>
      </c>
      <c r="D12" s="107">
        <v>36</v>
      </c>
      <c r="E12" s="107">
        <v>69815</v>
      </c>
      <c r="F12" s="107">
        <v>12223.87</v>
      </c>
      <c r="G12" s="107">
        <v>0</v>
      </c>
      <c r="H12" s="25">
        <f t="shared" si="0"/>
        <v>36</v>
      </c>
      <c r="I12" s="25" cm="1">
        <f t="array" ref="I12">IF(OR(B12={"R","U"}),E12,0)</f>
        <v>69815</v>
      </c>
      <c r="J12" s="25" t="str">
        <f>IF(B12="U","Unbilled",INDEX(Code!B:B,MATCH(LEFT(C12,10),Code!A:A,0)))</f>
        <v>Schedule 24</v>
      </c>
    </row>
    <row r="13" spans="1:10">
      <c r="A13" s="107" t="s">
        <v>5</v>
      </c>
      <c r="B13" s="107" t="s">
        <v>154</v>
      </c>
      <c r="C13" s="107" t="s">
        <v>96</v>
      </c>
      <c r="D13" s="107">
        <v>18030</v>
      </c>
      <c r="E13" s="107">
        <v>27342077</v>
      </c>
      <c r="F13" s="107">
        <v>2762437.29</v>
      </c>
      <c r="G13" s="107">
        <v>0</v>
      </c>
      <c r="H13" s="25">
        <f t="shared" si="0"/>
        <v>18030</v>
      </c>
      <c r="I13" s="25" cm="1">
        <f t="array" ref="I13">IF(OR(B13={"R","U"}),E13,0)</f>
        <v>27342077</v>
      </c>
      <c r="J13" s="25" t="str">
        <f>IF(B13="U","Unbilled",INDEX(Code!B:B,MATCH(LEFT(C13,10),Code!A:A,0)))</f>
        <v>Schedule 24</v>
      </c>
    </row>
    <row r="14" spans="1:10">
      <c r="A14" s="107" t="s">
        <v>5</v>
      </c>
      <c r="B14" s="107" t="s">
        <v>154</v>
      </c>
      <c r="C14" s="107" t="s">
        <v>105</v>
      </c>
      <c r="D14" s="107">
        <v>12</v>
      </c>
      <c r="E14" s="107">
        <v>868</v>
      </c>
      <c r="F14" s="107">
        <v>214.13</v>
      </c>
      <c r="G14" s="107">
        <v>0</v>
      </c>
      <c r="H14" s="25">
        <f t="shared" si="0"/>
        <v>12</v>
      </c>
      <c r="I14" s="25" cm="1">
        <f t="array" ref="I14">IF(OR(B14={"R","U"}),E14,0)</f>
        <v>868</v>
      </c>
      <c r="J14" s="25" t="str">
        <f>IF(B14="U","Unbilled",INDEX(Code!B:B,MATCH(LEFT(C14,10),Code!A:A,0)))</f>
        <v>Schedule 24</v>
      </c>
    </row>
    <row r="15" spans="1:10">
      <c r="A15" s="107" t="s">
        <v>5</v>
      </c>
      <c r="B15" s="107" t="s">
        <v>154</v>
      </c>
      <c r="C15" s="107" t="s">
        <v>97</v>
      </c>
      <c r="D15" s="107">
        <v>782</v>
      </c>
      <c r="E15" s="107">
        <v>368947</v>
      </c>
      <c r="F15" s="107">
        <v>89557.98</v>
      </c>
      <c r="G15" s="107">
        <v>0</v>
      </c>
      <c r="H15" s="25">
        <f t="shared" si="0"/>
        <v>782</v>
      </c>
      <c r="I15" s="25" cm="1">
        <f t="array" ref="I15">IF(OR(B15={"R","U"}),E15,0)</f>
        <v>368947</v>
      </c>
      <c r="J15" s="25" t="str">
        <f>IF(B15="U","Unbilled",INDEX(Code!B:B,MATCH(LEFT(C15,10),Code!A:A,0)))</f>
        <v>Schedule 24</v>
      </c>
    </row>
    <row r="16" spans="1:10">
      <c r="A16" s="107" t="s">
        <v>5</v>
      </c>
      <c r="B16" s="107" t="s">
        <v>154</v>
      </c>
      <c r="C16" s="107" t="s">
        <v>36</v>
      </c>
      <c r="D16" s="107">
        <v>178735</v>
      </c>
      <c r="E16" s="107">
        <v>474167825</v>
      </c>
      <c r="F16" s="107">
        <v>45228212.670000002</v>
      </c>
      <c r="G16" s="107">
        <v>0</v>
      </c>
      <c r="H16" s="25">
        <f t="shared" si="0"/>
        <v>178735</v>
      </c>
      <c r="I16" s="25" cm="1">
        <f t="array" ref="I16">IF(OR(B16={"R","U"}),E16,0)</f>
        <v>474167825</v>
      </c>
      <c r="J16" s="25" t="str">
        <f>IF(B16="U","Unbilled",INDEX(Code!B:B,MATCH(LEFT(C16,10),Code!A:A,0)))</f>
        <v>Schedule 24</v>
      </c>
    </row>
    <row r="17" spans="1:10">
      <c r="A17" s="107" t="s">
        <v>5</v>
      </c>
      <c r="B17" s="107" t="s">
        <v>154</v>
      </c>
      <c r="C17" s="107" t="s">
        <v>292</v>
      </c>
      <c r="D17" s="107">
        <v>4</v>
      </c>
      <c r="E17" s="107">
        <v>55120</v>
      </c>
      <c r="F17" s="107">
        <v>9521.64</v>
      </c>
      <c r="G17" s="107">
        <v>0</v>
      </c>
      <c r="H17" s="25">
        <f t="shared" si="0"/>
        <v>4</v>
      </c>
      <c r="I17" s="25" cm="1">
        <f t="array" ref="I17">IF(OR(B17={"R","U"}),E17,0)</f>
        <v>55120</v>
      </c>
      <c r="J17" s="25" t="str">
        <f>IF(B17="U","Unbilled",INDEX(Code!B:B,MATCH(LEFT(C17,10),Code!A:A,0)))</f>
        <v>Schedule 29,36</v>
      </c>
    </row>
    <row r="18" spans="1:10">
      <c r="A18" s="107" t="s">
        <v>5</v>
      </c>
      <c r="B18" s="107" t="s">
        <v>154</v>
      </c>
      <c r="C18" s="107" t="s">
        <v>37</v>
      </c>
      <c r="D18" s="107">
        <v>1285</v>
      </c>
      <c r="E18" s="107">
        <v>1226733</v>
      </c>
      <c r="F18" s="107">
        <v>172314.53</v>
      </c>
      <c r="G18" s="107">
        <v>0</v>
      </c>
      <c r="H18" s="25">
        <f t="shared" si="0"/>
        <v>1285</v>
      </c>
      <c r="I18" s="25" cm="1">
        <f t="array" ref="I18">IF(OR(B18={"R","U"}),E18,0)</f>
        <v>1226733</v>
      </c>
      <c r="J18" s="25" t="str">
        <f>IF(B18="U","Unbilled",INDEX(Code!B:B,MATCH(LEFT(C18,10),Code!A:A,0)))</f>
        <v>Schedule 24</v>
      </c>
    </row>
    <row r="19" spans="1:10">
      <c r="A19" s="107" t="s">
        <v>5</v>
      </c>
      <c r="B19" s="107" t="s">
        <v>154</v>
      </c>
      <c r="C19" s="107" t="s">
        <v>106</v>
      </c>
      <c r="D19" s="107">
        <v>906</v>
      </c>
      <c r="E19" s="107">
        <v>41663162</v>
      </c>
      <c r="F19" s="107">
        <v>3456731.16</v>
      </c>
      <c r="G19" s="107">
        <v>0</v>
      </c>
      <c r="H19" s="25">
        <f t="shared" si="0"/>
        <v>906</v>
      </c>
      <c r="I19" s="25" cm="1">
        <f t="array" ref="I19">IF(OR(B19={"R","U"}),E19,0)</f>
        <v>41663162</v>
      </c>
      <c r="J19" s="25" t="str">
        <f>IF(B19="U","Unbilled",INDEX(Code!B:B,MATCH(LEFT(C19,10),Code!A:A,0)))</f>
        <v>Schedule 29,36</v>
      </c>
    </row>
    <row r="20" spans="1:10">
      <c r="A20" s="107" t="s">
        <v>5</v>
      </c>
      <c r="B20" s="107" t="s">
        <v>154</v>
      </c>
      <c r="C20" s="107" t="s">
        <v>38</v>
      </c>
      <c r="D20" s="107">
        <v>10558</v>
      </c>
      <c r="E20" s="107">
        <v>781917413</v>
      </c>
      <c r="F20" s="107">
        <v>62549379.229999997</v>
      </c>
      <c r="G20" s="107">
        <v>0</v>
      </c>
      <c r="H20" s="25">
        <f t="shared" si="0"/>
        <v>10558</v>
      </c>
      <c r="I20" s="25" cm="1">
        <f t="array" ref="I20">IF(OR(B20={"R","U"}),E20,0)</f>
        <v>781917413</v>
      </c>
      <c r="J20" s="25" t="str">
        <f>IF(B20="U","Unbilled",INDEX(Code!B:B,MATCH(LEFT(C20,10),Code!A:A,0)))</f>
        <v>Schedule 29,36</v>
      </c>
    </row>
    <row r="21" spans="1:10">
      <c r="A21" s="107" t="s">
        <v>5</v>
      </c>
      <c r="B21" s="107" t="s">
        <v>154</v>
      </c>
      <c r="C21" s="107" t="s">
        <v>39</v>
      </c>
      <c r="D21" s="107">
        <v>426</v>
      </c>
      <c r="E21" s="107">
        <v>164679880</v>
      </c>
      <c r="F21" s="107">
        <v>12416854.52</v>
      </c>
      <c r="G21" s="107">
        <v>0</v>
      </c>
      <c r="H21" s="25">
        <f t="shared" si="0"/>
        <v>426</v>
      </c>
      <c r="I21" s="25" cm="1">
        <f t="array" ref="I21">IF(OR(B21={"R","U"}),E21,0)</f>
        <v>164679880</v>
      </c>
      <c r="J21" s="25" t="str">
        <f>IF(B21="U","Unbilled",INDEX(Code!B:B,MATCH(LEFT(C21,10),Code!A:A,0)))</f>
        <v>Schedule 48T</v>
      </c>
    </row>
    <row r="22" spans="1:10">
      <c r="A22" s="107" t="s">
        <v>5</v>
      </c>
      <c r="B22" s="107" t="s">
        <v>154</v>
      </c>
      <c r="C22" s="107" t="s">
        <v>40</v>
      </c>
      <c r="E22" s="107">
        <v>0</v>
      </c>
      <c r="F22" s="107">
        <v>100086.33</v>
      </c>
      <c r="H22" s="25">
        <f t="shared" si="0"/>
        <v>0</v>
      </c>
      <c r="I22" s="25" cm="1">
        <f t="array" ref="I22">IF(OR(B22={"R","U"}),E22,0)</f>
        <v>0</v>
      </c>
      <c r="J22" s="25" t="str">
        <f>IF(B22="U","Unbilled",INDEX(Code!B:B,MATCH(LEFT(C22,10),Code!A:A,0)))</f>
        <v>Annual Guarantee Adjustments</v>
      </c>
    </row>
    <row r="23" spans="1:10">
      <c r="A23" s="107" t="s">
        <v>5</v>
      </c>
      <c r="B23" s="107" t="s">
        <v>154</v>
      </c>
      <c r="C23" s="107" t="s">
        <v>41</v>
      </c>
      <c r="E23" s="107">
        <v>0</v>
      </c>
      <c r="F23" s="107">
        <v>30633.63</v>
      </c>
      <c r="H23" s="25">
        <f t="shared" si="0"/>
        <v>0</v>
      </c>
      <c r="I23" s="25" cm="1">
        <f t="array" ref="I23">IF(OR(B23={"R","U"}),E23,0)</f>
        <v>0</v>
      </c>
      <c r="J23" s="25" t="str">
        <f>IF(B23="U","Unbilled",INDEX(Code!B:B,MATCH(LEFT(C23,10),Code!A:A,0)))</f>
        <v>Annual Guarantee Adjustments</v>
      </c>
    </row>
    <row r="24" spans="1:10">
      <c r="A24" s="107" t="s">
        <v>5</v>
      </c>
      <c r="B24" s="107" t="s">
        <v>154</v>
      </c>
      <c r="C24" s="107" t="s">
        <v>42</v>
      </c>
      <c r="E24" s="107">
        <v>0</v>
      </c>
      <c r="F24" s="107">
        <v>2569.3000000000002</v>
      </c>
      <c r="H24" s="25">
        <f t="shared" si="0"/>
        <v>0</v>
      </c>
      <c r="I24" s="25" cm="1">
        <f t="array" ref="I24">IF(OR(B24={"R","U"}),E24,0)</f>
        <v>0</v>
      </c>
      <c r="J24" s="25" t="str">
        <f>IF(B24="U","Unbilled",INDEX(Code!B:B,MATCH(LEFT(C24,10),Code!A:A,0)))</f>
        <v>Annual Guarantee Adjustments</v>
      </c>
    </row>
    <row r="25" spans="1:10">
      <c r="A25" s="107" t="s">
        <v>5</v>
      </c>
      <c r="B25" s="107" t="s">
        <v>154</v>
      </c>
      <c r="C25" s="107" t="s">
        <v>43</v>
      </c>
      <c r="E25" s="107">
        <v>0</v>
      </c>
      <c r="F25" s="107">
        <v>250713.5</v>
      </c>
      <c r="H25" s="25">
        <f t="shared" si="0"/>
        <v>0</v>
      </c>
      <c r="I25" s="25" cm="1">
        <f t="array" ref="I25">IF(OR(B25={"R","U"}),E25,0)</f>
        <v>0</v>
      </c>
      <c r="J25" s="25" t="str">
        <f>IF(B25="U","Unbilled",INDEX(Code!B:B,MATCH(LEFT(C25,10),Code!A:A,0)))</f>
        <v>Annual Guarantee Adjustments</v>
      </c>
    </row>
    <row r="26" spans="1:10">
      <c r="A26" s="107" t="s">
        <v>5</v>
      </c>
      <c r="B26" s="107" t="s">
        <v>154</v>
      </c>
      <c r="C26" s="107" t="s">
        <v>44</v>
      </c>
      <c r="E26" s="107">
        <v>0</v>
      </c>
      <c r="F26" s="107">
        <v>24908.59</v>
      </c>
      <c r="H26" s="25">
        <f t="shared" si="0"/>
        <v>0</v>
      </c>
      <c r="I26" s="25" cm="1">
        <f t="array" ref="I26">IF(OR(B26={"R","U"}),E26,0)</f>
        <v>0</v>
      </c>
      <c r="J26" s="25" t="str">
        <f>IF(B26="U","Unbilled",INDEX(Code!B:B,MATCH(LEFT(C26,10),Code!A:A,0)))</f>
        <v>Annual Guarantee Adjustments</v>
      </c>
    </row>
    <row r="27" spans="1:10">
      <c r="A27" s="107" t="s">
        <v>5</v>
      </c>
      <c r="B27" s="107" t="s">
        <v>154</v>
      </c>
      <c r="C27" s="107" t="s">
        <v>45</v>
      </c>
      <c r="E27" s="107">
        <v>0</v>
      </c>
      <c r="F27" s="107">
        <v>668.76</v>
      </c>
      <c r="H27" s="25">
        <f t="shared" si="0"/>
        <v>0</v>
      </c>
      <c r="I27" s="25" cm="1">
        <f t="array" ref="I27">IF(OR(B27={"R","U"}),E27,0)</f>
        <v>0</v>
      </c>
      <c r="J27" s="25" t="str">
        <f>IF(B27="U","Unbilled",INDEX(Code!B:B,MATCH(LEFT(C27,10),Code!A:A,0)))</f>
        <v>Annual Guarantee Adjustments</v>
      </c>
    </row>
    <row r="28" spans="1:10">
      <c r="A28" s="107" t="s">
        <v>5</v>
      </c>
      <c r="B28" s="107" t="s">
        <v>154</v>
      </c>
      <c r="C28" s="107" t="s">
        <v>91</v>
      </c>
      <c r="E28" s="107">
        <v>0</v>
      </c>
      <c r="F28" s="107">
        <v>15285.11</v>
      </c>
      <c r="H28" s="25">
        <f t="shared" si="0"/>
        <v>0</v>
      </c>
      <c r="I28" s="25" cm="1">
        <f t="array" ref="I28">IF(OR(B28={"R","U"}),E28,0)</f>
        <v>0</v>
      </c>
      <c r="J28" s="25" t="str">
        <f>IF(B28="U","Unbilled",INDEX(Code!B:B,MATCH(LEFT(C28,10),Code!A:A,0)))</f>
        <v>Annual Guarantee Adjustments</v>
      </c>
    </row>
    <row r="29" spans="1:10">
      <c r="A29" s="107" t="s">
        <v>5</v>
      </c>
      <c r="B29" s="107" t="s">
        <v>154</v>
      </c>
      <c r="C29" s="107" t="s">
        <v>112</v>
      </c>
      <c r="E29" s="107">
        <v>0</v>
      </c>
      <c r="F29" s="107">
        <v>3264.55</v>
      </c>
      <c r="H29" s="25">
        <f t="shared" si="0"/>
        <v>0</v>
      </c>
      <c r="I29" s="25" cm="1">
        <f t="array" ref="I29">IF(OR(B29={"R","U"}),E29,0)</f>
        <v>0</v>
      </c>
      <c r="J29" s="25" t="str">
        <f>IF(B29="U","Unbilled",INDEX(Code!B:B,MATCH(LEFT(C29,10),Code!A:A,0)))</f>
        <v>Annual Guarantee Adjustments</v>
      </c>
    </row>
    <row r="30" spans="1:10">
      <c r="A30" s="107" t="s">
        <v>5</v>
      </c>
      <c r="B30" s="107" t="s">
        <v>154</v>
      </c>
      <c r="C30" s="107" t="s">
        <v>111</v>
      </c>
      <c r="E30" s="107">
        <v>0</v>
      </c>
      <c r="F30" s="107">
        <v>34681.9</v>
      </c>
      <c r="H30" s="25">
        <f t="shared" si="0"/>
        <v>0</v>
      </c>
      <c r="I30" s="25" cm="1">
        <f t="array" ref="I30">IF(OR(B30={"R","U"}),E30,0)</f>
        <v>0</v>
      </c>
      <c r="J30" s="25" t="str">
        <f>IF(B30="U","Unbilled",INDEX(Code!B:B,MATCH(LEFT(C30,10),Code!A:A,0)))</f>
        <v>Annual Guarantee Adjustments</v>
      </c>
    </row>
    <row r="31" spans="1:10">
      <c r="A31" s="107" t="s">
        <v>5</v>
      </c>
      <c r="B31" s="107" t="s">
        <v>154</v>
      </c>
      <c r="C31" s="107" t="s">
        <v>113</v>
      </c>
      <c r="E31" s="107">
        <v>0</v>
      </c>
      <c r="F31" s="107">
        <v>10278</v>
      </c>
      <c r="H31" s="25">
        <f t="shared" si="0"/>
        <v>0</v>
      </c>
      <c r="I31" s="25" cm="1">
        <f t="array" ref="I31">IF(OR(B31={"R","U"}),E31,0)</f>
        <v>0</v>
      </c>
      <c r="J31" s="25" t="str">
        <f>IF(B31="U","Unbilled",INDEX(Code!B:B,MATCH(LEFT(C31,10),Code!A:A,0)))</f>
        <v>Annual Guarantee Adjustments</v>
      </c>
    </row>
    <row r="32" spans="1:10">
      <c r="A32" s="107" t="s">
        <v>5</v>
      </c>
      <c r="B32" s="107" t="s">
        <v>154</v>
      </c>
      <c r="C32" s="107" t="s">
        <v>293</v>
      </c>
      <c r="D32" s="107">
        <v>306</v>
      </c>
      <c r="E32" s="107">
        <v>127958</v>
      </c>
      <c r="F32" s="107">
        <v>18837.66</v>
      </c>
      <c r="G32" s="107">
        <v>0</v>
      </c>
      <c r="H32" s="25">
        <f t="shared" si="0"/>
        <v>306</v>
      </c>
      <c r="I32" s="25" cm="1">
        <f t="array" ref="I32">IF(OR(B32={"R","U"}),E32,0)</f>
        <v>127958</v>
      </c>
      <c r="J32" s="25" t="str">
        <f>IF(B32="U","Unbilled",INDEX(Code!B:B,MATCH(LEFT(C32,10),Code!A:A,0)))</f>
        <v>Schedule 24</v>
      </c>
    </row>
    <row r="33" spans="1:10">
      <c r="A33" s="107" t="s">
        <v>5</v>
      </c>
      <c r="B33" s="107" t="s">
        <v>154</v>
      </c>
      <c r="C33" s="107" t="s">
        <v>92</v>
      </c>
      <c r="D33" s="107">
        <v>1674</v>
      </c>
      <c r="E33" s="107">
        <v>5785719</v>
      </c>
      <c r="F33" s="107">
        <v>574364.75</v>
      </c>
      <c r="G33" s="107">
        <v>0</v>
      </c>
      <c r="H33" s="25">
        <f t="shared" si="0"/>
        <v>1674</v>
      </c>
      <c r="I33" s="25" cm="1">
        <f t="array" ref="I33">IF(OR(B33={"R","U"}),E33,0)</f>
        <v>5785719</v>
      </c>
      <c r="J33" s="25" t="str">
        <f>IF(B33="U","Unbilled",INDEX(Code!B:B,MATCH(LEFT(C33,10),Code!A:A,0)))</f>
        <v>Schedule 24</v>
      </c>
    </row>
    <row r="34" spans="1:10">
      <c r="A34" s="107" t="s">
        <v>5</v>
      </c>
      <c r="B34" s="107" t="s">
        <v>154</v>
      </c>
      <c r="C34" s="107" t="s">
        <v>125</v>
      </c>
      <c r="D34" s="107">
        <v>217</v>
      </c>
      <c r="E34" s="107">
        <v>13219397</v>
      </c>
      <c r="F34" s="107">
        <v>1134515.72</v>
      </c>
      <c r="G34" s="107">
        <v>0</v>
      </c>
      <c r="H34" s="25">
        <f t="shared" si="0"/>
        <v>217</v>
      </c>
      <c r="I34" s="25" cm="1">
        <f t="array" ref="I34">IF(OR(B34={"R","U"}),E34,0)</f>
        <v>13219397</v>
      </c>
      <c r="J34" s="25" t="str">
        <f>IF(B34="U","Unbilled",INDEX(Code!B:B,MATCH(LEFT(C34,10),Code!A:A,0)))</f>
        <v>Schedule 29,36</v>
      </c>
    </row>
    <row r="35" spans="1:10">
      <c r="A35" s="107" t="s">
        <v>5</v>
      </c>
      <c r="B35" s="107" t="s">
        <v>154</v>
      </c>
      <c r="C35" s="107" t="s">
        <v>294</v>
      </c>
      <c r="D35" s="107">
        <v>24</v>
      </c>
      <c r="E35" s="107">
        <v>10190400</v>
      </c>
      <c r="F35" s="107">
        <v>743468.46</v>
      </c>
      <c r="G35" s="107">
        <v>0</v>
      </c>
      <c r="H35" s="25">
        <f t="shared" si="0"/>
        <v>24</v>
      </c>
      <c r="I35" s="25" cm="1">
        <f t="array" ref="I35">IF(OR(B35={"R","U"}),E35,0)</f>
        <v>10190400</v>
      </c>
      <c r="J35" s="25" t="str">
        <f>IF(B35="U","Unbilled",INDEX(Code!B:B,MATCH(LEFT(C35,10),Code!A:A,0)))</f>
        <v>Schedule 48T</v>
      </c>
    </row>
    <row r="36" spans="1:10">
      <c r="A36" s="107" t="s">
        <v>5</v>
      </c>
      <c r="B36" s="107" t="s">
        <v>154</v>
      </c>
      <c r="C36" s="107" t="s">
        <v>46</v>
      </c>
      <c r="D36" s="107">
        <v>8939</v>
      </c>
      <c r="E36" s="107">
        <v>1366292</v>
      </c>
      <c r="F36" s="107">
        <v>106811</v>
      </c>
      <c r="G36" s="107">
        <v>0</v>
      </c>
      <c r="H36" s="25">
        <f t="shared" si="0"/>
        <v>8939</v>
      </c>
      <c r="I36" s="25" cm="1">
        <f t="array" ref="I36">IF(OR(B36={"R","U"}),E36,0)</f>
        <v>1366292</v>
      </c>
      <c r="J36" s="25" t="str">
        <f>IF(B36="U","Unbilled",INDEX(Code!B:B,MATCH(LEFT(C36,10),Code!A:A,0)))</f>
        <v>Schedule 15</v>
      </c>
    </row>
    <row r="37" spans="1:10">
      <c r="A37" s="107" t="s">
        <v>5</v>
      </c>
      <c r="B37" s="107" t="s">
        <v>154</v>
      </c>
      <c r="C37" s="107" t="s">
        <v>104</v>
      </c>
      <c r="D37" s="107">
        <v>5352</v>
      </c>
      <c r="E37" s="107">
        <v>475493</v>
      </c>
      <c r="F37" s="107">
        <v>50615.19</v>
      </c>
      <c r="G37" s="107">
        <v>0</v>
      </c>
      <c r="H37" s="25">
        <f t="shared" si="0"/>
        <v>5352</v>
      </c>
      <c r="I37" s="25" cm="1">
        <f t="array" ref="I37">IF(OR(B37={"R","U"}),E37,0)</f>
        <v>475493</v>
      </c>
      <c r="J37" s="25" t="str">
        <f>IF(B37="U","Unbilled",INDEX(Code!B:B,MATCH(LEFT(C37,10),Code!A:A,0)))</f>
        <v>Schedule 15</v>
      </c>
    </row>
    <row r="38" spans="1:10">
      <c r="A38" s="107" t="s">
        <v>5</v>
      </c>
      <c r="B38" s="107" t="s">
        <v>154</v>
      </c>
      <c r="C38" s="107" t="s">
        <v>47</v>
      </c>
      <c r="D38" s="107">
        <v>306</v>
      </c>
      <c r="E38" s="107">
        <v>312417</v>
      </c>
      <c r="F38" s="107">
        <v>17642.8</v>
      </c>
      <c r="G38" s="107">
        <v>0</v>
      </c>
      <c r="H38" s="25">
        <f t="shared" si="0"/>
        <v>306</v>
      </c>
      <c r="I38" s="25" cm="1">
        <f t="array" ref="I38">IF(OR(B38={"R","U"}),E38,0)</f>
        <v>312417</v>
      </c>
      <c r="J38" s="25" t="str">
        <f>IF(B38="U","Unbilled",INDEX(Code!B:B,MATCH(LEFT(C38,10),Code!A:A,0)))</f>
        <v>Schedule 54</v>
      </c>
    </row>
    <row r="39" spans="1:10">
      <c r="A39" s="107" t="s">
        <v>5</v>
      </c>
      <c r="B39" s="107" t="s">
        <v>154</v>
      </c>
      <c r="C39" s="107" t="s">
        <v>295</v>
      </c>
      <c r="D39" s="107">
        <v>0</v>
      </c>
      <c r="E39" s="107">
        <v>0</v>
      </c>
      <c r="F39" s="107">
        <v>0</v>
      </c>
      <c r="G39" s="107">
        <v>0</v>
      </c>
      <c r="H39" s="25">
        <f t="shared" si="0"/>
        <v>0</v>
      </c>
      <c r="I39" s="25" cm="1">
        <f t="array" ref="I39">IF(OR(B39={"R","U"}),E39,0)</f>
        <v>0</v>
      </c>
      <c r="J39" s="25" t="str">
        <f>IF(B39="U","Unbilled",INDEX(Code!B:B,MATCH(LEFT(C39,10),Code!A:A,0)))</f>
        <v>Customer Bill Credits</v>
      </c>
    </row>
    <row r="40" spans="1:10">
      <c r="A40" s="107" t="s">
        <v>5</v>
      </c>
      <c r="B40" s="107" t="s">
        <v>154</v>
      </c>
      <c r="C40" s="107" t="s">
        <v>296</v>
      </c>
      <c r="D40" s="107">
        <v>0</v>
      </c>
      <c r="E40" s="107">
        <v>0</v>
      </c>
      <c r="F40" s="107">
        <v>4534087.8899999997</v>
      </c>
      <c r="G40" s="107">
        <v>0</v>
      </c>
      <c r="H40" s="25">
        <f t="shared" si="0"/>
        <v>0</v>
      </c>
      <c r="I40" s="25" cm="1">
        <f t="array" ref="I40">IF(OR(B40={"R","U"}),E40,0)</f>
        <v>0</v>
      </c>
      <c r="J40" s="25" t="str">
        <f>IF(B40="U","Unbilled",INDEX(Code!B:B,MATCH(LEFT(C40,10),Code!A:A,0)))</f>
        <v>DSM</v>
      </c>
    </row>
    <row r="41" spans="1:10">
      <c r="A41" s="107" t="s">
        <v>5</v>
      </c>
      <c r="B41" s="107" t="s">
        <v>154</v>
      </c>
      <c r="C41" s="107" t="s">
        <v>142</v>
      </c>
      <c r="D41" s="107">
        <v>12</v>
      </c>
      <c r="E41" s="107">
        <v>0</v>
      </c>
      <c r="F41" s="107">
        <v>30424.7</v>
      </c>
      <c r="G41" s="107">
        <v>0</v>
      </c>
      <c r="H41" s="25">
        <f t="shared" si="0"/>
        <v>0</v>
      </c>
      <c r="I41" s="25" cm="1">
        <f t="array" ref="I41">IF(OR(B41={"R","U"}),E41,0)</f>
        <v>0</v>
      </c>
      <c r="J41" s="25" t="str">
        <f>IF(B41="U","Unbilled",INDEX(Code!B:B,MATCH(LEFT(C41,10),Code!A:A,0)))</f>
        <v>Blue Sky</v>
      </c>
    </row>
    <row r="42" spans="1:10">
      <c r="A42" s="107" t="s">
        <v>5</v>
      </c>
      <c r="B42" s="107" t="s">
        <v>154</v>
      </c>
      <c r="C42" s="107" t="s">
        <v>181</v>
      </c>
      <c r="D42" s="107">
        <v>0</v>
      </c>
      <c r="E42" s="107">
        <v>0</v>
      </c>
      <c r="F42" s="107">
        <v>44874.79</v>
      </c>
      <c r="G42" s="107">
        <v>0</v>
      </c>
      <c r="H42" s="25">
        <f t="shared" si="0"/>
        <v>0</v>
      </c>
      <c r="I42" s="25" cm="1">
        <f t="array" ref="I42">IF(OR(B42={"R","U"}),E42,0)</f>
        <v>0</v>
      </c>
      <c r="J42" s="25" t="str">
        <f>IF(B42="U","Unbilled",INDEX(Code!B:B,MATCH(LEFT(C42,10),Code!A:A,0)))</f>
        <v>Rev Adj Property Insur</v>
      </c>
    </row>
    <row r="43" spans="1:10">
      <c r="A43" s="107" t="s">
        <v>5</v>
      </c>
      <c r="B43" s="107" t="s">
        <v>154</v>
      </c>
      <c r="C43" s="107" t="s">
        <v>297</v>
      </c>
      <c r="D43" s="107">
        <v>0</v>
      </c>
      <c r="E43" s="107">
        <v>0</v>
      </c>
      <c r="F43" s="107">
        <v>-1085030.27</v>
      </c>
      <c r="G43" s="107">
        <v>0</v>
      </c>
      <c r="H43" s="25">
        <f t="shared" si="0"/>
        <v>0</v>
      </c>
      <c r="I43" s="25" cm="1">
        <f t="array" ref="I43">IF(OR(B43={"R","U"}),E43,0)</f>
        <v>0</v>
      </c>
      <c r="J43" s="25" t="str">
        <f>IF(B43="U","Unbilled",INDEX(Code!B:B,MATCH(LEFT(C43,10),Code!A:A,0)))</f>
        <v>Alt Rev Program</v>
      </c>
    </row>
    <row r="44" spans="1:10">
      <c r="A44" s="107" t="s">
        <v>5</v>
      </c>
      <c r="B44" s="107" t="s">
        <v>154</v>
      </c>
      <c r="C44" s="107" t="s">
        <v>52</v>
      </c>
      <c r="D44" s="107">
        <v>0</v>
      </c>
      <c r="G44" s="107">
        <v>201783</v>
      </c>
      <c r="H44" s="25">
        <f t="shared" si="0"/>
        <v>0</v>
      </c>
      <c r="I44" s="25" cm="1">
        <f t="array" ref="I44">IF(OR(B44={"R","U"}),E44,0)</f>
        <v>0</v>
      </c>
      <c r="J44" s="25" t="str">
        <f>IF(B44="U","Unbilled",INDEX(Code!B:B,MATCH(LEFT(C44,10),Code!A:A,0)))</f>
        <v>CustIDs</v>
      </c>
    </row>
    <row r="45" spans="1:10">
      <c r="A45" s="107" t="s">
        <v>5</v>
      </c>
      <c r="B45" s="107" t="s">
        <v>154</v>
      </c>
      <c r="C45" s="107" t="s">
        <v>184</v>
      </c>
      <c r="D45" s="107">
        <v>0</v>
      </c>
      <c r="E45" s="107">
        <v>0</v>
      </c>
      <c r="F45" s="107">
        <v>789363.18</v>
      </c>
      <c r="G45" s="107">
        <v>0</v>
      </c>
      <c r="H45" s="25">
        <f t="shared" si="0"/>
        <v>0</v>
      </c>
      <c r="I45" s="25" cm="1">
        <f t="array" ref="I45">IF(OR(B45={"R","U"}),E45,0)</f>
        <v>0</v>
      </c>
      <c r="J45" s="25" t="str">
        <f>IF(B45="U","Unbilled",INDEX(Code!B:B,MATCH(LEFT(C45,10),Code!A:A,0)))</f>
        <v>Income Tax Defer Adj</v>
      </c>
    </row>
    <row r="46" spans="1:10">
      <c r="A46" s="107" t="s">
        <v>5</v>
      </c>
      <c r="B46" s="107" t="s">
        <v>154</v>
      </c>
      <c r="C46" s="107" t="s">
        <v>124</v>
      </c>
      <c r="D46" s="107">
        <v>0</v>
      </c>
      <c r="E46" s="107">
        <v>0</v>
      </c>
      <c r="F46" s="107">
        <v>-307715.95</v>
      </c>
      <c r="G46" s="107">
        <v>0</v>
      </c>
      <c r="H46" s="25">
        <f t="shared" si="0"/>
        <v>0</v>
      </c>
      <c r="I46" s="25" cm="1">
        <f t="array" ref="I46">IF(OR(B46={"R","U"}),E46,0)</f>
        <v>0</v>
      </c>
      <c r="J46" s="25" t="str">
        <f>IF(B46="U","Unbilled",INDEX(Code!B:B,MATCH(LEFT(C46,10),Code!A:A,0)))</f>
        <v>Rev Adj</v>
      </c>
    </row>
    <row r="47" spans="1:10">
      <c r="A47" s="107" t="s">
        <v>5</v>
      </c>
      <c r="B47" s="107" t="s">
        <v>154</v>
      </c>
      <c r="C47" s="107" t="s">
        <v>131</v>
      </c>
      <c r="D47" s="107">
        <v>0</v>
      </c>
      <c r="E47" s="107">
        <v>0</v>
      </c>
      <c r="F47" s="107">
        <v>36545.71</v>
      </c>
      <c r="G47" s="107">
        <v>0</v>
      </c>
      <c r="H47" s="25">
        <f t="shared" si="0"/>
        <v>0</v>
      </c>
      <c r="I47" s="25" cm="1">
        <f t="array" ref="I47">IF(OR(B47={"R","U"}),E47,0)</f>
        <v>0</v>
      </c>
      <c r="J47" s="25" t="str">
        <f>IF(B47="U","Unbilled",INDEX(Code!B:B,MATCH(LEFT(C47,10),Code!A:A,0)))</f>
        <v>Rev Adj</v>
      </c>
    </row>
    <row r="48" spans="1:10">
      <c r="A48" s="107" t="s">
        <v>5</v>
      </c>
      <c r="B48" s="107" t="s">
        <v>155</v>
      </c>
      <c r="C48" s="107" t="s">
        <v>53</v>
      </c>
      <c r="D48" s="107">
        <v>0</v>
      </c>
      <c r="E48" s="107">
        <v>10073000</v>
      </c>
      <c r="F48" s="107">
        <v>2041000</v>
      </c>
      <c r="G48" s="107">
        <v>0</v>
      </c>
      <c r="H48" s="25">
        <f t="shared" si="0"/>
        <v>0</v>
      </c>
      <c r="I48" s="25" cm="1">
        <f t="array" ref="I48">IF(OR(B48={"R","U"}),E48,0)</f>
        <v>10073000</v>
      </c>
      <c r="J48" s="25" t="str">
        <f>IF(B48="U","Unbilled",INDEX(Code!B:B,MATCH(LEFT(C48,10),Code!A:A,0)))</f>
        <v>Unbilled</v>
      </c>
    </row>
    <row r="49" spans="1:10">
      <c r="A49" s="107" t="s">
        <v>7</v>
      </c>
      <c r="B49" s="107" t="s">
        <v>288</v>
      </c>
      <c r="C49" s="107" t="s">
        <v>102</v>
      </c>
      <c r="D49" s="107">
        <v>494</v>
      </c>
      <c r="E49" s="107">
        <v>941721</v>
      </c>
      <c r="F49" s="107">
        <v>-8390.3799999999992</v>
      </c>
      <c r="G49" s="107">
        <v>0</v>
      </c>
      <c r="H49" s="25">
        <f t="shared" si="0"/>
        <v>0</v>
      </c>
      <c r="I49" s="25" cm="1">
        <f t="array" ref="I49">IF(OR(B49={"R","U"}),E49,0)</f>
        <v>0</v>
      </c>
      <c r="J49" s="25" t="str">
        <f>IF(B49="U","Unbilled",INDEX(Code!B:B,MATCH(LEFT(C49,10),Code!A:A,0)))</f>
        <v>Schedule 24</v>
      </c>
    </row>
    <row r="50" spans="1:10">
      <c r="A50" s="107" t="s">
        <v>7</v>
      </c>
      <c r="B50" s="107" t="s">
        <v>288</v>
      </c>
      <c r="C50" s="107" t="s">
        <v>103</v>
      </c>
      <c r="D50" s="107">
        <v>12</v>
      </c>
      <c r="E50" s="107">
        <v>2644</v>
      </c>
      <c r="F50" s="107">
        <v>-23.9</v>
      </c>
      <c r="G50" s="107">
        <v>0</v>
      </c>
      <c r="H50" s="25">
        <f t="shared" si="0"/>
        <v>0</v>
      </c>
      <c r="I50" s="25" cm="1">
        <f t="array" ref="I50">IF(OR(B50={"R","U"}),E50,0)</f>
        <v>0</v>
      </c>
      <c r="J50" s="25" t="str">
        <f>IF(B50="U","Unbilled",INDEX(Code!B:B,MATCH(LEFT(C50,10),Code!A:A,0)))</f>
        <v>Schedule 24</v>
      </c>
    </row>
    <row r="51" spans="1:10">
      <c r="A51" s="107" t="s">
        <v>7</v>
      </c>
      <c r="B51" s="107" t="s">
        <v>288</v>
      </c>
      <c r="C51" s="107" t="s">
        <v>99</v>
      </c>
      <c r="D51" s="107">
        <v>76</v>
      </c>
      <c r="E51" s="107">
        <v>875520</v>
      </c>
      <c r="F51" s="107">
        <v>-7360.18</v>
      </c>
      <c r="G51" s="107">
        <v>0</v>
      </c>
      <c r="H51" s="25">
        <f t="shared" si="0"/>
        <v>0</v>
      </c>
      <c r="I51" s="25" cm="1">
        <f t="array" ref="I51">IF(OR(B51={"R","U"}),E51,0)</f>
        <v>0</v>
      </c>
      <c r="J51" s="25" t="str">
        <f>IF(B51="U","Unbilled",INDEX(Code!B:B,MATCH(LEFT(C51,10),Code!A:A,0)))</f>
        <v>Schedule 29,36</v>
      </c>
    </row>
    <row r="52" spans="1:10">
      <c r="A52" s="107" t="s">
        <v>7</v>
      </c>
      <c r="B52" s="107" t="s">
        <v>288</v>
      </c>
      <c r="C52" s="107" t="s">
        <v>289</v>
      </c>
      <c r="E52" s="107">
        <v>0</v>
      </c>
      <c r="F52" s="107">
        <v>0</v>
      </c>
      <c r="H52" s="25">
        <f t="shared" si="0"/>
        <v>0</v>
      </c>
      <c r="I52" s="25" cm="1">
        <f t="array" ref="I52">IF(OR(B52={"R","U"}),E52,0)</f>
        <v>0</v>
      </c>
      <c r="J52" s="25" t="str">
        <f>IF(B52="U","Unbilled",INDEX(Code!B:B,MATCH(LEFT(C52,10),Code!A:A,0)))</f>
        <v>Schedule 24</v>
      </c>
    </row>
    <row r="53" spans="1:10">
      <c r="A53" s="107" t="s">
        <v>7</v>
      </c>
      <c r="B53" s="107" t="s">
        <v>288</v>
      </c>
      <c r="C53" s="107" t="s">
        <v>290</v>
      </c>
      <c r="D53" s="107">
        <v>9</v>
      </c>
      <c r="E53" s="107">
        <v>95360</v>
      </c>
      <c r="F53" s="107">
        <v>-737.71</v>
      </c>
      <c r="G53" s="107">
        <v>0</v>
      </c>
      <c r="H53" s="25">
        <f t="shared" si="0"/>
        <v>0</v>
      </c>
      <c r="I53" s="25" cm="1">
        <f t="array" ref="I53">IF(OR(B53={"R","U"}),E53,0)</f>
        <v>0</v>
      </c>
      <c r="J53" s="25" t="str">
        <f>IF(B53="U","Unbilled",INDEX(Code!B:B,MATCH(LEFT(C53,10),Code!A:A,0)))</f>
        <v>Schedule 29,36</v>
      </c>
    </row>
    <row r="54" spans="1:10">
      <c r="A54" s="107" t="s">
        <v>7</v>
      </c>
      <c r="B54" s="107" t="s">
        <v>288</v>
      </c>
      <c r="C54" s="107" t="s">
        <v>100</v>
      </c>
      <c r="E54" s="107">
        <v>6652</v>
      </c>
      <c r="F54" s="107">
        <v>-62.64</v>
      </c>
      <c r="H54" s="25">
        <f t="shared" si="0"/>
        <v>0</v>
      </c>
      <c r="I54" s="25" cm="1">
        <f t="array" ref="I54">IF(OR(B54={"R","U"}),E54,0)</f>
        <v>0</v>
      </c>
      <c r="J54" s="25" t="str">
        <f>IF(B54="U","Unbilled",INDEX(Code!B:B,MATCH(LEFT(C54,10),Code!A:A,0)))</f>
        <v>Schedule 15</v>
      </c>
    </row>
    <row r="55" spans="1:10">
      <c r="A55" s="107" t="s">
        <v>7</v>
      </c>
      <c r="B55" s="107" t="s">
        <v>288</v>
      </c>
      <c r="C55" s="107" t="s">
        <v>50</v>
      </c>
      <c r="D55" s="107">
        <v>0</v>
      </c>
      <c r="E55" s="107">
        <v>0</v>
      </c>
      <c r="F55" s="107">
        <v>-477.25</v>
      </c>
      <c r="G55" s="107">
        <v>0</v>
      </c>
      <c r="H55" s="25">
        <f t="shared" si="0"/>
        <v>0</v>
      </c>
      <c r="I55" s="25" cm="1">
        <f t="array" ref="I55">IF(OR(B55={"R","U"}),E55,0)</f>
        <v>0</v>
      </c>
      <c r="J55" s="25" t="str">
        <f>IF(B55="U","Unbilled",INDEX(Code!B:B,MATCH(LEFT(C55,10),Code!A:A,0)))</f>
        <v>BPA Bal Acct</v>
      </c>
    </row>
    <row r="56" spans="1:10">
      <c r="A56" s="107" t="s">
        <v>7</v>
      </c>
      <c r="B56" s="107" t="s">
        <v>288</v>
      </c>
      <c r="C56" s="107" t="s">
        <v>51</v>
      </c>
      <c r="D56" s="107">
        <v>0</v>
      </c>
      <c r="G56" s="107">
        <v>580</v>
      </c>
      <c r="H56" s="25">
        <f t="shared" si="0"/>
        <v>0</v>
      </c>
      <c r="I56" s="25" cm="1">
        <f t="array" ref="I56">IF(OR(B56={"R","U"}),E56,0)</f>
        <v>0</v>
      </c>
      <c r="J56" s="25" t="str">
        <f>IF(B56="U","Unbilled",INDEX(Code!B:B,MATCH(LEFT(C56,10),Code!A:A,0)))</f>
        <v>CustIDs</v>
      </c>
    </row>
    <row r="57" spans="1:10">
      <c r="A57" s="107" t="s">
        <v>7</v>
      </c>
      <c r="B57" s="107" t="s">
        <v>154</v>
      </c>
      <c r="C57" s="107" t="s">
        <v>96</v>
      </c>
      <c r="D57" s="107">
        <v>494</v>
      </c>
      <c r="E57" s="107">
        <v>941721</v>
      </c>
      <c r="F57" s="107">
        <v>103492.6</v>
      </c>
      <c r="G57" s="107">
        <v>0</v>
      </c>
      <c r="H57" s="25">
        <f t="shared" si="0"/>
        <v>494</v>
      </c>
      <c r="I57" s="25" cm="1">
        <f t="array" ref="I57">IF(OR(B57={"R","U"}),E57,0)</f>
        <v>941721</v>
      </c>
      <c r="J57" s="25" t="str">
        <f>IF(B57="U","Unbilled",INDEX(Code!B:B,MATCH(LEFT(C57,10),Code!A:A,0)))</f>
        <v>Schedule 24</v>
      </c>
    </row>
    <row r="58" spans="1:10">
      <c r="A58" s="107" t="s">
        <v>7</v>
      </c>
      <c r="B58" s="107" t="s">
        <v>154</v>
      </c>
      <c r="C58" s="107" t="s">
        <v>97</v>
      </c>
      <c r="D58" s="107">
        <v>12</v>
      </c>
      <c r="E58" s="107">
        <v>2644</v>
      </c>
      <c r="F58" s="107">
        <v>1650.65</v>
      </c>
      <c r="G58" s="107">
        <v>0</v>
      </c>
      <c r="H58" s="25">
        <f t="shared" si="0"/>
        <v>12</v>
      </c>
      <c r="I58" s="25" cm="1">
        <f t="array" ref="I58">IF(OR(B58={"R","U"}),E58,0)</f>
        <v>2644</v>
      </c>
      <c r="J58" s="25" t="str">
        <f>IF(B58="U","Unbilled",INDEX(Code!B:B,MATCH(LEFT(C58,10),Code!A:A,0)))</f>
        <v>Schedule 24</v>
      </c>
    </row>
    <row r="59" spans="1:10">
      <c r="A59" s="107" t="s">
        <v>7</v>
      </c>
      <c r="B59" s="107" t="s">
        <v>154</v>
      </c>
      <c r="C59" s="107" t="s">
        <v>36</v>
      </c>
      <c r="D59" s="107">
        <v>3864</v>
      </c>
      <c r="E59" s="107">
        <v>14026020</v>
      </c>
      <c r="F59" s="107">
        <v>1359243.95</v>
      </c>
      <c r="G59" s="107">
        <v>0</v>
      </c>
      <c r="H59" s="25">
        <f t="shared" si="0"/>
        <v>3864</v>
      </c>
      <c r="I59" s="25" cm="1">
        <f t="array" ref="I59">IF(OR(B59={"R","U"}),E59,0)</f>
        <v>14026020</v>
      </c>
      <c r="J59" s="25" t="str">
        <f>IF(B59="U","Unbilled",INDEX(Code!B:B,MATCH(LEFT(C59,10),Code!A:A,0)))</f>
        <v>Schedule 24</v>
      </c>
    </row>
    <row r="60" spans="1:10">
      <c r="A60" s="107" t="s">
        <v>7</v>
      </c>
      <c r="B60" s="107" t="s">
        <v>154</v>
      </c>
      <c r="C60" s="107" t="s">
        <v>37</v>
      </c>
      <c r="D60" s="107">
        <v>48</v>
      </c>
      <c r="E60" s="107">
        <v>33474</v>
      </c>
      <c r="F60" s="107">
        <v>8823.94</v>
      </c>
      <c r="G60" s="107">
        <v>0</v>
      </c>
      <c r="H60" s="25">
        <f t="shared" si="0"/>
        <v>48</v>
      </c>
      <c r="I60" s="25" cm="1">
        <f t="array" ref="I60">IF(OR(B60={"R","U"}),E60,0)</f>
        <v>33474</v>
      </c>
      <c r="J60" s="25" t="str">
        <f>IF(B60="U","Unbilled",INDEX(Code!B:B,MATCH(LEFT(C60,10),Code!A:A,0)))</f>
        <v>Schedule 24</v>
      </c>
    </row>
    <row r="61" spans="1:10">
      <c r="A61" s="107" t="s">
        <v>7</v>
      </c>
      <c r="B61" s="107" t="s">
        <v>154</v>
      </c>
      <c r="C61" s="107" t="s">
        <v>106</v>
      </c>
      <c r="D61" s="107">
        <v>76</v>
      </c>
      <c r="E61" s="107">
        <v>875520</v>
      </c>
      <c r="F61" s="107">
        <v>120263.83</v>
      </c>
      <c r="G61" s="107">
        <v>0</v>
      </c>
      <c r="H61" s="25">
        <f t="shared" si="0"/>
        <v>76</v>
      </c>
      <c r="I61" s="25" cm="1">
        <f t="array" ref="I61">IF(OR(B61={"R","U"}),E61,0)</f>
        <v>875520</v>
      </c>
      <c r="J61" s="25" t="str">
        <f>IF(B61="U","Unbilled",INDEX(Code!B:B,MATCH(LEFT(C61,10),Code!A:A,0)))</f>
        <v>Schedule 29,36</v>
      </c>
    </row>
    <row r="62" spans="1:10">
      <c r="A62" s="107" t="s">
        <v>7</v>
      </c>
      <c r="B62" s="107" t="s">
        <v>154</v>
      </c>
      <c r="C62" s="107" t="s">
        <v>38</v>
      </c>
      <c r="D62" s="107">
        <v>1068</v>
      </c>
      <c r="E62" s="107">
        <v>86640451</v>
      </c>
      <c r="F62" s="107">
        <v>7301064.3799999999</v>
      </c>
      <c r="G62" s="107">
        <v>0</v>
      </c>
      <c r="H62" s="25">
        <f t="shared" si="0"/>
        <v>1068</v>
      </c>
      <c r="I62" s="25" cm="1">
        <f t="array" ref="I62">IF(OR(B62={"R","U"}),E62,0)</f>
        <v>86640451</v>
      </c>
      <c r="J62" s="25" t="str">
        <f>IF(B62="U","Unbilled",INDEX(Code!B:B,MATCH(LEFT(C62,10),Code!A:A,0)))</f>
        <v>Schedule 29,36</v>
      </c>
    </row>
    <row r="63" spans="1:10">
      <c r="A63" s="107" t="s">
        <v>7</v>
      </c>
      <c r="B63" s="107" t="s">
        <v>154</v>
      </c>
      <c r="C63" s="107" t="s">
        <v>56</v>
      </c>
      <c r="D63" s="107">
        <v>12</v>
      </c>
      <c r="E63" s="107">
        <v>540230400</v>
      </c>
      <c r="F63" s="107">
        <v>32758440.510000002</v>
      </c>
      <c r="G63" s="107">
        <v>0</v>
      </c>
      <c r="H63" s="25">
        <f t="shared" si="0"/>
        <v>12</v>
      </c>
      <c r="I63" s="25" cm="1">
        <f t="array" ref="I63">IF(OR(B63={"R","U"}),E63,0)</f>
        <v>540230400</v>
      </c>
      <c r="J63" s="25" t="str">
        <f>IF(B63="U","Unbilled",INDEX(Code!B:B,MATCH(LEFT(C63,10),Code!A:A,0)))</f>
        <v>Schedule 48T-DF</v>
      </c>
    </row>
    <row r="64" spans="1:10">
      <c r="A64" s="107" t="s">
        <v>7</v>
      </c>
      <c r="B64" s="107" t="s">
        <v>154</v>
      </c>
      <c r="C64" s="107" t="s">
        <v>39</v>
      </c>
      <c r="D64" s="107">
        <v>348</v>
      </c>
      <c r="E64" s="107">
        <v>196837800</v>
      </c>
      <c r="F64" s="107">
        <v>14420276</v>
      </c>
      <c r="G64" s="107">
        <v>0</v>
      </c>
      <c r="H64" s="25">
        <f t="shared" si="0"/>
        <v>348</v>
      </c>
      <c r="I64" s="25" cm="1">
        <f t="array" ref="I64">IF(OR(B64={"R","U"}),E64,0)</f>
        <v>196837800</v>
      </c>
      <c r="J64" s="25" t="str">
        <f>IF(B64="U","Unbilled",INDEX(Code!B:B,MATCH(LEFT(C64,10),Code!A:A,0)))</f>
        <v>Schedule 48T</v>
      </c>
    </row>
    <row r="65" spans="1:10">
      <c r="A65" s="107" t="s">
        <v>7</v>
      </c>
      <c r="B65" s="107" t="s">
        <v>154</v>
      </c>
      <c r="C65" s="107" t="s">
        <v>41</v>
      </c>
      <c r="E65" s="107">
        <v>0</v>
      </c>
      <c r="F65" s="107">
        <v>11579.08</v>
      </c>
      <c r="H65" s="25">
        <f t="shared" si="0"/>
        <v>0</v>
      </c>
      <c r="I65" s="25" cm="1">
        <f t="array" ref="I65">IF(OR(B65={"R","U"}),E65,0)</f>
        <v>0</v>
      </c>
      <c r="J65" s="25" t="str">
        <f>IF(B65="U","Unbilled",INDEX(Code!B:B,MATCH(LEFT(C65,10),Code!A:A,0)))</f>
        <v>Annual Guarantee Adjustments</v>
      </c>
    </row>
    <row r="66" spans="1:10">
      <c r="A66" s="107" t="s">
        <v>7</v>
      </c>
      <c r="B66" s="107" t="s">
        <v>154</v>
      </c>
      <c r="C66" s="107" t="s">
        <v>293</v>
      </c>
      <c r="E66" s="107">
        <v>0</v>
      </c>
      <c r="F66" s="107">
        <v>0</v>
      </c>
      <c r="H66" s="25">
        <f t="shared" si="0"/>
        <v>0</v>
      </c>
      <c r="I66" s="25" cm="1">
        <f t="array" ref="I66">IF(OR(B66={"R","U"}),E66,0)</f>
        <v>0</v>
      </c>
      <c r="J66" s="25" t="str">
        <f>IF(B66="U","Unbilled",INDEX(Code!B:B,MATCH(LEFT(C66,10),Code!A:A,0)))</f>
        <v>Schedule 24</v>
      </c>
    </row>
    <row r="67" spans="1:10">
      <c r="A67" s="107" t="s">
        <v>7</v>
      </c>
      <c r="B67" s="107" t="s">
        <v>154</v>
      </c>
      <c r="C67" s="107" t="s">
        <v>92</v>
      </c>
      <c r="D67" s="107">
        <v>29</v>
      </c>
      <c r="E67" s="107">
        <v>34857</v>
      </c>
      <c r="F67" s="107">
        <v>3881.76</v>
      </c>
      <c r="G67" s="107">
        <v>0</v>
      </c>
      <c r="H67" s="25">
        <f t="shared" si="0"/>
        <v>29</v>
      </c>
      <c r="I67" s="25" cm="1">
        <f t="array" ref="I67">IF(OR(B67={"R","U"}),E67,0)</f>
        <v>34857</v>
      </c>
      <c r="J67" s="25" t="str">
        <f>IF(B67="U","Unbilled",INDEX(Code!B:B,MATCH(LEFT(C67,10),Code!A:A,0)))</f>
        <v>Schedule 24</v>
      </c>
    </row>
    <row r="68" spans="1:10">
      <c r="A68" s="107" t="s">
        <v>7</v>
      </c>
      <c r="B68" s="107" t="s">
        <v>154</v>
      </c>
      <c r="C68" s="107" t="s">
        <v>125</v>
      </c>
      <c r="D68" s="107">
        <v>9</v>
      </c>
      <c r="E68" s="107">
        <v>95360</v>
      </c>
      <c r="F68" s="107">
        <v>12953.67</v>
      </c>
      <c r="G68" s="107">
        <v>0</v>
      </c>
      <c r="H68" s="25">
        <f t="shared" ref="H68:H131" si="1">IF(AND(B68&lt;&gt;"B",J68&lt;&gt;"Blue Sky",J68&lt;&gt;"Ignore"),D68,0)</f>
        <v>9</v>
      </c>
      <c r="I68" s="25" cm="1">
        <f t="array" ref="I68">IF(OR(B68={"R","U"}),E68,0)</f>
        <v>95360</v>
      </c>
      <c r="J68" s="25" t="str">
        <f>IF(B68="U","Unbilled",INDEX(Code!B:B,MATCH(LEFT(C68,10),Code!A:A,0)))</f>
        <v>Schedule 29,36</v>
      </c>
    </row>
    <row r="69" spans="1:10">
      <c r="A69" s="107" t="s">
        <v>7</v>
      </c>
      <c r="B69" s="107" t="s">
        <v>154</v>
      </c>
      <c r="C69" s="107" t="s">
        <v>46</v>
      </c>
      <c r="D69" s="107">
        <v>434</v>
      </c>
      <c r="E69" s="107">
        <v>95496</v>
      </c>
      <c r="F69" s="107">
        <v>6157.61</v>
      </c>
      <c r="G69" s="107">
        <v>0</v>
      </c>
      <c r="H69" s="25">
        <f t="shared" si="1"/>
        <v>434</v>
      </c>
      <c r="I69" s="25" cm="1">
        <f t="array" ref="I69">IF(OR(B69={"R","U"}),E69,0)</f>
        <v>95496</v>
      </c>
      <c r="J69" s="25" t="str">
        <f>IF(B69="U","Unbilled",INDEX(Code!B:B,MATCH(LEFT(C69,10),Code!A:A,0)))</f>
        <v>Schedule 15</v>
      </c>
    </row>
    <row r="70" spans="1:10">
      <c r="A70" s="107" t="s">
        <v>7</v>
      </c>
      <c r="B70" s="107" t="s">
        <v>154</v>
      </c>
      <c r="C70" s="107" t="s">
        <v>104</v>
      </c>
      <c r="D70" s="107">
        <v>168</v>
      </c>
      <c r="E70" s="107">
        <v>26751</v>
      </c>
      <c r="F70" s="107">
        <v>2538.67</v>
      </c>
      <c r="G70" s="107">
        <v>0</v>
      </c>
      <c r="H70" s="25">
        <f t="shared" si="1"/>
        <v>168</v>
      </c>
      <c r="I70" s="25" cm="1">
        <f t="array" ref="I70">IF(OR(B70={"R","U"}),E70,0)</f>
        <v>26751</v>
      </c>
      <c r="J70" s="25" t="str">
        <f>IF(B70="U","Unbilled",INDEX(Code!B:B,MATCH(LEFT(C70,10),Code!A:A,0)))</f>
        <v>Schedule 15</v>
      </c>
    </row>
    <row r="71" spans="1:10">
      <c r="A71" s="107" t="s">
        <v>7</v>
      </c>
      <c r="B71" s="107" t="s">
        <v>154</v>
      </c>
      <c r="C71" s="107" t="s">
        <v>57</v>
      </c>
      <c r="D71" s="107">
        <v>12</v>
      </c>
      <c r="E71" s="107">
        <v>1710000</v>
      </c>
      <c r="F71" s="107">
        <v>312626.78000000003</v>
      </c>
      <c r="G71" s="107">
        <v>0</v>
      </c>
      <c r="H71" s="25">
        <f t="shared" si="1"/>
        <v>12</v>
      </c>
      <c r="I71" s="25" cm="1">
        <f t="array" ref="I71">IF(OR(B71={"R","U"}),E71,0)</f>
        <v>1710000</v>
      </c>
      <c r="J71" s="25" t="str">
        <f>IF(B71="U","Unbilled",INDEX(Code!B:B,MATCH(LEFT(C71,10),Code!A:A,0)))</f>
        <v>Schedule 47T</v>
      </c>
    </row>
    <row r="72" spans="1:10">
      <c r="A72" s="107" t="s">
        <v>7</v>
      </c>
      <c r="B72" s="107" t="s">
        <v>154</v>
      </c>
      <c r="C72" s="107" t="s">
        <v>298</v>
      </c>
      <c r="D72" s="107">
        <v>0</v>
      </c>
      <c r="E72" s="107">
        <v>0</v>
      </c>
      <c r="F72" s="107">
        <v>2206257.17</v>
      </c>
      <c r="G72" s="107">
        <v>0</v>
      </c>
      <c r="H72" s="25">
        <f t="shared" si="1"/>
        <v>0</v>
      </c>
      <c r="I72" s="25" cm="1">
        <f t="array" ref="I72">IF(OR(B72={"R","U"}),E72,0)</f>
        <v>0</v>
      </c>
      <c r="J72" s="25" t="str">
        <f>IF(B72="U","Unbilled",INDEX(Code!B:B,MATCH(LEFT(C72,10),Code!A:A,0)))</f>
        <v>DSM</v>
      </c>
    </row>
    <row r="73" spans="1:10">
      <c r="A73" s="107" t="s">
        <v>7</v>
      </c>
      <c r="B73" s="107" t="s">
        <v>154</v>
      </c>
      <c r="C73" s="107" t="s">
        <v>157</v>
      </c>
      <c r="D73" s="107">
        <v>0</v>
      </c>
      <c r="E73" s="107">
        <v>0</v>
      </c>
      <c r="F73" s="107">
        <v>26.44</v>
      </c>
      <c r="G73" s="107">
        <v>0</v>
      </c>
      <c r="H73" s="25">
        <f t="shared" si="1"/>
        <v>0</v>
      </c>
      <c r="I73" s="25" cm="1">
        <f t="array" ref="I73">IF(OR(B73={"R","U"}),E73,0)</f>
        <v>0</v>
      </c>
      <c r="J73" s="25" t="str">
        <f>IF(B73="U","Unbilled",INDEX(Code!B:B,MATCH(LEFT(C73,10),Code!A:A,0)))</f>
        <v>Blue Sky</v>
      </c>
    </row>
    <row r="74" spans="1:10">
      <c r="A74" s="107" t="s">
        <v>7</v>
      </c>
      <c r="B74" s="107" t="s">
        <v>154</v>
      </c>
      <c r="C74" s="107" t="s">
        <v>182</v>
      </c>
      <c r="D74" s="107">
        <v>0</v>
      </c>
      <c r="E74" s="107">
        <v>0</v>
      </c>
      <c r="F74" s="107">
        <v>20010.68</v>
      </c>
      <c r="G74" s="107">
        <v>0</v>
      </c>
      <c r="H74" s="25">
        <f t="shared" si="1"/>
        <v>0</v>
      </c>
      <c r="I74" s="25" cm="1">
        <f t="array" ref="I74">IF(OR(B74={"R","U"}),E74,0)</f>
        <v>0</v>
      </c>
      <c r="J74" s="25" t="str">
        <f>IF(B74="U","Unbilled",INDEX(Code!B:B,MATCH(LEFT(C74,10),Code!A:A,0)))</f>
        <v>Rev Adj Property Insur</v>
      </c>
    </row>
    <row r="75" spans="1:10">
      <c r="A75" s="107" t="s">
        <v>7</v>
      </c>
      <c r="B75" s="107" t="s">
        <v>154</v>
      </c>
      <c r="C75" s="107" t="s">
        <v>297</v>
      </c>
      <c r="D75" s="107">
        <v>0</v>
      </c>
      <c r="E75" s="107">
        <v>0</v>
      </c>
      <c r="F75" s="107">
        <v>17513.25</v>
      </c>
      <c r="G75" s="107">
        <v>0</v>
      </c>
      <c r="H75" s="25">
        <f t="shared" si="1"/>
        <v>0</v>
      </c>
      <c r="I75" s="25" cm="1">
        <f t="array" ref="I75">IF(OR(B75={"R","U"}),E75,0)</f>
        <v>0</v>
      </c>
      <c r="J75" s="25" t="str">
        <f>IF(B75="U","Unbilled",INDEX(Code!B:B,MATCH(LEFT(C75,10),Code!A:A,0)))</f>
        <v>Alt Rev Program</v>
      </c>
    </row>
    <row r="76" spans="1:10">
      <c r="A76" s="107" t="s">
        <v>7</v>
      </c>
      <c r="B76" s="107" t="s">
        <v>154</v>
      </c>
      <c r="C76" s="107" t="s">
        <v>52</v>
      </c>
      <c r="D76" s="107">
        <v>0</v>
      </c>
      <c r="G76" s="107">
        <v>5622</v>
      </c>
      <c r="H76" s="25">
        <f t="shared" si="1"/>
        <v>0</v>
      </c>
      <c r="I76" s="25" cm="1">
        <f t="array" ref="I76">IF(OR(B76={"R","U"}),E76,0)</f>
        <v>0</v>
      </c>
      <c r="J76" s="25" t="str">
        <f>IF(B76="U","Unbilled",INDEX(Code!B:B,MATCH(LEFT(C76,10),Code!A:A,0)))</f>
        <v>CustIDs</v>
      </c>
    </row>
    <row r="77" spans="1:10">
      <c r="A77" s="107" t="s">
        <v>7</v>
      </c>
      <c r="B77" s="107" t="s">
        <v>154</v>
      </c>
      <c r="C77" s="107" t="s">
        <v>184</v>
      </c>
      <c r="D77" s="107">
        <v>0</v>
      </c>
      <c r="E77" s="107">
        <v>0</v>
      </c>
      <c r="F77" s="107">
        <v>324830.88</v>
      </c>
      <c r="G77" s="107">
        <v>0</v>
      </c>
      <c r="H77" s="25">
        <f t="shared" si="1"/>
        <v>0</v>
      </c>
      <c r="I77" s="25" cm="1">
        <f t="array" ref="I77">IF(OR(B77={"R","U"}),E77,0)</f>
        <v>0</v>
      </c>
      <c r="J77" s="25" t="str">
        <f>IF(B77="U","Unbilled",INDEX(Code!B:B,MATCH(LEFT(C77,10),Code!A:A,0)))</f>
        <v>Income Tax Defer Adj</v>
      </c>
    </row>
    <row r="78" spans="1:10">
      <c r="A78" s="107" t="s">
        <v>7</v>
      </c>
      <c r="B78" s="107" t="s">
        <v>154</v>
      </c>
      <c r="C78" s="107" t="s">
        <v>124</v>
      </c>
      <c r="D78" s="107">
        <v>0</v>
      </c>
      <c r="E78" s="107">
        <v>0</v>
      </c>
      <c r="F78" s="107">
        <v>609945.92000000004</v>
      </c>
      <c r="G78" s="107">
        <v>0</v>
      </c>
      <c r="H78" s="25">
        <f t="shared" si="1"/>
        <v>0</v>
      </c>
      <c r="I78" s="25" cm="1">
        <f t="array" ref="I78">IF(OR(B78={"R","U"}),E78,0)</f>
        <v>0</v>
      </c>
      <c r="J78" s="25" t="str">
        <f>IF(B78="U","Unbilled",INDEX(Code!B:B,MATCH(LEFT(C78,10),Code!A:A,0)))</f>
        <v>Rev Adj</v>
      </c>
    </row>
    <row r="79" spans="1:10">
      <c r="A79" s="107" t="s">
        <v>7</v>
      </c>
      <c r="B79" s="107" t="s">
        <v>154</v>
      </c>
      <c r="C79" s="107" t="s">
        <v>131</v>
      </c>
      <c r="D79" s="107">
        <v>0</v>
      </c>
      <c r="E79" s="107">
        <v>0</v>
      </c>
      <c r="F79" s="107">
        <v>19748.830000000002</v>
      </c>
      <c r="G79" s="107">
        <v>0</v>
      </c>
      <c r="H79" s="25">
        <f t="shared" si="1"/>
        <v>0</v>
      </c>
      <c r="I79" s="25" cm="1">
        <f t="array" ref="I79">IF(OR(B79={"R","U"}),E79,0)</f>
        <v>0</v>
      </c>
      <c r="J79" s="25" t="str">
        <f>IF(B79="U","Unbilled",INDEX(Code!B:B,MATCH(LEFT(C79,10),Code!A:A,0)))</f>
        <v>Rev Adj</v>
      </c>
    </row>
    <row r="80" spans="1:10">
      <c r="A80" s="107" t="s">
        <v>7</v>
      </c>
      <c r="B80" s="107" t="s">
        <v>155</v>
      </c>
      <c r="C80" s="107" t="s">
        <v>53</v>
      </c>
      <c r="D80" s="107">
        <v>0</v>
      </c>
      <c r="E80" s="107">
        <v>6151000</v>
      </c>
      <c r="F80" s="107">
        <v>1243000</v>
      </c>
      <c r="G80" s="107">
        <v>0</v>
      </c>
      <c r="H80" s="25">
        <f t="shared" si="1"/>
        <v>0</v>
      </c>
      <c r="I80" s="25" cm="1">
        <f t="array" ref="I80">IF(OR(B80={"R","U"}),E80,0)</f>
        <v>6151000</v>
      </c>
      <c r="J80" s="25" t="str">
        <f>IF(B80="U","Unbilled",INDEX(Code!B:B,MATCH(LEFT(C80,10),Code!A:A,0)))</f>
        <v>Unbilled</v>
      </c>
    </row>
    <row r="81" spans="1:10">
      <c r="A81" s="107" t="s">
        <v>179</v>
      </c>
      <c r="B81" s="107" t="s">
        <v>288</v>
      </c>
      <c r="C81" s="107" t="s">
        <v>59</v>
      </c>
      <c r="D81" s="107">
        <v>29184</v>
      </c>
      <c r="E81" s="107">
        <v>90832550</v>
      </c>
      <c r="F81" s="107">
        <v>-743850.58</v>
      </c>
      <c r="G81" s="107">
        <v>0</v>
      </c>
      <c r="H81" s="25">
        <f t="shared" si="1"/>
        <v>0</v>
      </c>
      <c r="I81" s="25" cm="1">
        <f t="array" ref="I81">IF(OR(B81={"R","U"}),E81,0)</f>
        <v>0</v>
      </c>
      <c r="J81" s="25" t="str">
        <f>IF(B81="U","Unbilled",INDEX(Code!B:B,MATCH(LEFT(C81,10),Code!A:A,0)))</f>
        <v>Schedule 40</v>
      </c>
    </row>
    <row r="82" spans="1:10">
      <c r="A82" s="107" t="s">
        <v>179</v>
      </c>
      <c r="B82" s="107" t="s">
        <v>288</v>
      </c>
      <c r="C82" s="107" t="s">
        <v>299</v>
      </c>
      <c r="E82" s="107">
        <v>-10762686</v>
      </c>
      <c r="F82" s="107">
        <v>83580.22</v>
      </c>
      <c r="H82" s="25">
        <f t="shared" si="1"/>
        <v>0</v>
      </c>
      <c r="I82" s="25" cm="1">
        <f t="array" ref="I82">IF(OR(B82={"R","U"}),E82,0)</f>
        <v>0</v>
      </c>
      <c r="J82" s="25" t="str">
        <f>IF(B82="U","Unbilled",INDEX(Code!B:B,MATCH(LEFT(C82,10),Code!A:A,0)))</f>
        <v>BPA Adj Fee</v>
      </c>
    </row>
    <row r="83" spans="1:10">
      <c r="A83" s="107" t="s">
        <v>179</v>
      </c>
      <c r="B83" s="107" t="s">
        <v>288</v>
      </c>
      <c r="C83" s="107" t="s">
        <v>300</v>
      </c>
      <c r="D83" s="107">
        <v>128</v>
      </c>
      <c r="E83" s="107">
        <v>305336</v>
      </c>
      <c r="F83" s="107">
        <v>-2303.62</v>
      </c>
      <c r="G83" s="107">
        <v>0</v>
      </c>
      <c r="H83" s="25">
        <f t="shared" si="1"/>
        <v>0</v>
      </c>
      <c r="I83" s="25" cm="1">
        <f t="array" ref="I83">IF(OR(B83={"R","U"}),E83,0)</f>
        <v>0</v>
      </c>
      <c r="J83" s="25" t="str">
        <f>IF(B83="U","Unbilled",INDEX(Code!B:B,MATCH(LEFT(C83,10),Code!A:A,0)))</f>
        <v>Schedule 40</v>
      </c>
    </row>
    <row r="84" spans="1:10">
      <c r="A84" s="107" t="s">
        <v>179</v>
      </c>
      <c r="B84" s="107" t="s">
        <v>288</v>
      </c>
      <c r="C84" s="107" t="s">
        <v>62</v>
      </c>
      <c r="D84" s="107">
        <v>0</v>
      </c>
      <c r="G84" s="107">
        <v>28703</v>
      </c>
      <c r="H84" s="25">
        <f t="shared" si="1"/>
        <v>0</v>
      </c>
      <c r="I84" s="25" cm="1">
        <f t="array" ref="I84">IF(OR(B84={"R","U"}),E84,0)</f>
        <v>0</v>
      </c>
      <c r="J84" s="25" t="str">
        <f>IF(B84="U","Unbilled",INDEX(Code!B:B,MATCH(LEFT(C84,10),Code!A:A,0)))</f>
        <v>CustIDs</v>
      </c>
    </row>
    <row r="85" spans="1:10">
      <c r="A85" s="107" t="s">
        <v>179</v>
      </c>
      <c r="B85" s="107" t="s">
        <v>288</v>
      </c>
      <c r="C85" s="107" t="s">
        <v>63</v>
      </c>
      <c r="D85" s="107">
        <v>0</v>
      </c>
      <c r="E85" s="107">
        <v>0</v>
      </c>
      <c r="F85" s="107">
        <v>16810.400000000001</v>
      </c>
      <c r="G85" s="107">
        <v>0</v>
      </c>
      <c r="H85" s="25">
        <f t="shared" si="1"/>
        <v>0</v>
      </c>
      <c r="I85" s="25" cm="1">
        <f t="array" ref="I85">IF(OR(B85={"R","U"}),E85,0)</f>
        <v>0</v>
      </c>
      <c r="J85" s="25" t="str">
        <f>IF(B85="U","Unbilled",INDEX(Code!B:B,MATCH(LEFT(C85,10),Code!A:A,0)))</f>
        <v>BPA Bal Acct</v>
      </c>
    </row>
    <row r="86" spans="1:10">
      <c r="A86" s="107" t="s">
        <v>179</v>
      </c>
      <c r="B86" s="107" t="s">
        <v>154</v>
      </c>
      <c r="C86" s="107" t="s">
        <v>59</v>
      </c>
      <c r="D86" s="107">
        <v>29184</v>
      </c>
      <c r="E86" s="107">
        <v>90832519</v>
      </c>
      <c r="F86" s="107">
        <v>7807904.2199999997</v>
      </c>
      <c r="G86" s="107">
        <v>0</v>
      </c>
      <c r="H86" s="25">
        <f t="shared" si="1"/>
        <v>29184</v>
      </c>
      <c r="I86" s="25" cm="1">
        <f t="array" ref="I86">IF(OR(B86={"R","U"}),E86,0)</f>
        <v>90832519</v>
      </c>
      <c r="J86" s="25" t="str">
        <f>IF(B86="U","Unbilled",INDEX(Code!B:B,MATCH(LEFT(C86,10),Code!A:A,0)))</f>
        <v>Schedule 40</v>
      </c>
    </row>
    <row r="87" spans="1:10">
      <c r="A87" s="107" t="s">
        <v>179</v>
      </c>
      <c r="B87" s="107" t="s">
        <v>154</v>
      </c>
      <c r="C87" s="107" t="s">
        <v>60</v>
      </c>
      <c r="D87" s="107">
        <v>32093</v>
      </c>
      <c r="E87" s="107">
        <v>74921831</v>
      </c>
      <c r="F87" s="107">
        <v>6530534.4100000001</v>
      </c>
      <c r="G87" s="107">
        <v>0</v>
      </c>
      <c r="H87" s="25">
        <f t="shared" si="1"/>
        <v>32093</v>
      </c>
      <c r="I87" s="25" cm="1">
        <f t="array" ref="I87">IF(OR(B87={"R","U"}),E87,0)</f>
        <v>74921831</v>
      </c>
      <c r="J87" s="25" t="str">
        <f>IF(B87="U","Unbilled",INDEX(Code!B:B,MATCH(LEFT(C87,10),Code!A:A,0)))</f>
        <v>Schedule 40</v>
      </c>
    </row>
    <row r="88" spans="1:10">
      <c r="A88" s="107" t="s">
        <v>179</v>
      </c>
      <c r="B88" s="107" t="s">
        <v>154</v>
      </c>
      <c r="C88" s="107" t="s">
        <v>41</v>
      </c>
      <c r="E88" s="107">
        <v>0</v>
      </c>
      <c r="F88" s="107">
        <v>16516.34</v>
      </c>
      <c r="H88" s="25">
        <f t="shared" si="1"/>
        <v>0</v>
      </c>
      <c r="I88" s="25" cm="1">
        <f t="array" ref="I88">IF(OR(B88={"R","U"}),E88,0)</f>
        <v>0</v>
      </c>
      <c r="J88" s="25" t="str">
        <f>IF(B88="U","Unbilled",INDEX(Code!B:B,MATCH(LEFT(C88,10),Code!A:A,0)))</f>
        <v>Annual Guarantee Adjustments</v>
      </c>
    </row>
    <row r="89" spans="1:10">
      <c r="A89" s="107" t="s">
        <v>179</v>
      </c>
      <c r="B89" s="107" t="s">
        <v>154</v>
      </c>
      <c r="C89" s="107" t="s">
        <v>42</v>
      </c>
      <c r="E89" s="107">
        <v>0</v>
      </c>
      <c r="F89" s="107">
        <v>76.62</v>
      </c>
      <c r="H89" s="25">
        <f t="shared" si="1"/>
        <v>0</v>
      </c>
      <c r="I89" s="25" cm="1">
        <f t="array" ref="I89">IF(OR(B89={"R","U"}),E89,0)</f>
        <v>0</v>
      </c>
      <c r="J89" s="25" t="str">
        <f>IF(B89="U","Unbilled",INDEX(Code!B:B,MATCH(LEFT(C89,10),Code!A:A,0)))</f>
        <v>Annual Guarantee Adjustments</v>
      </c>
    </row>
    <row r="90" spans="1:10">
      <c r="A90" s="107" t="s">
        <v>179</v>
      </c>
      <c r="B90" s="107" t="s">
        <v>154</v>
      </c>
      <c r="C90" s="107" t="s">
        <v>43</v>
      </c>
      <c r="E90" s="107">
        <v>0</v>
      </c>
      <c r="F90" s="107">
        <v>899.38</v>
      </c>
      <c r="H90" s="25">
        <f t="shared" si="1"/>
        <v>0</v>
      </c>
      <c r="I90" s="25" cm="1">
        <f t="array" ref="I90">IF(OR(B90={"R","U"}),E90,0)</f>
        <v>0</v>
      </c>
      <c r="J90" s="25" t="str">
        <f>IF(B90="U","Unbilled",INDEX(Code!B:B,MATCH(LEFT(C90,10),Code!A:A,0)))</f>
        <v>Annual Guarantee Adjustments</v>
      </c>
    </row>
    <row r="91" spans="1:10">
      <c r="A91" s="107" t="s">
        <v>179</v>
      </c>
      <c r="B91" s="107" t="s">
        <v>154</v>
      </c>
      <c r="C91" s="107" t="s">
        <v>44</v>
      </c>
      <c r="E91" s="107">
        <v>0</v>
      </c>
      <c r="F91" s="107">
        <v>87043.07</v>
      </c>
      <c r="H91" s="25">
        <f t="shared" si="1"/>
        <v>0</v>
      </c>
      <c r="I91" s="25" cm="1">
        <f t="array" ref="I91">IF(OR(B91={"R","U"}),E91,0)</f>
        <v>0</v>
      </c>
      <c r="J91" s="25" t="str">
        <f>IF(B91="U","Unbilled",INDEX(Code!B:B,MATCH(LEFT(C91,10),Code!A:A,0)))</f>
        <v>Annual Guarantee Adjustments</v>
      </c>
    </row>
    <row r="92" spans="1:10">
      <c r="A92" s="107" t="s">
        <v>179</v>
      </c>
      <c r="B92" s="107" t="s">
        <v>154</v>
      </c>
      <c r="C92" s="107" t="s">
        <v>112</v>
      </c>
      <c r="E92" s="107">
        <v>0</v>
      </c>
      <c r="F92" s="107">
        <v>13214.61</v>
      </c>
      <c r="H92" s="25">
        <f t="shared" si="1"/>
        <v>0</v>
      </c>
      <c r="I92" s="25" cm="1">
        <f t="array" ref="I92">IF(OR(B92={"R","U"}),E92,0)</f>
        <v>0</v>
      </c>
      <c r="J92" s="25" t="str">
        <f>IF(B92="U","Unbilled",INDEX(Code!B:B,MATCH(LEFT(C92,10),Code!A:A,0)))</f>
        <v>Annual Guarantee Adjustments</v>
      </c>
    </row>
    <row r="93" spans="1:10">
      <c r="A93" s="107" t="s">
        <v>179</v>
      </c>
      <c r="B93" s="107" t="s">
        <v>154</v>
      </c>
      <c r="C93" s="107" t="s">
        <v>113</v>
      </c>
      <c r="E93" s="107">
        <v>0</v>
      </c>
      <c r="F93" s="107">
        <v>22568.35</v>
      </c>
      <c r="H93" s="25">
        <f t="shared" si="1"/>
        <v>0</v>
      </c>
      <c r="I93" s="25" cm="1">
        <f t="array" ref="I93">IF(OR(B93={"R","U"}),E93,0)</f>
        <v>0</v>
      </c>
      <c r="J93" s="25" t="str">
        <f>IF(B93="U","Unbilled",INDEX(Code!B:B,MATCH(LEFT(C93,10),Code!A:A,0)))</f>
        <v>Annual Guarantee Adjustments</v>
      </c>
    </row>
    <row r="94" spans="1:10">
      <c r="A94" s="107" t="s">
        <v>179</v>
      </c>
      <c r="B94" s="107" t="s">
        <v>154</v>
      </c>
      <c r="C94" s="107" t="s">
        <v>301</v>
      </c>
      <c r="D94" s="107">
        <v>128</v>
      </c>
      <c r="E94" s="107">
        <v>305336</v>
      </c>
      <c r="F94" s="107">
        <v>32893.19</v>
      </c>
      <c r="G94" s="107">
        <v>0</v>
      </c>
      <c r="H94" s="25">
        <f t="shared" si="1"/>
        <v>128</v>
      </c>
      <c r="I94" s="25" cm="1">
        <f t="array" ref="I94">IF(OR(B94={"R","U"}),E94,0)</f>
        <v>305336</v>
      </c>
      <c r="J94" s="25" t="str">
        <f>IF(B94="U","Unbilled",INDEX(Code!B:B,MATCH(LEFT(C94,10),Code!A:A,0)))</f>
        <v>Schedule 40</v>
      </c>
    </row>
    <row r="95" spans="1:10">
      <c r="A95" s="107" t="s">
        <v>179</v>
      </c>
      <c r="B95" s="107" t="s">
        <v>154</v>
      </c>
      <c r="C95" s="107" t="s">
        <v>302</v>
      </c>
      <c r="D95" s="107">
        <v>148</v>
      </c>
      <c r="E95" s="107">
        <v>58213</v>
      </c>
      <c r="F95" s="107">
        <v>11429.43</v>
      </c>
      <c r="G95" s="107">
        <v>0</v>
      </c>
      <c r="H95" s="25">
        <f t="shared" si="1"/>
        <v>148</v>
      </c>
      <c r="I95" s="25" cm="1">
        <f t="array" ref="I95">IF(OR(B95={"R","U"}),E95,0)</f>
        <v>58213</v>
      </c>
      <c r="J95" s="25" t="str">
        <f>IF(B95="U","Unbilled",INDEX(Code!B:B,MATCH(LEFT(C95,10),Code!A:A,0)))</f>
        <v>Schedule 40</v>
      </c>
    </row>
    <row r="96" spans="1:10">
      <c r="A96" s="107" t="s">
        <v>179</v>
      </c>
      <c r="B96" s="107" t="s">
        <v>154</v>
      </c>
      <c r="C96" s="107" t="s">
        <v>303</v>
      </c>
      <c r="D96" s="107">
        <v>0</v>
      </c>
      <c r="E96" s="107">
        <v>0</v>
      </c>
      <c r="F96" s="107">
        <v>0</v>
      </c>
      <c r="G96" s="107">
        <v>0</v>
      </c>
      <c r="H96" s="25">
        <f t="shared" si="1"/>
        <v>0</v>
      </c>
      <c r="I96" s="25" cm="1">
        <f t="array" ref="I96">IF(OR(B96={"R","U"}),E96,0)</f>
        <v>0</v>
      </c>
      <c r="J96" s="25" t="str">
        <f>IF(B96="U","Unbilled",INDEX(Code!B:B,MATCH(LEFT(C96,10),Code!A:A,0)))</f>
        <v>Customer Bill Credits</v>
      </c>
    </row>
    <row r="97" spans="1:10">
      <c r="A97" s="107" t="s">
        <v>179</v>
      </c>
      <c r="B97" s="107" t="s">
        <v>154</v>
      </c>
      <c r="C97" s="107" t="s">
        <v>126</v>
      </c>
      <c r="D97" s="107">
        <v>0</v>
      </c>
      <c r="E97" s="107">
        <v>0</v>
      </c>
      <c r="F97" s="107">
        <v>275000</v>
      </c>
      <c r="G97" s="107">
        <v>0</v>
      </c>
      <c r="H97" s="25">
        <f t="shared" si="1"/>
        <v>0</v>
      </c>
      <c r="I97" s="25" cm="1">
        <f t="array" ref="I97">IF(OR(B97={"R","U"}),E97,0)</f>
        <v>0</v>
      </c>
      <c r="J97" s="25" t="str">
        <f>IF(B97="U","Unbilled",INDEX(Code!B:B,MATCH(LEFT(C97,10),Code!A:A,0)))</f>
        <v>Irr Demand Charge Accrual</v>
      </c>
    </row>
    <row r="98" spans="1:10">
      <c r="A98" s="107" t="s">
        <v>179</v>
      </c>
      <c r="B98" s="107" t="s">
        <v>154</v>
      </c>
      <c r="C98" s="107" t="s">
        <v>143</v>
      </c>
      <c r="D98" s="107">
        <v>0</v>
      </c>
      <c r="E98" s="107">
        <v>0</v>
      </c>
      <c r="F98" s="107">
        <v>536487.11</v>
      </c>
      <c r="G98" s="107">
        <v>0</v>
      </c>
      <c r="H98" s="25">
        <f t="shared" si="1"/>
        <v>0</v>
      </c>
      <c r="I98" s="25" cm="1">
        <f t="array" ref="I98">IF(OR(B98={"R","U"}),E98,0)</f>
        <v>0</v>
      </c>
      <c r="J98" s="25" t="str">
        <f>IF(B98="U","Unbilled",INDEX(Code!B:B,MATCH(LEFT(C98,10),Code!A:A,0)))</f>
        <v>DSM</v>
      </c>
    </row>
    <row r="99" spans="1:10">
      <c r="A99" s="107" t="s">
        <v>179</v>
      </c>
      <c r="B99" s="107" t="s">
        <v>154</v>
      </c>
      <c r="C99" s="107" t="s">
        <v>144</v>
      </c>
      <c r="D99" s="107">
        <v>0</v>
      </c>
      <c r="E99" s="107">
        <v>0</v>
      </c>
      <c r="F99" s="107">
        <v>2235.14</v>
      </c>
      <c r="G99" s="107">
        <v>0</v>
      </c>
      <c r="H99" s="25">
        <f t="shared" si="1"/>
        <v>0</v>
      </c>
      <c r="I99" s="25" cm="1">
        <f t="array" ref="I99">IF(OR(B99={"R","U"}),E99,0)</f>
        <v>0</v>
      </c>
      <c r="J99" s="25" t="str">
        <f>IF(B99="U","Unbilled",INDEX(Code!B:B,MATCH(LEFT(C99,10),Code!A:A,0)))</f>
        <v>Blue Sky</v>
      </c>
    </row>
    <row r="100" spans="1:10">
      <c r="A100" s="107" t="s">
        <v>179</v>
      </c>
      <c r="B100" s="107" t="s">
        <v>154</v>
      </c>
      <c r="C100" s="107" t="s">
        <v>183</v>
      </c>
      <c r="D100" s="107">
        <v>0</v>
      </c>
      <c r="E100" s="107">
        <v>0</v>
      </c>
      <c r="F100" s="107">
        <v>5509.44</v>
      </c>
      <c r="G100" s="107">
        <v>0</v>
      </c>
      <c r="H100" s="25">
        <f t="shared" si="1"/>
        <v>0</v>
      </c>
      <c r="I100" s="25" cm="1">
        <f t="array" ref="I100">IF(OR(B100={"R","U"}),E100,0)</f>
        <v>0</v>
      </c>
      <c r="J100" s="25" t="str">
        <f>IF(B100="U","Unbilled",INDEX(Code!B:B,MATCH(LEFT(C100,10),Code!A:A,0)))</f>
        <v>Rev Adj Property Insur</v>
      </c>
    </row>
    <row r="101" spans="1:10">
      <c r="A101" s="107" t="s">
        <v>179</v>
      </c>
      <c r="B101" s="107" t="s">
        <v>154</v>
      </c>
      <c r="C101" s="107" t="s">
        <v>297</v>
      </c>
      <c r="D101" s="107">
        <v>0</v>
      </c>
      <c r="E101" s="107">
        <v>0</v>
      </c>
      <c r="F101" s="107">
        <v>26769.200000000001</v>
      </c>
      <c r="G101" s="107">
        <v>0</v>
      </c>
      <c r="H101" s="25">
        <f t="shared" si="1"/>
        <v>0</v>
      </c>
      <c r="I101" s="25" cm="1">
        <f t="array" ref="I101">IF(OR(B101={"R","U"}),E101,0)</f>
        <v>0</v>
      </c>
      <c r="J101" s="25" t="str">
        <f>IF(B101="U","Unbilled",INDEX(Code!B:B,MATCH(LEFT(C101,10),Code!A:A,0)))</f>
        <v>Alt Rev Program</v>
      </c>
    </row>
    <row r="102" spans="1:10">
      <c r="A102" s="107" t="s">
        <v>179</v>
      </c>
      <c r="B102" s="107" t="s">
        <v>154</v>
      </c>
      <c r="C102" s="107" t="s">
        <v>61</v>
      </c>
      <c r="D102" s="107">
        <v>0</v>
      </c>
      <c r="G102" s="107">
        <v>60096</v>
      </c>
      <c r="H102" s="25">
        <f t="shared" si="1"/>
        <v>0</v>
      </c>
      <c r="I102" s="25" cm="1">
        <f t="array" ref="I102">IF(OR(B102={"R","U"}),E102,0)</f>
        <v>0</v>
      </c>
      <c r="J102" s="25" t="str">
        <f>IF(B102="U","Unbilled",INDEX(Code!B:B,MATCH(LEFT(C102,10),Code!A:A,0)))</f>
        <v>CustIDs</v>
      </c>
    </row>
    <row r="103" spans="1:10">
      <c r="A103" s="107" t="s">
        <v>179</v>
      </c>
      <c r="B103" s="107" t="s">
        <v>154</v>
      </c>
      <c r="C103" s="107" t="s">
        <v>184</v>
      </c>
      <c r="D103" s="107">
        <v>0</v>
      </c>
      <c r="E103" s="107">
        <v>0</v>
      </c>
      <c r="F103" s="107">
        <v>61977.3</v>
      </c>
      <c r="G103" s="107">
        <v>0</v>
      </c>
      <c r="H103" s="25">
        <f t="shared" si="1"/>
        <v>0</v>
      </c>
      <c r="I103" s="25" cm="1">
        <f t="array" ref="I103">IF(OR(B103={"R","U"}),E103,0)</f>
        <v>0</v>
      </c>
      <c r="J103" s="25" t="str">
        <f>IF(B103="U","Unbilled",INDEX(Code!B:B,MATCH(LEFT(C103,10),Code!A:A,0)))</f>
        <v>Income Tax Defer Adj</v>
      </c>
    </row>
    <row r="104" spans="1:10">
      <c r="A104" s="107" t="s">
        <v>179</v>
      </c>
      <c r="B104" s="107" t="s">
        <v>154</v>
      </c>
      <c r="C104" s="107" t="s">
        <v>124</v>
      </c>
      <c r="D104" s="107">
        <v>0</v>
      </c>
      <c r="E104" s="107">
        <v>0</v>
      </c>
      <c r="F104" s="107">
        <v>545374.48</v>
      </c>
      <c r="G104" s="107">
        <v>0</v>
      </c>
      <c r="H104" s="25">
        <f t="shared" si="1"/>
        <v>0</v>
      </c>
      <c r="I104" s="25" cm="1">
        <f t="array" ref="I104">IF(OR(B104={"R","U"}),E104,0)</f>
        <v>0</v>
      </c>
      <c r="J104" s="25" t="str">
        <f>IF(B104="U","Unbilled",INDEX(Code!B:B,MATCH(LEFT(C104,10),Code!A:A,0)))</f>
        <v>Rev Adj</v>
      </c>
    </row>
    <row r="105" spans="1:10">
      <c r="A105" s="107" t="s">
        <v>179</v>
      </c>
      <c r="B105" s="107" t="s">
        <v>154</v>
      </c>
      <c r="C105" s="107" t="s">
        <v>131</v>
      </c>
      <c r="D105" s="107">
        <v>0</v>
      </c>
      <c r="E105" s="107">
        <v>0</v>
      </c>
      <c r="F105" s="107">
        <v>4144.18</v>
      </c>
      <c r="G105" s="107">
        <v>0</v>
      </c>
      <c r="H105" s="25">
        <f t="shared" si="1"/>
        <v>0</v>
      </c>
      <c r="I105" s="25" cm="1">
        <f t="array" ref="I105">IF(OR(B105={"R","U"}),E105,0)</f>
        <v>0</v>
      </c>
      <c r="J105" s="25" t="str">
        <f>IF(B105="U","Unbilled",INDEX(Code!B:B,MATCH(LEFT(C105,10),Code!A:A,0)))</f>
        <v>Rev Adj</v>
      </c>
    </row>
    <row r="106" spans="1:10">
      <c r="A106" s="107" t="s">
        <v>179</v>
      </c>
      <c r="B106" s="107" t="s">
        <v>155</v>
      </c>
      <c r="C106" s="107" t="s">
        <v>64</v>
      </c>
      <c r="D106" s="107">
        <v>0</v>
      </c>
      <c r="E106" s="107">
        <v>-10577000</v>
      </c>
      <c r="F106" s="107">
        <v>-1729000</v>
      </c>
      <c r="G106" s="107">
        <v>0</v>
      </c>
      <c r="H106" s="25">
        <f t="shared" si="1"/>
        <v>0</v>
      </c>
      <c r="I106" s="25" cm="1">
        <f t="array" ref="I106">IF(OR(B106={"R","U"}),E106,0)</f>
        <v>-10577000</v>
      </c>
      <c r="J106" s="25" t="str">
        <f>IF(B106="U","Unbilled",INDEX(Code!B:B,MATCH(LEFT(C106,10),Code!A:A,0)))</f>
        <v>Unbilled</v>
      </c>
    </row>
    <row r="107" spans="1:10">
      <c r="A107" s="107" t="s">
        <v>167</v>
      </c>
      <c r="B107" s="107" t="s">
        <v>154</v>
      </c>
      <c r="C107" s="107" t="s">
        <v>66</v>
      </c>
      <c r="E107" s="107">
        <v>0</v>
      </c>
      <c r="F107" s="107">
        <v>90.84</v>
      </c>
      <c r="H107" s="25">
        <f t="shared" si="1"/>
        <v>0</v>
      </c>
      <c r="I107" s="25" cm="1">
        <f t="array" ref="I107">IF(OR(B107={"R","U"}),E107,0)</f>
        <v>0</v>
      </c>
      <c r="J107" s="25" t="str">
        <f>IF(B107="U","Unbilled",INDEX(Code!B:B,MATCH(LEFT(C107,10),Code!A:A,0)))</f>
        <v>Annual Guarantee Adjustments</v>
      </c>
    </row>
    <row r="108" spans="1:10">
      <c r="A108" s="107" t="s">
        <v>167</v>
      </c>
      <c r="B108" s="107" t="s">
        <v>154</v>
      </c>
      <c r="C108" s="107" t="s">
        <v>68</v>
      </c>
      <c r="D108" s="107">
        <v>1428</v>
      </c>
      <c r="E108" s="107">
        <v>1398266</v>
      </c>
      <c r="F108" s="107">
        <v>62273.85</v>
      </c>
      <c r="G108" s="107">
        <v>0</v>
      </c>
      <c r="H108" s="25">
        <f t="shared" si="1"/>
        <v>1428</v>
      </c>
      <c r="I108" s="25" cm="1">
        <f t="array" ref="I108">IF(OR(B108={"R","U"}),E108,0)</f>
        <v>1398266</v>
      </c>
      <c r="J108" s="25" t="str">
        <f>IF(B108="U","Unbilled",INDEX(Code!B:B,MATCH(LEFT(C108,10),Code!A:A,0)))</f>
        <v>Schedule 53</v>
      </c>
    </row>
    <row r="109" spans="1:10">
      <c r="A109" s="107" t="s">
        <v>167</v>
      </c>
      <c r="B109" s="107" t="s">
        <v>154</v>
      </c>
      <c r="C109" s="107" t="s">
        <v>69</v>
      </c>
      <c r="D109" s="107">
        <v>1363</v>
      </c>
      <c r="E109" s="107">
        <v>713586</v>
      </c>
      <c r="F109" s="107">
        <v>31376.02</v>
      </c>
      <c r="G109" s="107">
        <v>0</v>
      </c>
      <c r="H109" s="25">
        <f t="shared" si="1"/>
        <v>1363</v>
      </c>
      <c r="I109" s="25" cm="1">
        <f t="array" ref="I109">IF(OR(B109={"R","U"}),E109,0)</f>
        <v>713586</v>
      </c>
      <c r="J109" s="25" t="str">
        <f>IF(B109="U","Unbilled",INDEX(Code!B:B,MATCH(LEFT(C109,10),Code!A:A,0)))</f>
        <v>Schedule 53</v>
      </c>
    </row>
    <row r="110" spans="1:10">
      <c r="A110" s="107" t="s">
        <v>167</v>
      </c>
      <c r="B110" s="107" t="s">
        <v>154</v>
      </c>
      <c r="C110" s="107" t="s">
        <v>304</v>
      </c>
      <c r="D110" s="107">
        <v>2711</v>
      </c>
      <c r="E110" s="107">
        <v>1962495</v>
      </c>
      <c r="F110" s="107">
        <v>444222.36</v>
      </c>
      <c r="G110" s="107">
        <v>0</v>
      </c>
      <c r="H110" s="25">
        <f t="shared" si="1"/>
        <v>2711</v>
      </c>
      <c r="I110" s="25" cm="1">
        <f t="array" ref="I110">IF(OR(B110={"R","U"}),E110,0)</f>
        <v>1962495</v>
      </c>
      <c r="J110" s="25" t="str">
        <f>IF(B110="U","Unbilled",INDEX(Code!B:B,MATCH(LEFT(C110,10),Code!A:A,0)))</f>
        <v>Schedule 51</v>
      </c>
    </row>
    <row r="111" spans="1:10">
      <c r="A111" s="107" t="s">
        <v>167</v>
      </c>
      <c r="B111" s="107" t="s">
        <v>154</v>
      </c>
      <c r="C111" s="107" t="s">
        <v>146</v>
      </c>
      <c r="D111" s="107">
        <v>0</v>
      </c>
      <c r="E111" s="107">
        <v>0</v>
      </c>
      <c r="F111" s="107">
        <v>11595.93</v>
      </c>
      <c r="G111" s="107">
        <v>0</v>
      </c>
      <c r="H111" s="25">
        <f t="shared" si="1"/>
        <v>0</v>
      </c>
      <c r="I111" s="25" cm="1">
        <f t="array" ref="I111">IF(OR(B111={"R","U"}),E111,0)</f>
        <v>0</v>
      </c>
      <c r="J111" s="25" t="str">
        <f>IF(B111="U","Unbilled",INDEX(Code!B:B,MATCH(LEFT(C111,10),Code!A:A,0)))</f>
        <v>DSM</v>
      </c>
    </row>
    <row r="112" spans="1:10">
      <c r="A112" s="107" t="s">
        <v>167</v>
      </c>
      <c r="B112" s="107" t="s">
        <v>154</v>
      </c>
      <c r="C112" s="107" t="s">
        <v>52</v>
      </c>
      <c r="D112" s="107">
        <v>0</v>
      </c>
      <c r="G112" s="107">
        <v>2648</v>
      </c>
      <c r="H112" s="25">
        <f t="shared" si="1"/>
        <v>0</v>
      </c>
      <c r="I112" s="25" cm="1">
        <f t="array" ref="I112">IF(OR(B112={"R","U"}),E112,0)</f>
        <v>0</v>
      </c>
      <c r="J112" s="25" t="str">
        <f>IF(B112="U","Unbilled",INDEX(Code!B:B,MATCH(LEFT(C112,10),Code!A:A,0)))</f>
        <v>CustIDs</v>
      </c>
    </row>
    <row r="113" spans="1:10">
      <c r="A113" s="107" t="s">
        <v>167</v>
      </c>
      <c r="B113" s="107" t="s">
        <v>154</v>
      </c>
      <c r="C113" s="107" t="s">
        <v>184</v>
      </c>
      <c r="D113" s="107">
        <v>0</v>
      </c>
      <c r="E113" s="107">
        <v>0</v>
      </c>
      <c r="F113" s="107">
        <v>3821.16</v>
      </c>
      <c r="G113" s="107">
        <v>0</v>
      </c>
      <c r="H113" s="25">
        <f t="shared" si="1"/>
        <v>0</v>
      </c>
      <c r="I113" s="25" cm="1">
        <f t="array" ref="I113">IF(OR(B113={"R","U"}),E113,0)</f>
        <v>0</v>
      </c>
      <c r="J113" s="25" t="str">
        <f>IF(B113="U","Unbilled",INDEX(Code!B:B,MATCH(LEFT(C113,10),Code!A:A,0)))</f>
        <v>Income Tax Defer Adj</v>
      </c>
    </row>
    <row r="114" spans="1:10">
      <c r="A114" s="107" t="s">
        <v>167</v>
      </c>
      <c r="B114" s="107" t="s">
        <v>154</v>
      </c>
      <c r="C114" s="107" t="s">
        <v>124</v>
      </c>
      <c r="D114" s="107">
        <v>0</v>
      </c>
      <c r="E114" s="107">
        <v>0</v>
      </c>
      <c r="F114" s="107">
        <v>2413.6799999999998</v>
      </c>
      <c r="G114" s="107">
        <v>0</v>
      </c>
      <c r="H114" s="25">
        <f t="shared" si="1"/>
        <v>0</v>
      </c>
      <c r="I114" s="25" cm="1">
        <f t="array" ref="I114">IF(OR(B114={"R","U"}),E114,0)</f>
        <v>0</v>
      </c>
      <c r="J114" s="25" t="str">
        <f>IF(B114="U","Unbilled",INDEX(Code!B:B,MATCH(LEFT(C114,10),Code!A:A,0)))</f>
        <v>Rev Adj</v>
      </c>
    </row>
    <row r="115" spans="1:10">
      <c r="A115" s="107" t="s">
        <v>167</v>
      </c>
      <c r="B115" s="107" t="s">
        <v>155</v>
      </c>
      <c r="C115" s="107" t="s">
        <v>53</v>
      </c>
      <c r="D115" s="107">
        <v>0</v>
      </c>
      <c r="E115" s="107">
        <v>-290000</v>
      </c>
      <c r="F115" s="107">
        <v>-41000</v>
      </c>
      <c r="G115" s="107">
        <v>0</v>
      </c>
      <c r="H115" s="25">
        <f t="shared" si="1"/>
        <v>0</v>
      </c>
      <c r="I115" s="25" cm="1">
        <f t="array" ref="I115">IF(OR(B115={"R","U"}),E115,0)</f>
        <v>-290000</v>
      </c>
      <c r="J115" s="25" t="str">
        <f>IF(B115="U","Unbilled",INDEX(Code!B:B,MATCH(LEFT(C115,10),Code!A:A,0)))</f>
        <v>Unbilled</v>
      </c>
    </row>
    <row r="116" spans="1:10">
      <c r="A116" s="107" t="s">
        <v>4</v>
      </c>
      <c r="B116" s="107" t="s">
        <v>288</v>
      </c>
      <c r="C116" s="107" t="s">
        <v>121</v>
      </c>
      <c r="D116" s="107">
        <v>20367</v>
      </c>
      <c r="E116" s="107">
        <v>16740375</v>
      </c>
      <c r="F116" s="107">
        <v>-163915.70000000001</v>
      </c>
      <c r="G116" s="107">
        <v>0</v>
      </c>
      <c r="H116" s="25">
        <f t="shared" si="1"/>
        <v>0</v>
      </c>
      <c r="I116" s="25" cm="1">
        <f t="array" ref="I116">IF(OR(B116={"R","U"}),E116,0)</f>
        <v>0</v>
      </c>
      <c r="J116" s="25" t="str">
        <f>IF(B116="U","Unbilled",INDEX(Code!B:B,MATCH(LEFT(C116,10),Code!A:A,0)))</f>
        <v>Schedule 16,17,19</v>
      </c>
    </row>
    <row r="117" spans="1:10">
      <c r="A117" s="107" t="s">
        <v>4</v>
      </c>
      <c r="B117" s="107" t="s">
        <v>288</v>
      </c>
      <c r="C117" s="107" t="s">
        <v>108</v>
      </c>
      <c r="E117" s="107">
        <v>231779</v>
      </c>
      <c r="F117" s="107">
        <v>-2223.31</v>
      </c>
      <c r="H117" s="25">
        <f t="shared" si="1"/>
        <v>0</v>
      </c>
      <c r="I117" s="25" cm="1">
        <f t="array" ref="I117">IF(OR(B117={"R","U"}),E117,0)</f>
        <v>0</v>
      </c>
      <c r="J117" s="25" t="str">
        <f>IF(B117="U","Unbilled",INDEX(Code!B:B,MATCH(LEFT(C117,10),Code!A:A,0)))</f>
        <v>Schedule 15</v>
      </c>
    </row>
    <row r="118" spans="1:10">
      <c r="A118" s="107" t="s">
        <v>4</v>
      </c>
      <c r="B118" s="107" t="s">
        <v>288</v>
      </c>
      <c r="C118" s="107" t="s">
        <v>305</v>
      </c>
      <c r="D118" s="107">
        <v>1240103</v>
      </c>
      <c r="E118" s="107">
        <v>1524840786</v>
      </c>
      <c r="F118" s="107">
        <v>-14425806.08</v>
      </c>
      <c r="G118" s="107">
        <v>0</v>
      </c>
      <c r="H118" s="25">
        <f t="shared" si="1"/>
        <v>0</v>
      </c>
      <c r="I118" s="25" cm="1">
        <f t="array" ref="I118">IF(OR(B118={"R","U"}),E118,0)</f>
        <v>0</v>
      </c>
      <c r="J118" s="25" t="str">
        <f>IF(B118="U","Unbilled",INDEX(Code!B:B,MATCH(LEFT(C118,10),Code!A:A,0)))</f>
        <v>Schedule 16,17,19</v>
      </c>
    </row>
    <row r="119" spans="1:10">
      <c r="A119" s="107" t="s">
        <v>4</v>
      </c>
      <c r="B119" s="107" t="s">
        <v>288</v>
      </c>
      <c r="C119" s="107" t="s">
        <v>75</v>
      </c>
      <c r="D119" s="107">
        <v>69949</v>
      </c>
      <c r="E119" s="107">
        <v>91914289</v>
      </c>
      <c r="F119" s="107">
        <v>-891393.14</v>
      </c>
      <c r="G119" s="107">
        <v>0</v>
      </c>
      <c r="H119" s="25">
        <f t="shared" si="1"/>
        <v>0</v>
      </c>
      <c r="I119" s="25" cm="1">
        <f t="array" ref="I119">IF(OR(B119={"R","U"}),E119,0)</f>
        <v>0</v>
      </c>
      <c r="J119" s="25" t="str">
        <f>IF(B119="U","Unbilled",INDEX(Code!B:B,MATCH(LEFT(C119,10),Code!A:A,0)))</f>
        <v>Schedule 16,17,19</v>
      </c>
    </row>
    <row r="120" spans="1:10">
      <c r="A120" s="107" t="s">
        <v>4</v>
      </c>
      <c r="B120" s="107" t="s">
        <v>288</v>
      </c>
      <c r="C120" s="107" t="s">
        <v>306</v>
      </c>
      <c r="D120" s="107">
        <v>896</v>
      </c>
      <c r="E120" s="107">
        <v>2005705</v>
      </c>
      <c r="F120" s="107">
        <v>-18695</v>
      </c>
      <c r="G120" s="107">
        <v>0</v>
      </c>
      <c r="H120" s="25">
        <f t="shared" si="1"/>
        <v>0</v>
      </c>
      <c r="I120" s="25" cm="1">
        <f t="array" ref="I120">IF(OR(B120={"R","U"}),E120,0)</f>
        <v>0</v>
      </c>
      <c r="J120" s="25" t="str">
        <f>IF(B120="U","Unbilled",INDEX(Code!B:B,MATCH(LEFT(C120,10),Code!A:A,0)))</f>
        <v>Schedule 16,17,19</v>
      </c>
    </row>
    <row r="121" spans="1:10">
      <c r="A121" s="107" t="s">
        <v>4</v>
      </c>
      <c r="B121" s="107" t="s">
        <v>288</v>
      </c>
      <c r="C121" s="107" t="s">
        <v>307</v>
      </c>
      <c r="D121" s="107">
        <v>132</v>
      </c>
      <c r="E121" s="107">
        <v>265708</v>
      </c>
      <c r="F121" s="107">
        <v>-2435.77</v>
      </c>
      <c r="G121" s="107">
        <v>0</v>
      </c>
      <c r="H121" s="25">
        <f t="shared" si="1"/>
        <v>0</v>
      </c>
      <c r="I121" s="25" cm="1">
        <f t="array" ref="I121">IF(OR(B121={"R","U"}),E121,0)</f>
        <v>0</v>
      </c>
      <c r="J121" s="25" t="str">
        <f>IF(B121="U","Unbilled",INDEX(Code!B:B,MATCH(LEFT(C121,10),Code!A:A,0)))</f>
        <v>Schedule 16,17,19</v>
      </c>
    </row>
    <row r="122" spans="1:10">
      <c r="A122" s="107" t="s">
        <v>4</v>
      </c>
      <c r="B122" s="107" t="s">
        <v>288</v>
      </c>
      <c r="C122" s="107" t="s">
        <v>308</v>
      </c>
      <c r="D122" s="107">
        <v>48</v>
      </c>
      <c r="E122" s="107">
        <v>70126</v>
      </c>
      <c r="F122" s="107">
        <v>-706.1</v>
      </c>
      <c r="G122" s="107">
        <v>0</v>
      </c>
      <c r="H122" s="25">
        <f t="shared" si="1"/>
        <v>0</v>
      </c>
      <c r="I122" s="25" cm="1">
        <f t="array" ref="I122">IF(OR(B122={"R","U"}),E122,0)</f>
        <v>0</v>
      </c>
      <c r="J122" s="25" t="str">
        <f>IF(B122="U","Unbilled",INDEX(Code!B:B,MATCH(LEFT(C122,10),Code!A:A,0)))</f>
        <v>Schedule 16,17,19</v>
      </c>
    </row>
    <row r="123" spans="1:10">
      <c r="A123" s="107" t="s">
        <v>4</v>
      </c>
      <c r="B123" s="107" t="s">
        <v>288</v>
      </c>
      <c r="C123" s="107" t="s">
        <v>309</v>
      </c>
      <c r="D123" s="107">
        <v>41393</v>
      </c>
      <c r="E123" s="107">
        <v>21009516</v>
      </c>
      <c r="F123" s="107">
        <v>-196609.71</v>
      </c>
      <c r="G123" s="107">
        <v>0</v>
      </c>
      <c r="H123" s="25">
        <f t="shared" si="1"/>
        <v>0</v>
      </c>
      <c r="I123" s="25" cm="1">
        <f t="array" ref="I123">IF(OR(B123={"R","U"}),E123,0)</f>
        <v>0</v>
      </c>
      <c r="J123" s="25" t="str">
        <f>IF(B123="U","Unbilled",INDEX(Code!B:B,MATCH(LEFT(C123,10),Code!A:A,0)))</f>
        <v>Schedule 24</v>
      </c>
    </row>
    <row r="124" spans="1:10">
      <c r="A124" s="107" t="s">
        <v>4</v>
      </c>
      <c r="B124" s="107" t="s">
        <v>288</v>
      </c>
      <c r="C124" s="107" t="s">
        <v>310</v>
      </c>
      <c r="D124" s="107">
        <v>41</v>
      </c>
      <c r="E124" s="107">
        <v>1856460</v>
      </c>
      <c r="F124" s="107">
        <v>-18017.96</v>
      </c>
      <c r="G124" s="107">
        <v>0</v>
      </c>
      <c r="H124" s="25">
        <f t="shared" si="1"/>
        <v>0</v>
      </c>
      <c r="I124" s="25" cm="1">
        <f t="array" ref="I124">IF(OR(B124={"R","U"}),E124,0)</f>
        <v>0</v>
      </c>
      <c r="J124" s="25" t="str">
        <f>IF(B124="U","Unbilled",INDEX(Code!B:B,MATCH(LEFT(C124,10),Code!A:A,0)))</f>
        <v>Schedule 29,36</v>
      </c>
    </row>
    <row r="125" spans="1:10">
      <c r="A125" s="107" t="s">
        <v>4</v>
      </c>
      <c r="B125" s="107" t="s">
        <v>288</v>
      </c>
      <c r="C125" s="107" t="s">
        <v>311</v>
      </c>
      <c r="D125" s="107">
        <v>628</v>
      </c>
      <c r="E125" s="107">
        <v>269997</v>
      </c>
      <c r="F125" s="107">
        <v>-2641.22</v>
      </c>
      <c r="G125" s="107">
        <v>0</v>
      </c>
      <c r="H125" s="25">
        <f t="shared" si="1"/>
        <v>0</v>
      </c>
      <c r="I125" s="25" cm="1">
        <f t="array" ref="I125">IF(OR(B125={"R","U"}),E125,0)</f>
        <v>0</v>
      </c>
      <c r="J125" s="25" t="str">
        <f>IF(B125="U","Unbilled",INDEX(Code!B:B,MATCH(LEFT(C125,10),Code!A:A,0)))</f>
        <v>Schedule 24</v>
      </c>
    </row>
    <row r="126" spans="1:10">
      <c r="A126" s="107" t="s">
        <v>4</v>
      </c>
      <c r="B126" s="107" t="s">
        <v>288</v>
      </c>
      <c r="C126" s="107" t="s">
        <v>50</v>
      </c>
      <c r="D126" s="107">
        <v>0</v>
      </c>
      <c r="E126" s="107">
        <v>0</v>
      </c>
      <c r="F126" s="107">
        <v>481076.4</v>
      </c>
      <c r="G126" s="107">
        <v>0</v>
      </c>
      <c r="H126" s="25">
        <f t="shared" si="1"/>
        <v>0</v>
      </c>
      <c r="I126" s="25" cm="1">
        <f t="array" ref="I126">IF(OR(B126={"R","U"}),E126,0)</f>
        <v>0</v>
      </c>
      <c r="J126" s="25" t="str">
        <f>IF(B126="U","Unbilled",INDEX(Code!B:B,MATCH(LEFT(C126,10),Code!A:A,0)))</f>
        <v>BPA Bal Acct</v>
      </c>
    </row>
    <row r="127" spans="1:10">
      <c r="A127" s="107" t="s">
        <v>4</v>
      </c>
      <c r="B127" s="107" t="s">
        <v>288</v>
      </c>
      <c r="C127" s="107" t="s">
        <v>51</v>
      </c>
      <c r="D127" s="107">
        <v>0</v>
      </c>
      <c r="G127" s="107">
        <v>1353168</v>
      </c>
      <c r="H127" s="25">
        <f t="shared" si="1"/>
        <v>0</v>
      </c>
      <c r="I127" s="25" cm="1">
        <f t="array" ref="I127">IF(OR(B127={"R","U"}),E127,0)</f>
        <v>0</v>
      </c>
      <c r="J127" s="25" t="str">
        <f>IF(B127="U","Unbilled",INDEX(Code!B:B,MATCH(LEFT(C127,10),Code!A:A,0)))</f>
        <v>CustIDs</v>
      </c>
    </row>
    <row r="128" spans="1:10">
      <c r="A128" s="107" t="s">
        <v>4</v>
      </c>
      <c r="B128" s="107" t="s">
        <v>154</v>
      </c>
      <c r="C128" s="107" t="s">
        <v>114</v>
      </c>
      <c r="E128" s="107">
        <v>0</v>
      </c>
      <c r="F128" s="107">
        <v>-0.81</v>
      </c>
      <c r="H128" s="25">
        <f t="shared" si="1"/>
        <v>0</v>
      </c>
      <c r="I128" s="25" cm="1">
        <f t="array" ref="I128">IF(OR(B128={"R","U"}),E128,0)</f>
        <v>0</v>
      </c>
      <c r="J128" s="25" t="str">
        <f>IF(B128="U","Unbilled",INDEX(Code!B:B,MATCH(LEFT(C128,10),Code!A:A,0)))</f>
        <v>Blue Sky</v>
      </c>
    </row>
    <row r="129" spans="1:10">
      <c r="A129" s="107" t="s">
        <v>4</v>
      </c>
      <c r="B129" s="107" t="s">
        <v>154</v>
      </c>
      <c r="C129" s="107" t="s">
        <v>312</v>
      </c>
      <c r="D129" s="107">
        <v>5</v>
      </c>
      <c r="G129" s="107">
        <v>0</v>
      </c>
      <c r="H129" s="25">
        <f t="shared" si="1"/>
        <v>0</v>
      </c>
      <c r="I129" s="25" cm="1">
        <f t="array" ref="I129">IF(OR(B129={"R","U"}),E129,0)</f>
        <v>0</v>
      </c>
      <c r="J129" s="25" t="str">
        <f>IF(B129="U","Unbilled",INDEX(Code!B:B,MATCH(LEFT(C129,10),Code!A:A,0)))</f>
        <v>Ignore</v>
      </c>
    </row>
    <row r="130" spans="1:10">
      <c r="A130" s="107" t="s">
        <v>4</v>
      </c>
      <c r="B130" s="107" t="s">
        <v>154</v>
      </c>
      <c r="C130" s="107" t="s">
        <v>43</v>
      </c>
      <c r="E130" s="107">
        <v>0</v>
      </c>
      <c r="F130" s="107">
        <v>1155.94</v>
      </c>
      <c r="H130" s="25">
        <f t="shared" si="1"/>
        <v>0</v>
      </c>
      <c r="I130" s="25" cm="1">
        <f t="array" ref="I130">IF(OR(B130={"R","U"}),E130,0)</f>
        <v>0</v>
      </c>
      <c r="J130" s="25" t="str">
        <f>IF(B130="U","Unbilled",INDEX(Code!B:B,MATCH(LEFT(C130,10),Code!A:A,0)))</f>
        <v>Annual Guarantee Adjustments</v>
      </c>
    </row>
    <row r="131" spans="1:10">
      <c r="A131" s="107" t="s">
        <v>4</v>
      </c>
      <c r="B131" s="107" t="s">
        <v>154</v>
      </c>
      <c r="C131" s="107" t="s">
        <v>117</v>
      </c>
      <c r="D131" s="107">
        <v>20367</v>
      </c>
      <c r="E131" s="107">
        <v>16777922</v>
      </c>
      <c r="F131" s="107">
        <v>1701920.47</v>
      </c>
      <c r="G131" s="107">
        <v>0</v>
      </c>
      <c r="H131" s="25">
        <f t="shared" si="1"/>
        <v>20367</v>
      </c>
      <c r="I131" s="25" cm="1">
        <f t="array" ref="I131">IF(OR(B131={"R","U"}),E131,0)</f>
        <v>16777922</v>
      </c>
      <c r="J131" s="25" t="str">
        <f>IF(B131="U","Unbilled",INDEX(Code!B:B,MATCH(LEFT(C131,10),Code!A:A,0)))</f>
        <v>Schedule 16,17,19</v>
      </c>
    </row>
    <row r="132" spans="1:10">
      <c r="A132" s="107" t="s">
        <v>4</v>
      </c>
      <c r="B132" s="107" t="s">
        <v>154</v>
      </c>
      <c r="C132" s="107" t="s">
        <v>107</v>
      </c>
      <c r="D132" s="107">
        <v>11608</v>
      </c>
      <c r="E132" s="107">
        <v>875642</v>
      </c>
      <c r="F132" s="107">
        <v>95101.24</v>
      </c>
      <c r="G132" s="107">
        <v>0</v>
      </c>
      <c r="H132" s="25">
        <f t="shared" ref="H132:H151" si="2">IF(AND(B132&lt;&gt;"B",J132&lt;&gt;"Blue Sky",J132&lt;&gt;"Ignore"),D132,0)</f>
        <v>11608</v>
      </c>
      <c r="I132" s="25" cm="1">
        <f t="array" ref="I132">IF(OR(B132={"R","U"}),E132,0)</f>
        <v>875642</v>
      </c>
      <c r="J132" s="25" t="str">
        <f>IF(B132="U","Unbilled",INDEX(Code!B:B,MATCH(LEFT(C132,10),Code!A:A,0)))</f>
        <v>Schedule 15</v>
      </c>
    </row>
    <row r="133" spans="1:10">
      <c r="A133" s="107" t="s">
        <v>4</v>
      </c>
      <c r="B133" s="107" t="s">
        <v>154</v>
      </c>
      <c r="C133" s="107" t="s">
        <v>73</v>
      </c>
      <c r="D133" s="107">
        <v>1240103</v>
      </c>
      <c r="E133" s="107">
        <v>1526013574</v>
      </c>
      <c r="F133" s="107">
        <v>146761614.22</v>
      </c>
      <c r="G133" s="107">
        <v>0</v>
      </c>
      <c r="H133" s="25">
        <f t="shared" si="2"/>
        <v>1240103</v>
      </c>
      <c r="I133" s="25" cm="1">
        <f t="array" ref="I133">IF(OR(B133={"R","U"}),E133,0)</f>
        <v>1526013574</v>
      </c>
      <c r="J133" s="25" t="str">
        <f>IF(B133="U","Unbilled",INDEX(Code!B:B,MATCH(LEFT(C133,10),Code!A:A,0)))</f>
        <v>Schedule 16,17,19</v>
      </c>
    </row>
    <row r="134" spans="1:10">
      <c r="A134" s="107" t="s">
        <v>4</v>
      </c>
      <c r="B134" s="107" t="s">
        <v>154</v>
      </c>
      <c r="C134" s="107" t="s">
        <v>74</v>
      </c>
      <c r="D134" s="107">
        <v>69949</v>
      </c>
      <c r="E134" s="107">
        <v>91914213</v>
      </c>
      <c r="F134" s="107">
        <v>8865181.0600000005</v>
      </c>
      <c r="G134" s="107">
        <v>0</v>
      </c>
      <c r="H134" s="25">
        <f t="shared" si="2"/>
        <v>69949</v>
      </c>
      <c r="I134" s="25" cm="1">
        <f t="array" ref="I134">IF(OR(B134={"R","U"}),E134,0)</f>
        <v>91914213</v>
      </c>
      <c r="J134" s="25" t="str">
        <f>IF(B134="U","Unbilled",INDEX(Code!B:B,MATCH(LEFT(C134,10),Code!A:A,0)))</f>
        <v>Schedule 16,17,19</v>
      </c>
    </row>
    <row r="135" spans="1:10">
      <c r="A135" s="107" t="s">
        <v>4</v>
      </c>
      <c r="B135" s="107" t="s">
        <v>154</v>
      </c>
      <c r="C135" s="107" t="s">
        <v>76</v>
      </c>
      <c r="D135" s="107">
        <v>896</v>
      </c>
      <c r="E135" s="107">
        <v>2005705</v>
      </c>
      <c r="F135" s="107">
        <v>210341.85</v>
      </c>
      <c r="G135" s="107">
        <v>0</v>
      </c>
      <c r="H135" s="25">
        <f t="shared" si="2"/>
        <v>896</v>
      </c>
      <c r="I135" s="25" cm="1">
        <f t="array" ref="I135">IF(OR(B135={"R","U"}),E135,0)</f>
        <v>2005705</v>
      </c>
      <c r="J135" s="25" t="str">
        <f>IF(B135="U","Unbilled",INDEX(Code!B:B,MATCH(LEFT(C135,10),Code!A:A,0)))</f>
        <v>Schedule 16,17,19</v>
      </c>
    </row>
    <row r="136" spans="1:10">
      <c r="A136" s="107" t="s">
        <v>4</v>
      </c>
      <c r="B136" s="107" t="s">
        <v>154</v>
      </c>
      <c r="C136" s="107" t="s">
        <v>77</v>
      </c>
      <c r="D136" s="107">
        <v>132</v>
      </c>
      <c r="E136" s="107">
        <v>265708</v>
      </c>
      <c r="F136" s="107">
        <v>27196.58</v>
      </c>
      <c r="G136" s="107">
        <v>0</v>
      </c>
      <c r="H136" s="25">
        <f t="shared" si="2"/>
        <v>132</v>
      </c>
      <c r="I136" s="25" cm="1">
        <f t="array" ref="I136">IF(OR(B136={"R","U"}),E136,0)</f>
        <v>265708</v>
      </c>
      <c r="J136" s="25" t="str">
        <f>IF(B136="U","Unbilled",INDEX(Code!B:B,MATCH(LEFT(C136,10),Code!A:A,0)))</f>
        <v>Schedule 16,17,19</v>
      </c>
    </row>
    <row r="137" spans="1:10">
      <c r="A137" s="107" t="s">
        <v>4</v>
      </c>
      <c r="B137" s="107" t="s">
        <v>154</v>
      </c>
      <c r="C137" s="107" t="s">
        <v>313</v>
      </c>
      <c r="D137" s="107">
        <v>62</v>
      </c>
      <c r="E137" s="107">
        <v>70126</v>
      </c>
      <c r="F137" s="107">
        <v>6316.42</v>
      </c>
      <c r="G137" s="107">
        <v>0</v>
      </c>
      <c r="H137" s="25">
        <f t="shared" si="2"/>
        <v>62</v>
      </c>
      <c r="I137" s="25" cm="1">
        <f t="array" ref="I137">IF(OR(B137={"R","U"}),E137,0)</f>
        <v>70126</v>
      </c>
      <c r="J137" s="25" t="str">
        <f>IF(B137="U","Unbilled",INDEX(Code!B:B,MATCH(LEFT(C137,10),Code!A:A,0)))</f>
        <v>Schedule 16,17,19</v>
      </c>
    </row>
    <row r="138" spans="1:10">
      <c r="A138" s="107" t="s">
        <v>4</v>
      </c>
      <c r="B138" s="107" t="s">
        <v>154</v>
      </c>
      <c r="C138" s="107" t="s">
        <v>314</v>
      </c>
      <c r="D138" s="107">
        <v>41393</v>
      </c>
      <c r="E138" s="107">
        <v>21313438</v>
      </c>
      <c r="F138" s="107">
        <v>2575720.86</v>
      </c>
      <c r="G138" s="107">
        <v>0</v>
      </c>
      <c r="H138" s="25">
        <f t="shared" si="2"/>
        <v>41393</v>
      </c>
      <c r="I138" s="25" cm="1">
        <f t="array" ref="I138">IF(OR(B138={"R","U"}),E138,0)</f>
        <v>21313438</v>
      </c>
      <c r="J138" s="25" t="str">
        <f>IF(B138="U","Unbilled",INDEX(Code!B:B,MATCH(LEFT(C138,10),Code!A:A,0)))</f>
        <v>Schedule 24</v>
      </c>
    </row>
    <row r="139" spans="1:10">
      <c r="A139" s="107" t="s">
        <v>4</v>
      </c>
      <c r="B139" s="107" t="s">
        <v>154</v>
      </c>
      <c r="C139" s="107" t="s">
        <v>315</v>
      </c>
      <c r="D139" s="107">
        <v>53</v>
      </c>
      <c r="E139" s="107">
        <v>2291100</v>
      </c>
      <c r="F139" s="107">
        <v>183887.08</v>
      </c>
      <c r="G139" s="107">
        <v>0</v>
      </c>
      <c r="H139" s="25">
        <f t="shared" si="2"/>
        <v>53</v>
      </c>
      <c r="I139" s="25" cm="1">
        <f t="array" ref="I139">IF(OR(B139={"R","U"}),E139,0)</f>
        <v>2291100</v>
      </c>
      <c r="J139" s="25" t="str">
        <f>IF(B139="U","Unbilled",INDEX(Code!B:B,MATCH(LEFT(C139,10),Code!A:A,0)))</f>
        <v>Schedule 29,36</v>
      </c>
    </row>
    <row r="140" spans="1:10">
      <c r="A140" s="107" t="s">
        <v>4</v>
      </c>
      <c r="B140" s="107" t="s">
        <v>154</v>
      </c>
      <c r="C140" s="107" t="s">
        <v>316</v>
      </c>
      <c r="D140" s="107">
        <v>628</v>
      </c>
      <c r="E140" s="107">
        <v>269997</v>
      </c>
      <c r="F140" s="107">
        <v>33340.199999999997</v>
      </c>
      <c r="G140" s="107">
        <v>0</v>
      </c>
      <c r="H140" s="25">
        <f t="shared" si="2"/>
        <v>628</v>
      </c>
      <c r="I140" s="25" cm="1">
        <f t="array" ref="I140">IF(OR(B140={"R","U"}),E140,0)</f>
        <v>269997</v>
      </c>
      <c r="J140" s="25" t="str">
        <f>IF(B140="U","Unbilled",INDEX(Code!B:B,MATCH(LEFT(C140,10),Code!A:A,0)))</f>
        <v>Schedule 24</v>
      </c>
    </row>
    <row r="141" spans="1:10">
      <c r="A141" s="107" t="s">
        <v>4</v>
      </c>
      <c r="B141" s="107" t="s">
        <v>154</v>
      </c>
      <c r="C141" s="107" t="s">
        <v>317</v>
      </c>
      <c r="D141" s="107">
        <v>0</v>
      </c>
      <c r="E141" s="107">
        <v>0</v>
      </c>
      <c r="F141" s="107">
        <v>-239412.93</v>
      </c>
      <c r="G141" s="107">
        <v>0</v>
      </c>
      <c r="H141" s="25">
        <f t="shared" si="2"/>
        <v>0</v>
      </c>
      <c r="I141" s="25" cm="1">
        <f t="array" ref="I141">IF(OR(B141={"R","U"}),E141,0)</f>
        <v>0</v>
      </c>
      <c r="J141" s="25" t="str">
        <f>IF(B141="U","Unbilled",INDEX(Code!B:B,MATCH(LEFT(C141,10),Code!A:A,0)))</f>
        <v>Customer Bill Credits</v>
      </c>
    </row>
    <row r="142" spans="1:10">
      <c r="A142" s="107" t="s">
        <v>4</v>
      </c>
      <c r="B142" s="107" t="s">
        <v>154</v>
      </c>
      <c r="C142" s="107" t="s">
        <v>147</v>
      </c>
      <c r="D142" s="107">
        <v>0</v>
      </c>
      <c r="E142" s="107">
        <v>0</v>
      </c>
      <c r="F142" s="107">
        <v>5647775.6699999999</v>
      </c>
      <c r="G142" s="107">
        <v>0</v>
      </c>
      <c r="H142" s="25">
        <f t="shared" si="2"/>
        <v>0</v>
      </c>
      <c r="I142" s="25" cm="1">
        <f t="array" ref="I142">IF(OR(B142={"R","U"}),E142,0)</f>
        <v>0</v>
      </c>
      <c r="J142" s="25" t="str">
        <f>IF(B142="U","Unbilled",INDEX(Code!B:B,MATCH(LEFT(C142,10),Code!A:A,0)))</f>
        <v>DSM</v>
      </c>
    </row>
    <row r="143" spans="1:10">
      <c r="A143" s="107" t="s">
        <v>4</v>
      </c>
      <c r="B143" s="107" t="s">
        <v>154</v>
      </c>
      <c r="C143" s="107" t="s">
        <v>148</v>
      </c>
      <c r="D143" s="107">
        <v>0</v>
      </c>
      <c r="E143" s="107">
        <v>0</v>
      </c>
      <c r="F143" s="107">
        <v>357146.52</v>
      </c>
      <c r="G143" s="107">
        <v>0</v>
      </c>
      <c r="H143" s="25">
        <f t="shared" si="2"/>
        <v>0</v>
      </c>
      <c r="I143" s="25" cm="1">
        <f t="array" ref="I143">IF(OR(B143={"R","U"}),E143,0)</f>
        <v>0</v>
      </c>
      <c r="J143" s="25" t="str">
        <f>IF(B143="U","Unbilled",INDEX(Code!B:B,MATCH(LEFT(C143,10),Code!A:A,0)))</f>
        <v>Blue Sky</v>
      </c>
    </row>
    <row r="144" spans="1:10">
      <c r="A144" s="107" t="s">
        <v>4</v>
      </c>
      <c r="B144" s="107" t="s">
        <v>154</v>
      </c>
      <c r="C144" s="107" t="s">
        <v>180</v>
      </c>
      <c r="D144" s="107">
        <v>0</v>
      </c>
      <c r="E144" s="107">
        <v>0</v>
      </c>
      <c r="F144" s="107">
        <v>50185.9</v>
      </c>
      <c r="G144" s="107">
        <v>0</v>
      </c>
      <c r="H144" s="25">
        <f t="shared" si="2"/>
        <v>0</v>
      </c>
      <c r="I144" s="25" cm="1">
        <f t="array" ref="I144">IF(OR(B144={"R","U"}),E144,0)</f>
        <v>0</v>
      </c>
      <c r="J144" s="25" t="str">
        <f>IF(B144="U","Unbilled",INDEX(Code!B:B,MATCH(LEFT(C144,10),Code!A:A,0)))</f>
        <v>Rev Adj Property Insur</v>
      </c>
    </row>
    <row r="145" spans="1:10">
      <c r="A145" s="107" t="s">
        <v>4</v>
      </c>
      <c r="B145" s="107" t="s">
        <v>154</v>
      </c>
      <c r="C145" s="107" t="s">
        <v>297</v>
      </c>
      <c r="D145" s="107">
        <v>0</v>
      </c>
      <c r="E145" s="107">
        <v>0</v>
      </c>
      <c r="F145" s="107">
        <v>4868922.92</v>
      </c>
      <c r="G145" s="107">
        <v>0</v>
      </c>
      <c r="H145" s="25">
        <f t="shared" si="2"/>
        <v>0</v>
      </c>
      <c r="I145" s="25" cm="1">
        <f t="array" ref="I145">IF(OR(B145={"R","U"}),E145,0)</f>
        <v>0</v>
      </c>
      <c r="J145" s="25" t="str">
        <f>IF(B145="U","Unbilled",INDEX(Code!B:B,MATCH(LEFT(C145,10),Code!A:A,0)))</f>
        <v>Alt Rev Program</v>
      </c>
    </row>
    <row r="146" spans="1:10">
      <c r="A146" s="107" t="s">
        <v>4</v>
      </c>
      <c r="B146" s="107" t="s">
        <v>154</v>
      </c>
      <c r="C146" s="107" t="s">
        <v>52</v>
      </c>
      <c r="D146" s="107">
        <v>0</v>
      </c>
      <c r="G146" s="107">
        <v>1353553</v>
      </c>
      <c r="H146" s="25">
        <f t="shared" si="2"/>
        <v>0</v>
      </c>
      <c r="I146" s="25" cm="1">
        <f t="array" ref="I146">IF(OR(B146={"R","U"}),E146,0)</f>
        <v>0</v>
      </c>
      <c r="J146" s="25" t="str">
        <f>IF(B146="U","Unbilled",INDEX(Code!B:B,MATCH(LEFT(C146,10),Code!A:A,0)))</f>
        <v>CustIDs</v>
      </c>
    </row>
    <row r="147" spans="1:10">
      <c r="A147" s="107" t="s">
        <v>4</v>
      </c>
      <c r="B147" s="107" t="s">
        <v>154</v>
      </c>
      <c r="C147" s="107" t="s">
        <v>184</v>
      </c>
      <c r="D147" s="107">
        <v>0</v>
      </c>
      <c r="E147" s="107">
        <v>0</v>
      </c>
      <c r="F147" s="107">
        <v>854934.48</v>
      </c>
      <c r="G147" s="107">
        <v>0</v>
      </c>
      <c r="H147" s="25">
        <f t="shared" si="2"/>
        <v>0</v>
      </c>
      <c r="I147" s="25" cm="1">
        <f t="array" ref="I147">IF(OR(B147={"R","U"}),E147,0)</f>
        <v>0</v>
      </c>
      <c r="J147" s="25" t="str">
        <f>IF(B147="U","Unbilled",INDEX(Code!B:B,MATCH(LEFT(C147,10),Code!A:A,0)))</f>
        <v>Income Tax Defer Adj</v>
      </c>
    </row>
    <row r="148" spans="1:10">
      <c r="A148" s="107" t="s">
        <v>4</v>
      </c>
      <c r="B148" s="107" t="s">
        <v>154</v>
      </c>
      <c r="C148" s="107" t="s">
        <v>124</v>
      </c>
      <c r="D148" s="107">
        <v>0</v>
      </c>
      <c r="E148" s="107">
        <v>0</v>
      </c>
      <c r="F148" s="107">
        <v>-2337560.9500000002</v>
      </c>
      <c r="G148" s="107">
        <v>0</v>
      </c>
      <c r="H148" s="25">
        <f t="shared" si="2"/>
        <v>0</v>
      </c>
      <c r="I148" s="25" cm="1">
        <f t="array" ref="I148">IF(OR(B148={"R","U"}),E148,0)</f>
        <v>0</v>
      </c>
      <c r="J148" s="25" t="str">
        <f>IF(B148="U","Unbilled",INDEX(Code!B:B,MATCH(LEFT(C148,10),Code!A:A,0)))</f>
        <v>Rev Adj</v>
      </c>
    </row>
    <row r="149" spans="1:10">
      <c r="A149" s="107" t="s">
        <v>4</v>
      </c>
      <c r="B149" s="107" t="s">
        <v>154</v>
      </c>
      <c r="C149" s="107" t="s">
        <v>131</v>
      </c>
      <c r="D149" s="107">
        <v>0</v>
      </c>
      <c r="E149" s="107">
        <v>0</v>
      </c>
      <c r="F149" s="107">
        <v>39427</v>
      </c>
      <c r="G149" s="107">
        <v>0</v>
      </c>
      <c r="H149" s="25">
        <f t="shared" si="2"/>
        <v>0</v>
      </c>
      <c r="I149" s="25" cm="1">
        <f t="array" ref="I149">IF(OR(B149={"R","U"}),E149,0)</f>
        <v>0</v>
      </c>
      <c r="J149" s="25" t="str">
        <f>IF(B149="U","Unbilled",INDEX(Code!B:B,MATCH(LEFT(C149,10),Code!A:A,0)))</f>
        <v>Rev Adj</v>
      </c>
    </row>
    <row r="150" spans="1:10">
      <c r="A150" s="107" t="s">
        <v>4</v>
      </c>
      <c r="B150" s="107" t="s">
        <v>155</v>
      </c>
      <c r="C150" s="107" t="s">
        <v>94</v>
      </c>
      <c r="D150" s="107">
        <v>0</v>
      </c>
      <c r="E150" s="107">
        <v>0</v>
      </c>
      <c r="F150" s="107">
        <v>66000</v>
      </c>
      <c r="G150" s="107">
        <v>0</v>
      </c>
      <c r="H150" s="25">
        <f t="shared" si="2"/>
        <v>0</v>
      </c>
      <c r="I150" s="25" cm="1">
        <f t="array" ref="I150">IF(OR(B150={"R","U"}),E150,0)</f>
        <v>0</v>
      </c>
      <c r="J150" s="25" t="str">
        <f>IF(B150="U","Unbilled",INDEX(Code!B:B,MATCH(LEFT(C150,10),Code!A:A,0)))</f>
        <v>Unbilled</v>
      </c>
    </row>
    <row r="151" spans="1:10">
      <c r="A151" s="107" t="s">
        <v>4</v>
      </c>
      <c r="B151" s="107" t="s">
        <v>155</v>
      </c>
      <c r="C151" s="107" t="s">
        <v>53</v>
      </c>
      <c r="D151" s="107">
        <v>0</v>
      </c>
      <c r="E151" s="107">
        <v>14061000</v>
      </c>
      <c r="F151" s="107">
        <v>5698000</v>
      </c>
      <c r="G151" s="107">
        <v>0</v>
      </c>
      <c r="H151" s="25">
        <f t="shared" si="2"/>
        <v>0</v>
      </c>
      <c r="I151" s="25" cm="1">
        <f t="array" ref="I151">IF(OR(B151={"R","U"}),E151,0)</f>
        <v>14061000</v>
      </c>
      <c r="J151" s="25" t="str">
        <f>IF(B151="U","Unbilled",INDEX(Code!B:B,MATCH(LEFT(C151,10),Code!A:A,0)))</f>
        <v>Unbilled</v>
      </c>
    </row>
  </sheetData>
  <autoFilter ref="A2:J151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79"/>
  <sheetViews>
    <sheetView zoomScale="70" zoomScaleNormal="70" workbookViewId="0">
      <pane ySplit="1" topLeftCell="A2" activePane="bottomLeft" state="frozen"/>
      <selection pane="bottomLeft"/>
    </sheetView>
  </sheetViews>
  <sheetFormatPr defaultColWidth="8" defaultRowHeight="15.35"/>
  <cols>
    <col min="1" max="1" width="15.33203125" style="108" bestFit="1" customWidth="1"/>
    <col min="2" max="2" width="28.6640625" style="106" bestFit="1" customWidth="1"/>
    <col min="3" max="3" width="19.83203125" style="104" customWidth="1"/>
    <col min="4" max="85" width="19.83203125" style="105" customWidth="1"/>
    <col min="86" max="16384" width="8" style="105"/>
  </cols>
  <sheetData>
    <row r="1" spans="1:3" s="103" customFormat="1">
      <c r="A1" s="73" t="s">
        <v>156</v>
      </c>
      <c r="B1" s="74" t="s">
        <v>210</v>
      </c>
      <c r="C1" s="102"/>
    </row>
    <row r="2" spans="1:3">
      <c r="A2" s="75" t="s">
        <v>226</v>
      </c>
      <c r="B2" s="75" t="s">
        <v>352</v>
      </c>
    </row>
    <row r="3" spans="1:3">
      <c r="A3" s="75" t="s">
        <v>234</v>
      </c>
      <c r="B3" s="75" t="s">
        <v>352</v>
      </c>
    </row>
    <row r="4" spans="1:3">
      <c r="A4" s="75" t="s">
        <v>235</v>
      </c>
      <c r="B4" s="75" t="s">
        <v>352</v>
      </c>
    </row>
    <row r="5" spans="1:3">
      <c r="A5" s="75" t="s">
        <v>236</v>
      </c>
      <c r="B5" s="75" t="s">
        <v>352</v>
      </c>
    </row>
    <row r="6" spans="1:3">
      <c r="A6" s="75" t="s">
        <v>237</v>
      </c>
      <c r="B6" s="75" t="s">
        <v>352</v>
      </c>
    </row>
    <row r="7" spans="1:3">
      <c r="A7" s="75" t="s">
        <v>238</v>
      </c>
      <c r="B7" s="75" t="s">
        <v>352</v>
      </c>
    </row>
    <row r="8" spans="1:3">
      <c r="A8" s="75" t="s">
        <v>239</v>
      </c>
      <c r="B8" s="75" t="s">
        <v>352</v>
      </c>
    </row>
    <row r="9" spans="1:3">
      <c r="A9" s="75" t="s">
        <v>240</v>
      </c>
      <c r="B9" s="75" t="s">
        <v>352</v>
      </c>
    </row>
    <row r="10" spans="1:3">
      <c r="A10" s="75" t="s">
        <v>241</v>
      </c>
      <c r="B10" s="75" t="s">
        <v>352</v>
      </c>
    </row>
    <row r="11" spans="1:3">
      <c r="A11" s="75" t="s">
        <v>242</v>
      </c>
      <c r="B11" s="75" t="s">
        <v>352</v>
      </c>
    </row>
    <row r="12" spans="1:3">
      <c r="A12" s="75" t="s">
        <v>243</v>
      </c>
      <c r="B12" s="75" t="s">
        <v>352</v>
      </c>
    </row>
    <row r="13" spans="1:3">
      <c r="A13" s="75" t="s">
        <v>269</v>
      </c>
      <c r="B13" s="75" t="s">
        <v>270</v>
      </c>
    </row>
    <row r="14" spans="1:3">
      <c r="A14" s="75" t="s">
        <v>223</v>
      </c>
      <c r="B14" s="75" t="s">
        <v>145</v>
      </c>
    </row>
    <row r="15" spans="1:3">
      <c r="A15" s="75" t="s">
        <v>159</v>
      </c>
      <c r="B15" s="75" t="s">
        <v>145</v>
      </c>
    </row>
    <row r="16" spans="1:3">
      <c r="A16" s="75" t="s">
        <v>160</v>
      </c>
      <c r="B16" s="75" t="s">
        <v>145</v>
      </c>
    </row>
    <row r="17" spans="1:2">
      <c r="A17" s="75" t="s">
        <v>161</v>
      </c>
      <c r="B17" s="75" t="s">
        <v>145</v>
      </c>
    </row>
    <row r="18" spans="1:2">
      <c r="A18" s="75" t="s">
        <v>163</v>
      </c>
      <c r="B18" s="75" t="s">
        <v>145</v>
      </c>
    </row>
    <row r="19" spans="1:2">
      <c r="A19" s="75" t="s">
        <v>224</v>
      </c>
      <c r="B19" s="75" t="s">
        <v>225</v>
      </c>
    </row>
    <row r="20" spans="1:2">
      <c r="A20" s="75" t="s">
        <v>271</v>
      </c>
      <c r="B20" s="75" t="s">
        <v>272</v>
      </c>
    </row>
    <row r="21" spans="1:2">
      <c r="A21" s="75" t="s">
        <v>274</v>
      </c>
      <c r="B21" s="75" t="s">
        <v>272</v>
      </c>
    </row>
    <row r="22" spans="1:2">
      <c r="A22" s="75" t="s">
        <v>260</v>
      </c>
      <c r="B22" s="75" t="s">
        <v>261</v>
      </c>
    </row>
    <row r="23" spans="1:2">
      <c r="A23" s="75" t="s">
        <v>262</v>
      </c>
      <c r="B23" s="75" t="s">
        <v>261</v>
      </c>
    </row>
    <row r="24" spans="1:2">
      <c r="A24" s="75" t="s">
        <v>264</v>
      </c>
      <c r="B24" s="75" t="s">
        <v>261</v>
      </c>
    </row>
    <row r="25" spans="1:2">
      <c r="A25" s="75" t="s">
        <v>266</v>
      </c>
      <c r="B25" s="75" t="s">
        <v>261</v>
      </c>
    </row>
    <row r="26" spans="1:2">
      <c r="A26" s="75" t="s">
        <v>268</v>
      </c>
      <c r="B26" s="75" t="s">
        <v>261</v>
      </c>
    </row>
    <row r="27" spans="1:2">
      <c r="A27" s="75" t="s">
        <v>158</v>
      </c>
      <c r="B27" s="75" t="s">
        <v>149</v>
      </c>
    </row>
    <row r="28" spans="1:2">
      <c r="A28" s="75" t="s">
        <v>263</v>
      </c>
      <c r="B28" s="75" t="s">
        <v>149</v>
      </c>
    </row>
    <row r="29" spans="1:2">
      <c r="A29" s="75" t="s">
        <v>265</v>
      </c>
      <c r="B29" s="75" t="s">
        <v>149</v>
      </c>
    </row>
    <row r="30" spans="1:2">
      <c r="A30" s="75" t="s">
        <v>162</v>
      </c>
      <c r="B30" s="75" t="s">
        <v>149</v>
      </c>
    </row>
    <row r="31" spans="1:2">
      <c r="A31" s="75" t="s">
        <v>164</v>
      </c>
      <c r="B31" s="75" t="s">
        <v>149</v>
      </c>
    </row>
    <row r="32" spans="1:2">
      <c r="A32" s="75" t="s">
        <v>189</v>
      </c>
      <c r="B32" s="75" t="s">
        <v>273</v>
      </c>
    </row>
    <row r="33" spans="1:2">
      <c r="A33" s="75" t="s">
        <v>213</v>
      </c>
      <c r="B33" s="106" t="s">
        <v>222</v>
      </c>
    </row>
    <row r="34" spans="1:2">
      <c r="A34" s="75" t="s">
        <v>186</v>
      </c>
      <c r="B34" s="107" t="s">
        <v>190</v>
      </c>
    </row>
    <row r="35" spans="1:2">
      <c r="A35" s="75" t="s">
        <v>187</v>
      </c>
      <c r="B35" s="107" t="s">
        <v>190</v>
      </c>
    </row>
    <row r="36" spans="1:2">
      <c r="A36" s="75" t="s">
        <v>188</v>
      </c>
      <c r="B36" s="107" t="s">
        <v>190</v>
      </c>
    </row>
    <row r="37" spans="1:2">
      <c r="A37" s="75" t="s">
        <v>185</v>
      </c>
      <c r="B37" s="107" t="s">
        <v>190</v>
      </c>
    </row>
    <row r="38" spans="1:2">
      <c r="A38" s="75" t="s">
        <v>267</v>
      </c>
      <c r="B38" s="75" t="s">
        <v>322</v>
      </c>
    </row>
    <row r="39" spans="1:2">
      <c r="A39" s="75" t="s">
        <v>165</v>
      </c>
      <c r="B39" s="75" t="s">
        <v>173</v>
      </c>
    </row>
    <row r="40" spans="1:2">
      <c r="A40" s="75" t="s">
        <v>166</v>
      </c>
      <c r="B40" s="75" t="s">
        <v>173</v>
      </c>
    </row>
    <row r="41" spans="1:2">
      <c r="A41" s="75" t="s">
        <v>18</v>
      </c>
      <c r="B41" s="75" t="s">
        <v>169</v>
      </c>
    </row>
    <row r="42" spans="1:2">
      <c r="A42" s="75" t="s">
        <v>250</v>
      </c>
      <c r="B42" s="75" t="s">
        <v>169</v>
      </c>
    </row>
    <row r="43" spans="1:2">
      <c r="A43" s="75" t="s">
        <v>251</v>
      </c>
      <c r="B43" s="75" t="s">
        <v>169</v>
      </c>
    </row>
    <row r="44" spans="1:2">
      <c r="A44" s="75" t="s">
        <v>118</v>
      </c>
      <c r="B44" s="75" t="s">
        <v>422</v>
      </c>
    </row>
    <row r="45" spans="1:2">
      <c r="A45" s="75" t="s">
        <v>253</v>
      </c>
      <c r="B45" s="75" t="s">
        <v>422</v>
      </c>
    </row>
    <row r="46" spans="1:2">
      <c r="A46" s="75" t="s">
        <v>254</v>
      </c>
      <c r="B46" s="75" t="s">
        <v>422</v>
      </c>
    </row>
    <row r="47" spans="1:2">
      <c r="A47" s="75" t="s">
        <v>255</v>
      </c>
      <c r="B47" s="75" t="s">
        <v>422</v>
      </c>
    </row>
    <row r="48" spans="1:2">
      <c r="A48" s="75" t="s">
        <v>256</v>
      </c>
      <c r="B48" s="75" t="s">
        <v>422</v>
      </c>
    </row>
    <row r="49" spans="1:2">
      <c r="A49" s="75" t="s">
        <v>275</v>
      </c>
      <c r="B49" s="75" t="s">
        <v>422</v>
      </c>
    </row>
    <row r="50" spans="1:2">
      <c r="A50" s="75" t="s">
        <v>228</v>
      </c>
      <c r="B50" s="75" t="s">
        <v>229</v>
      </c>
    </row>
    <row r="51" spans="1:2">
      <c r="A51" s="75" t="s">
        <v>230</v>
      </c>
      <c r="B51" s="75" t="s">
        <v>229</v>
      </c>
    </row>
    <row r="52" spans="1:2">
      <c r="A52" s="75" t="s">
        <v>231</v>
      </c>
      <c r="B52" s="75" t="s">
        <v>229</v>
      </c>
    </row>
    <row r="53" spans="1:2">
      <c r="A53" s="75" t="s">
        <v>232</v>
      </c>
      <c r="B53" s="75" t="s">
        <v>229</v>
      </c>
    </row>
    <row r="54" spans="1:2">
      <c r="A54" s="75" t="s">
        <v>14</v>
      </c>
      <c r="B54" s="75" t="s">
        <v>229</v>
      </c>
    </row>
    <row r="55" spans="1:2">
      <c r="A55" s="75" t="s">
        <v>15</v>
      </c>
      <c r="B55" s="75" t="s">
        <v>229</v>
      </c>
    </row>
    <row r="56" spans="1:2">
      <c r="A56" s="75" t="s">
        <v>244</v>
      </c>
      <c r="B56" s="75" t="s">
        <v>229</v>
      </c>
    </row>
    <row r="57" spans="1:2">
      <c r="A57" s="75" t="s">
        <v>245</v>
      </c>
      <c r="B57" s="75" t="s">
        <v>229</v>
      </c>
    </row>
    <row r="58" spans="1:2">
      <c r="A58" s="75" t="s">
        <v>150</v>
      </c>
      <c r="B58" s="75" t="s">
        <v>229</v>
      </c>
    </row>
    <row r="59" spans="1:2">
      <c r="A59" s="75" t="s">
        <v>258</v>
      </c>
      <c r="B59" s="75" t="s">
        <v>229</v>
      </c>
    </row>
    <row r="60" spans="1:2">
      <c r="A60" s="75" t="s">
        <v>258</v>
      </c>
      <c r="B60" s="75" t="s">
        <v>229</v>
      </c>
    </row>
    <row r="61" spans="1:2">
      <c r="A61" s="75" t="s">
        <v>318</v>
      </c>
      <c r="B61" s="75" t="s">
        <v>279</v>
      </c>
    </row>
    <row r="62" spans="1:2">
      <c r="A62" s="75" t="s">
        <v>233</v>
      </c>
      <c r="B62" s="75" t="s">
        <v>279</v>
      </c>
    </row>
    <row r="63" spans="1:2">
      <c r="A63" s="75" t="s">
        <v>16</v>
      </c>
      <c r="B63" s="75" t="s">
        <v>279</v>
      </c>
    </row>
    <row r="64" spans="1:2">
      <c r="A64" s="75" t="s">
        <v>246</v>
      </c>
      <c r="B64" s="75" t="s">
        <v>279</v>
      </c>
    </row>
    <row r="65" spans="1:2">
      <c r="A65" s="75" t="s">
        <v>257</v>
      </c>
      <c r="B65" s="75" t="s">
        <v>279</v>
      </c>
    </row>
    <row r="66" spans="1:2">
      <c r="A66" s="75" t="s">
        <v>257</v>
      </c>
      <c r="B66" s="75" t="s">
        <v>279</v>
      </c>
    </row>
    <row r="67" spans="1:2">
      <c r="A67" s="75" t="s">
        <v>21</v>
      </c>
      <c r="B67" s="75" t="s">
        <v>152</v>
      </c>
    </row>
    <row r="68" spans="1:2">
      <c r="A68" s="75" t="s">
        <v>22</v>
      </c>
      <c r="B68" s="75" t="s">
        <v>152</v>
      </c>
    </row>
    <row r="69" spans="1:2">
      <c r="A69" s="75" t="s">
        <v>247</v>
      </c>
      <c r="B69" s="75" t="s">
        <v>152</v>
      </c>
    </row>
    <row r="70" spans="1:2">
      <c r="A70" s="75" t="s">
        <v>249</v>
      </c>
      <c r="B70" s="75" t="s">
        <v>152</v>
      </c>
    </row>
    <row r="71" spans="1:2">
      <c r="A71" s="75" t="s">
        <v>89</v>
      </c>
      <c r="B71" s="75" t="s">
        <v>252</v>
      </c>
    </row>
    <row r="72" spans="1:2">
      <c r="A72" s="75" t="s">
        <v>23</v>
      </c>
      <c r="B72" s="75" t="s">
        <v>287</v>
      </c>
    </row>
    <row r="73" spans="1:2">
      <c r="A73" s="75" t="s">
        <v>17</v>
      </c>
      <c r="B73" s="75" t="s">
        <v>172</v>
      </c>
    </row>
    <row r="74" spans="1:2">
      <c r="A74" s="75" t="s">
        <v>248</v>
      </c>
      <c r="B74" s="75" t="s">
        <v>172</v>
      </c>
    </row>
    <row r="75" spans="1:2">
      <c r="A75" s="75" t="s">
        <v>259</v>
      </c>
      <c r="B75" s="75" t="s">
        <v>170</v>
      </c>
    </row>
    <row r="76" spans="1:2">
      <c r="A76" s="75" t="s">
        <v>25</v>
      </c>
      <c r="B76" s="75" t="s">
        <v>227</v>
      </c>
    </row>
    <row r="77" spans="1:2">
      <c r="A77" s="75" t="s">
        <v>26</v>
      </c>
      <c r="B77" s="75" t="s">
        <v>227</v>
      </c>
    </row>
    <row r="78" spans="1:2">
      <c r="A78" s="75" t="s">
        <v>19</v>
      </c>
      <c r="B78" s="75" t="s">
        <v>171</v>
      </c>
    </row>
    <row r="79" spans="1:2">
      <c r="A79" s="75" t="s">
        <v>319</v>
      </c>
      <c r="B79" s="75" t="s">
        <v>320</v>
      </c>
    </row>
  </sheetData>
  <autoFilter ref="A1:B79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35"/>
  <cols>
    <col min="1" max="1" width="29.6640625" style="24" bestFit="1" customWidth="1"/>
    <col min="2" max="2" width="39.83203125" style="1" bestFit="1" customWidth="1"/>
    <col min="3" max="3" width="55.1640625" style="38" customWidth="1"/>
    <col min="4" max="4" width="19" style="38" bestFit="1" customWidth="1"/>
    <col min="5" max="16384" width="9" style="1"/>
  </cols>
  <sheetData>
    <row r="2" spans="1:4">
      <c r="A2" s="1" t="s">
        <v>132</v>
      </c>
    </row>
    <row r="3" spans="1:4">
      <c r="A3" s="1" t="s">
        <v>122</v>
      </c>
    </row>
    <row r="4" spans="1:4">
      <c r="A4" s="1" t="s">
        <v>133</v>
      </c>
    </row>
    <row r="5" spans="1:4">
      <c r="A5" s="24" t="s">
        <v>110</v>
      </c>
      <c r="B5" s="37" t="s">
        <v>134</v>
      </c>
      <c r="D5" s="42" t="s">
        <v>141</v>
      </c>
    </row>
    <row r="6" spans="1:4">
      <c r="A6" s="24" t="s">
        <v>9</v>
      </c>
      <c r="B6" s="1" t="s">
        <v>33</v>
      </c>
      <c r="C6" s="38" t="s">
        <v>34</v>
      </c>
      <c r="D6" s="38" t="s">
        <v>0</v>
      </c>
    </row>
    <row r="7" spans="1:4" ht="15.75" customHeight="1">
      <c r="A7" s="29"/>
      <c r="B7" s="1" t="s">
        <v>35</v>
      </c>
      <c r="C7" s="30" t="s">
        <v>53</v>
      </c>
      <c r="D7" s="41">
        <v>-946000</v>
      </c>
    </row>
    <row r="8" spans="1:4" ht="15.75" customHeight="1">
      <c r="A8" s="29"/>
      <c r="B8" s="1" t="s">
        <v>35</v>
      </c>
      <c r="C8" s="30" t="s">
        <v>50</v>
      </c>
      <c r="D8" s="41">
        <v>-17340.96</v>
      </c>
    </row>
    <row r="9" spans="1:4" ht="15.75" customHeight="1">
      <c r="A9" s="29"/>
      <c r="B9" s="1" t="s">
        <v>35</v>
      </c>
      <c r="C9" s="30" t="s">
        <v>120</v>
      </c>
      <c r="D9" s="41">
        <v>6785</v>
      </c>
    </row>
    <row r="10" spans="1:4" ht="15.75" customHeight="1">
      <c r="A10" s="31"/>
      <c r="B10" s="1" t="s">
        <v>35</v>
      </c>
      <c r="C10" s="30" t="s">
        <v>123</v>
      </c>
      <c r="D10" s="41">
        <v>-255000</v>
      </c>
    </row>
    <row r="11" spans="1:4" ht="15.75" customHeight="1">
      <c r="A11" s="31"/>
      <c r="B11" s="1" t="s">
        <v>35</v>
      </c>
      <c r="C11" s="30" t="s">
        <v>124</v>
      </c>
      <c r="D11" s="41">
        <v>-837812.98</v>
      </c>
    </row>
    <row r="12" spans="1:4" ht="15.75" customHeight="1">
      <c r="A12" s="31">
        <v>24</v>
      </c>
      <c r="B12" s="1" t="s">
        <v>35</v>
      </c>
      <c r="C12" s="30" t="s">
        <v>36</v>
      </c>
      <c r="D12" s="41">
        <v>9556511.1799999997</v>
      </c>
    </row>
    <row r="13" spans="1:4" ht="15.75" customHeight="1">
      <c r="A13" s="29" t="s">
        <v>136</v>
      </c>
      <c r="B13" s="1" t="s">
        <v>35</v>
      </c>
      <c r="C13" s="30" t="s">
        <v>37</v>
      </c>
      <c r="D13" s="41">
        <v>31293.52</v>
      </c>
    </row>
    <row r="14" spans="1:4" ht="15.75" customHeight="1">
      <c r="A14" s="29">
        <v>36</v>
      </c>
      <c r="B14" s="1" t="s">
        <v>35</v>
      </c>
      <c r="C14" s="30" t="s">
        <v>38</v>
      </c>
      <c r="D14" s="41">
        <v>10781084.630000001</v>
      </c>
    </row>
    <row r="15" spans="1:4" ht="15.75" customHeight="1">
      <c r="A15" s="29">
        <v>48</v>
      </c>
      <c r="B15" s="1" t="s">
        <v>35</v>
      </c>
      <c r="C15" s="30" t="s">
        <v>39</v>
      </c>
      <c r="D15" s="41">
        <v>1992589.38</v>
      </c>
    </row>
    <row r="16" spans="1:4" ht="15.75" customHeight="1">
      <c r="A16" s="29"/>
      <c r="B16" s="1" t="s">
        <v>35</v>
      </c>
      <c r="C16" s="30" t="s">
        <v>40</v>
      </c>
      <c r="D16" s="41">
        <v>41679.97</v>
      </c>
    </row>
    <row r="17" spans="1:4" ht="15.75" customHeight="1">
      <c r="A17" s="29"/>
      <c r="B17" s="1" t="s">
        <v>35</v>
      </c>
      <c r="C17" s="30" t="s">
        <v>42</v>
      </c>
      <c r="D17" s="41">
        <v>193.11</v>
      </c>
    </row>
    <row r="18" spans="1:4" ht="15.75" customHeight="1">
      <c r="A18" s="29"/>
      <c r="B18" s="1" t="s">
        <v>35</v>
      </c>
      <c r="C18" s="30" t="s">
        <v>43</v>
      </c>
      <c r="D18" s="41">
        <v>105391.16</v>
      </c>
    </row>
    <row r="19" spans="1:4" ht="15.75" customHeight="1">
      <c r="A19" s="29"/>
      <c r="B19" s="1" t="s">
        <v>35</v>
      </c>
      <c r="C19" s="30" t="s">
        <v>45</v>
      </c>
      <c r="D19" s="41">
        <v>167.19</v>
      </c>
    </row>
    <row r="20" spans="1:4" ht="15.75" customHeight="1">
      <c r="A20" s="29">
        <v>15</v>
      </c>
      <c r="B20" s="1" t="s">
        <v>35</v>
      </c>
      <c r="C20" s="30" t="s">
        <v>46</v>
      </c>
      <c r="D20" s="41">
        <v>53629.83</v>
      </c>
    </row>
    <row r="21" spans="1:4" ht="15.75" customHeight="1">
      <c r="A21" s="29">
        <v>54</v>
      </c>
      <c r="B21" s="1" t="s">
        <v>35</v>
      </c>
      <c r="C21" s="30" t="s">
        <v>47</v>
      </c>
      <c r="D21" s="41">
        <v>3888.91</v>
      </c>
    </row>
    <row r="22" spans="1:4" ht="15.75" customHeight="1">
      <c r="A22" s="29"/>
      <c r="B22" s="1" t="s">
        <v>35</v>
      </c>
      <c r="C22" s="30" t="s">
        <v>129</v>
      </c>
      <c r="D22" s="41">
        <v>-0.28999999999999998</v>
      </c>
    </row>
    <row r="23" spans="1:4" ht="15.75" customHeight="1">
      <c r="A23" s="29"/>
      <c r="B23" s="1" t="s">
        <v>35</v>
      </c>
      <c r="C23" s="30" t="s">
        <v>49</v>
      </c>
      <c r="D23" s="41">
        <v>0.74</v>
      </c>
    </row>
    <row r="24" spans="1:4" ht="15.75" customHeight="1">
      <c r="A24" s="29"/>
      <c r="B24" s="1" t="s">
        <v>35</v>
      </c>
      <c r="C24" s="30" t="s">
        <v>48</v>
      </c>
      <c r="D24" s="41">
        <v>-7.0000000000000007E-2</v>
      </c>
    </row>
    <row r="25" spans="1:4" ht="15.75" customHeight="1">
      <c r="A25" s="29"/>
      <c r="B25" s="1" t="s">
        <v>35</v>
      </c>
      <c r="C25" s="30" t="s">
        <v>91</v>
      </c>
      <c r="D25" s="41">
        <v>2332.52</v>
      </c>
    </row>
    <row r="26" spans="1:4" ht="15.75" customHeight="1">
      <c r="A26" s="29">
        <v>24</v>
      </c>
      <c r="B26" s="1" t="s">
        <v>35</v>
      </c>
      <c r="C26" s="30" t="s">
        <v>92</v>
      </c>
      <c r="D26" s="41">
        <v>2569.66</v>
      </c>
    </row>
    <row r="27" spans="1:4" ht="15.75" customHeight="1">
      <c r="A27" s="29">
        <v>24</v>
      </c>
      <c r="B27" s="1" t="s">
        <v>35</v>
      </c>
      <c r="C27" s="30" t="s">
        <v>96</v>
      </c>
      <c r="D27" s="41">
        <v>893375.05</v>
      </c>
    </row>
    <row r="28" spans="1:4" ht="15.75" customHeight="1">
      <c r="A28" s="29"/>
      <c r="B28" s="1" t="s">
        <v>35</v>
      </c>
      <c r="C28" s="30" t="s">
        <v>102</v>
      </c>
      <c r="D28" s="41">
        <v>-48178.239999999998</v>
      </c>
    </row>
    <row r="29" spans="1:4" ht="15.75" customHeight="1">
      <c r="A29" s="29" t="s">
        <v>137</v>
      </c>
      <c r="B29" s="1" t="s">
        <v>35</v>
      </c>
      <c r="C29" s="30" t="s">
        <v>97</v>
      </c>
      <c r="D29" s="41">
        <v>6449.25</v>
      </c>
    </row>
    <row r="30" spans="1:4" ht="15.75" customHeight="1">
      <c r="A30" s="31"/>
      <c r="B30" s="1" t="s">
        <v>35</v>
      </c>
      <c r="C30" s="30" t="s">
        <v>103</v>
      </c>
      <c r="D30" s="41">
        <v>-80.290000000000006</v>
      </c>
    </row>
    <row r="31" spans="1:4" ht="15.75" customHeight="1">
      <c r="A31" s="29">
        <v>36</v>
      </c>
      <c r="B31" s="1" t="s">
        <v>35</v>
      </c>
      <c r="C31" s="30" t="s">
        <v>106</v>
      </c>
      <c r="D31" s="41">
        <v>1245439.46</v>
      </c>
    </row>
    <row r="32" spans="1:4" ht="15.75" customHeight="1">
      <c r="A32" s="29"/>
      <c r="B32" s="1" t="s">
        <v>35</v>
      </c>
      <c r="C32" s="30" t="s">
        <v>99</v>
      </c>
      <c r="D32" s="41">
        <v>-87417.19</v>
      </c>
    </row>
    <row r="33" spans="1:4" ht="15.75" customHeight="1">
      <c r="A33" s="29">
        <v>15</v>
      </c>
      <c r="B33" s="1" t="s">
        <v>35</v>
      </c>
      <c r="C33" s="30" t="s">
        <v>104</v>
      </c>
      <c r="D33" s="41">
        <v>21088.32</v>
      </c>
    </row>
    <row r="34" spans="1:4" ht="15.75" customHeight="1">
      <c r="A34" s="29"/>
      <c r="B34" s="1" t="s">
        <v>35</v>
      </c>
      <c r="C34" s="30" t="s">
        <v>100</v>
      </c>
      <c r="D34" s="41">
        <v>-665.76</v>
      </c>
    </row>
    <row r="35" spans="1:4" ht="15.75" customHeight="1">
      <c r="A35" s="29" t="s">
        <v>136</v>
      </c>
      <c r="B35" s="1" t="s">
        <v>35</v>
      </c>
      <c r="C35" s="30" t="s">
        <v>105</v>
      </c>
      <c r="D35" s="41">
        <v>5361.47</v>
      </c>
    </row>
    <row r="36" spans="1:4" ht="15.75" customHeight="1">
      <c r="A36" s="29"/>
      <c r="B36" s="1" t="s">
        <v>35</v>
      </c>
      <c r="C36" s="30" t="s">
        <v>95</v>
      </c>
      <c r="D36" s="41">
        <v>-0.96</v>
      </c>
    </row>
    <row r="37" spans="1:4" ht="15.75" customHeight="1">
      <c r="A37" s="29"/>
      <c r="B37" s="1" t="s">
        <v>35</v>
      </c>
      <c r="C37" s="30" t="s">
        <v>111</v>
      </c>
      <c r="D37" s="41">
        <v>9008.69</v>
      </c>
    </row>
    <row r="38" spans="1:4" ht="15.75" customHeight="1">
      <c r="A38" s="29"/>
      <c r="B38" s="1" t="s">
        <v>35</v>
      </c>
      <c r="C38" s="30" t="s">
        <v>112</v>
      </c>
      <c r="D38" s="41">
        <v>726.47</v>
      </c>
    </row>
    <row r="39" spans="1:4" ht="15.75" customHeight="1">
      <c r="A39" s="29">
        <v>36</v>
      </c>
      <c r="B39" s="1" t="s">
        <v>35</v>
      </c>
      <c r="C39" s="30" t="s">
        <v>125</v>
      </c>
      <c r="D39" s="41">
        <v>3318.18</v>
      </c>
    </row>
    <row r="40" spans="1:4" ht="15.75" customHeight="1">
      <c r="A40" s="29"/>
      <c r="B40" s="1" t="s">
        <v>35</v>
      </c>
      <c r="C40" s="30" t="s">
        <v>52</v>
      </c>
      <c r="D40" s="41"/>
    </row>
    <row r="41" spans="1:4" ht="15.75" customHeight="1">
      <c r="A41" s="29"/>
      <c r="B41" s="1" t="s">
        <v>35</v>
      </c>
      <c r="C41" s="30" t="s">
        <v>51</v>
      </c>
      <c r="D41" s="41"/>
    </row>
    <row r="42" spans="1:4" ht="15.75" customHeight="1">
      <c r="A42" s="29"/>
      <c r="B42" s="1" t="s">
        <v>55</v>
      </c>
      <c r="C42" s="30" t="s">
        <v>53</v>
      </c>
      <c r="D42" s="41">
        <v>-345000</v>
      </c>
    </row>
    <row r="43" spans="1:4" ht="15.75" customHeight="1">
      <c r="A43" s="29"/>
      <c r="B43" s="1" t="s">
        <v>55</v>
      </c>
      <c r="C43" s="30" t="s">
        <v>50</v>
      </c>
      <c r="D43" s="41">
        <v>-552.03</v>
      </c>
    </row>
    <row r="44" spans="1:4" ht="15.75" customHeight="1">
      <c r="A44" s="29"/>
      <c r="B44" s="1" t="s">
        <v>55</v>
      </c>
      <c r="C44" s="30" t="s">
        <v>120</v>
      </c>
      <c r="D44" s="41">
        <v>3881.96</v>
      </c>
    </row>
    <row r="45" spans="1:4" ht="15.75" customHeight="1">
      <c r="A45" s="29"/>
      <c r="B45" s="1" t="s">
        <v>55</v>
      </c>
      <c r="C45" s="30" t="s">
        <v>123</v>
      </c>
      <c r="D45" s="41">
        <v>-127500</v>
      </c>
    </row>
    <row r="46" spans="1:4" ht="15.75" customHeight="1">
      <c r="A46" s="29"/>
      <c r="B46" s="1" t="s">
        <v>55</v>
      </c>
      <c r="C46" s="30" t="s">
        <v>124</v>
      </c>
      <c r="D46" s="41">
        <v>-351519.04</v>
      </c>
    </row>
    <row r="47" spans="1:4" ht="15.75" customHeight="1">
      <c r="A47" s="24">
        <v>24</v>
      </c>
      <c r="B47" s="1" t="s">
        <v>55</v>
      </c>
      <c r="C47" s="39" t="s">
        <v>36</v>
      </c>
      <c r="D47" s="41">
        <v>330203.14</v>
      </c>
    </row>
    <row r="48" spans="1:4" ht="15.75" customHeight="1">
      <c r="A48" s="24" t="s">
        <v>136</v>
      </c>
      <c r="B48" s="1" t="s">
        <v>55</v>
      </c>
      <c r="C48" s="38" t="s">
        <v>37</v>
      </c>
      <c r="D48" s="41">
        <v>1722.03</v>
      </c>
    </row>
    <row r="49" spans="1:4" ht="15.75" customHeight="1">
      <c r="A49" s="24">
        <v>36</v>
      </c>
      <c r="B49" s="1" t="s">
        <v>55</v>
      </c>
      <c r="C49" s="38" t="s">
        <v>38</v>
      </c>
      <c r="D49" s="41">
        <v>1858554.63</v>
      </c>
    </row>
    <row r="50" spans="1:4" ht="15.75" customHeight="1">
      <c r="A50" s="24">
        <v>48</v>
      </c>
      <c r="B50" s="1" t="s">
        <v>55</v>
      </c>
      <c r="C50" s="30" t="s">
        <v>39</v>
      </c>
      <c r="D50" s="41">
        <v>8361258.9199999999</v>
      </c>
    </row>
    <row r="51" spans="1:4" ht="15.75" customHeight="1">
      <c r="A51" s="24">
        <v>15</v>
      </c>
      <c r="B51" s="1" t="s">
        <v>55</v>
      </c>
      <c r="C51" s="30" t="s">
        <v>46</v>
      </c>
      <c r="D51" s="41">
        <v>3729.48</v>
      </c>
    </row>
    <row r="52" spans="1:4" ht="15.75" customHeight="1">
      <c r="A52" s="24">
        <v>47</v>
      </c>
      <c r="B52" s="1" t="s">
        <v>55</v>
      </c>
      <c r="C52" s="30" t="s">
        <v>57</v>
      </c>
      <c r="D52" s="41">
        <v>59268.59</v>
      </c>
    </row>
    <row r="53" spans="1:4" ht="15.75" customHeight="1">
      <c r="A53" s="24">
        <v>24</v>
      </c>
      <c r="B53" s="1" t="s">
        <v>55</v>
      </c>
      <c r="C53" s="30" t="s">
        <v>96</v>
      </c>
      <c r="D53" s="41">
        <v>39292.94</v>
      </c>
    </row>
    <row r="54" spans="1:4" ht="15.75" customHeight="1">
      <c r="B54" s="1" t="s">
        <v>55</v>
      </c>
      <c r="C54" s="30" t="s">
        <v>102</v>
      </c>
      <c r="D54" s="41">
        <v>-2108.69</v>
      </c>
    </row>
    <row r="55" spans="1:4" ht="15.75" customHeight="1">
      <c r="A55" s="24" t="s">
        <v>137</v>
      </c>
      <c r="B55" s="1" t="s">
        <v>55</v>
      </c>
      <c r="C55" s="30" t="s">
        <v>97</v>
      </c>
      <c r="D55" s="41">
        <v>93.53</v>
      </c>
    </row>
    <row r="56" spans="1:4" ht="15.75" customHeight="1">
      <c r="B56" s="1" t="s">
        <v>55</v>
      </c>
      <c r="C56" s="30" t="s">
        <v>103</v>
      </c>
      <c r="D56" s="41">
        <v>-0.06</v>
      </c>
    </row>
    <row r="57" spans="1:4" ht="15.75" customHeight="1">
      <c r="A57" s="24">
        <v>36</v>
      </c>
      <c r="B57" s="1" t="s">
        <v>55</v>
      </c>
      <c r="C57" s="30" t="s">
        <v>106</v>
      </c>
      <c r="D57" s="41">
        <v>69860.06</v>
      </c>
    </row>
    <row r="58" spans="1:4" ht="15.75" customHeight="1">
      <c r="B58" s="1" t="s">
        <v>55</v>
      </c>
      <c r="C58" s="30" t="s">
        <v>99</v>
      </c>
      <c r="D58" s="41">
        <v>-2192.36</v>
      </c>
    </row>
    <row r="59" spans="1:4" ht="15.75" customHeight="1">
      <c r="A59" s="24">
        <v>15</v>
      </c>
      <c r="B59" s="1" t="s">
        <v>55</v>
      </c>
      <c r="C59" s="30" t="s">
        <v>104</v>
      </c>
      <c r="D59" s="41">
        <v>1044.33</v>
      </c>
    </row>
    <row r="60" spans="1:4" ht="15.75" customHeight="1">
      <c r="B60" s="1" t="s">
        <v>55</v>
      </c>
      <c r="C60" s="30" t="s">
        <v>100</v>
      </c>
      <c r="D60" s="41">
        <v>-32.700000000000003</v>
      </c>
    </row>
    <row r="61" spans="1:4" ht="15.75" customHeight="1">
      <c r="B61" s="1" t="s">
        <v>55</v>
      </c>
      <c r="C61" s="30" t="s">
        <v>52</v>
      </c>
      <c r="D61" s="41"/>
    </row>
    <row r="62" spans="1:4" ht="15.75" customHeight="1">
      <c r="B62" s="1" t="s">
        <v>55</v>
      </c>
      <c r="C62" s="30" t="s">
        <v>51</v>
      </c>
      <c r="D62" s="41"/>
    </row>
    <row r="63" spans="1:4" ht="15.75" customHeight="1">
      <c r="B63" s="1" t="s">
        <v>58</v>
      </c>
      <c r="C63" s="30" t="s">
        <v>64</v>
      </c>
      <c r="D63" s="41">
        <v>121000</v>
      </c>
    </row>
    <row r="64" spans="1:4" ht="15.75" customHeight="1">
      <c r="B64" s="1" t="s">
        <v>58</v>
      </c>
      <c r="C64" s="30" t="s">
        <v>63</v>
      </c>
      <c r="D64" s="41">
        <v>-1420.25</v>
      </c>
    </row>
    <row r="65" spans="1:4" ht="15.75" customHeight="1">
      <c r="B65" s="1" t="s">
        <v>58</v>
      </c>
      <c r="C65" s="30" t="s">
        <v>123</v>
      </c>
      <c r="D65" s="41">
        <v>-30000</v>
      </c>
    </row>
    <row r="66" spans="1:4" ht="15.75" customHeight="1">
      <c r="B66" s="1" t="s">
        <v>58</v>
      </c>
      <c r="C66" s="30" t="s">
        <v>126</v>
      </c>
      <c r="D66" s="41">
        <v>27800</v>
      </c>
    </row>
    <row r="67" spans="1:4" ht="15.75" customHeight="1">
      <c r="B67" s="1" t="s">
        <v>58</v>
      </c>
      <c r="C67" s="30" t="s">
        <v>124</v>
      </c>
      <c r="D67" s="41">
        <v>-10164.92</v>
      </c>
    </row>
    <row r="68" spans="1:4" ht="15.75" customHeight="1">
      <c r="A68" s="24">
        <v>40</v>
      </c>
      <c r="B68" s="1" t="s">
        <v>58</v>
      </c>
      <c r="C68" s="30" t="s">
        <v>59</v>
      </c>
      <c r="D68" s="41">
        <v>165693.29999999999</v>
      </c>
    </row>
    <row r="69" spans="1:4" ht="15.75" customHeight="1">
      <c r="B69" s="1" t="s">
        <v>58</v>
      </c>
      <c r="C69" s="30" t="s">
        <v>59</v>
      </c>
      <c r="D69" s="41">
        <v>-12061.42</v>
      </c>
    </row>
    <row r="70" spans="1:4" ht="15.75" customHeight="1">
      <c r="A70" s="24" t="s">
        <v>138</v>
      </c>
      <c r="B70" s="1" t="s">
        <v>58</v>
      </c>
      <c r="C70" s="30" t="s">
        <v>60</v>
      </c>
      <c r="D70" s="41">
        <v>53970.46</v>
      </c>
    </row>
    <row r="71" spans="1:4" ht="15.75" customHeight="1">
      <c r="B71" s="1" t="s">
        <v>58</v>
      </c>
      <c r="C71" s="30" t="s">
        <v>41</v>
      </c>
      <c r="D71" s="41">
        <v>400.56</v>
      </c>
    </row>
    <row r="72" spans="1:4" ht="15.75" customHeight="1">
      <c r="B72" s="1" t="s">
        <v>58</v>
      </c>
      <c r="C72" s="40" t="s">
        <v>42</v>
      </c>
      <c r="D72" s="41">
        <v>15</v>
      </c>
    </row>
    <row r="73" spans="1:4" ht="15.75" customHeight="1">
      <c r="B73" s="1" t="s">
        <v>58</v>
      </c>
      <c r="C73" s="38" t="s">
        <v>44</v>
      </c>
      <c r="D73" s="41">
        <v>60689.69</v>
      </c>
    </row>
    <row r="74" spans="1:4" ht="15.75" customHeight="1">
      <c r="B74" s="1" t="s">
        <v>58</v>
      </c>
      <c r="C74" s="38" t="s">
        <v>111</v>
      </c>
      <c r="D74" s="41">
        <v>18.559999999999999</v>
      </c>
    </row>
    <row r="75" spans="1:4" ht="15.75" customHeight="1">
      <c r="B75" s="1" t="s">
        <v>58</v>
      </c>
      <c r="C75" s="30" t="s">
        <v>113</v>
      </c>
      <c r="D75" s="41">
        <v>6543.31</v>
      </c>
    </row>
    <row r="76" spans="1:4" ht="15.75" customHeight="1">
      <c r="B76" s="1" t="s">
        <v>58</v>
      </c>
      <c r="C76" s="30" t="s">
        <v>61</v>
      </c>
      <c r="D76" s="41"/>
    </row>
    <row r="77" spans="1:4" ht="15.75" customHeight="1">
      <c r="B77" s="1" t="s">
        <v>58</v>
      </c>
      <c r="C77" s="30" t="s">
        <v>62</v>
      </c>
      <c r="D77" s="41"/>
    </row>
    <row r="78" spans="1:4" ht="15.75" customHeight="1">
      <c r="B78" s="1" t="s">
        <v>65</v>
      </c>
      <c r="C78" s="30" t="s">
        <v>53</v>
      </c>
      <c r="D78" s="41">
        <v>-10000</v>
      </c>
    </row>
    <row r="79" spans="1:4" ht="15.75" customHeight="1">
      <c r="B79" s="1" t="s">
        <v>65</v>
      </c>
      <c r="C79" s="30" t="s">
        <v>123</v>
      </c>
      <c r="D79" s="41">
        <v>-7500</v>
      </c>
    </row>
    <row r="80" spans="1:4" ht="15.75" customHeight="1">
      <c r="B80" s="1" t="s">
        <v>65</v>
      </c>
      <c r="C80" s="30" t="s">
        <v>124</v>
      </c>
      <c r="D80" s="41">
        <v>-5849.66</v>
      </c>
    </row>
    <row r="81" spans="1:4" ht="15.75" customHeight="1">
      <c r="B81" s="1" t="s">
        <v>65</v>
      </c>
      <c r="C81" s="30" t="s">
        <v>66</v>
      </c>
      <c r="D81" s="41">
        <v>22.71</v>
      </c>
    </row>
    <row r="82" spans="1:4" ht="15.75" customHeight="1">
      <c r="A82" s="24">
        <v>52</v>
      </c>
      <c r="B82" s="1" t="s">
        <v>65</v>
      </c>
      <c r="C82" s="30" t="s">
        <v>67</v>
      </c>
      <c r="D82" s="41">
        <v>12762.34</v>
      </c>
    </row>
    <row r="83" spans="1:4" ht="15.75" customHeight="1">
      <c r="A83" s="24" t="s">
        <v>139</v>
      </c>
      <c r="B83" s="1" t="s">
        <v>65</v>
      </c>
      <c r="C83" s="30" t="s">
        <v>68</v>
      </c>
      <c r="D83" s="41">
        <v>61605.78</v>
      </c>
    </row>
    <row r="84" spans="1:4" ht="15.75" customHeight="1">
      <c r="A84" s="24">
        <v>53</v>
      </c>
      <c r="B84" s="1" t="s">
        <v>65</v>
      </c>
      <c r="C84" s="30" t="s">
        <v>69</v>
      </c>
      <c r="D84" s="41">
        <v>23807.29</v>
      </c>
    </row>
    <row r="85" spans="1:4" ht="15.75" customHeight="1">
      <c r="A85" s="24">
        <v>51</v>
      </c>
      <c r="B85" s="1" t="s">
        <v>65</v>
      </c>
      <c r="C85" s="30" t="s">
        <v>70</v>
      </c>
      <c r="D85" s="41">
        <v>169857.83</v>
      </c>
    </row>
    <row r="86" spans="1:4" ht="15.75" customHeight="1">
      <c r="A86" s="24">
        <v>57</v>
      </c>
      <c r="B86" s="1" t="s">
        <v>65</v>
      </c>
      <c r="C86" s="30" t="s">
        <v>71</v>
      </c>
      <c r="D86" s="41">
        <v>58169.25</v>
      </c>
    </row>
    <row r="87" spans="1:4" ht="15.75" customHeight="1">
      <c r="B87" s="1" t="s">
        <v>65</v>
      </c>
      <c r="C87" s="30" t="s">
        <v>52</v>
      </c>
      <c r="D87" s="41"/>
    </row>
    <row r="88" spans="1:4" ht="15.75" customHeight="1">
      <c r="B88" s="1" t="s">
        <v>72</v>
      </c>
      <c r="C88" s="30" t="s">
        <v>53</v>
      </c>
      <c r="D88" s="41">
        <v>-3233000</v>
      </c>
    </row>
    <row r="89" spans="1:4" ht="15.75" customHeight="1">
      <c r="B89" s="1" t="s">
        <v>72</v>
      </c>
      <c r="C89" s="30" t="s">
        <v>50</v>
      </c>
      <c r="D89" s="41">
        <v>-304909.57</v>
      </c>
    </row>
    <row r="90" spans="1:4" ht="15.75" customHeight="1">
      <c r="B90" s="1" t="s">
        <v>72</v>
      </c>
      <c r="C90" s="30" t="s">
        <v>120</v>
      </c>
      <c r="D90" s="41">
        <v>7853.97</v>
      </c>
    </row>
    <row r="91" spans="1:4" ht="15.75" customHeight="1">
      <c r="B91" s="1" t="s">
        <v>72</v>
      </c>
      <c r="C91" s="30" t="s">
        <v>123</v>
      </c>
      <c r="D91" s="41">
        <v>-330000</v>
      </c>
    </row>
    <row r="92" spans="1:4" ht="15.75" customHeight="1">
      <c r="B92" s="1" t="s">
        <v>72</v>
      </c>
      <c r="C92" s="30" t="s">
        <v>124</v>
      </c>
      <c r="D92" s="41">
        <v>-1437200.4</v>
      </c>
    </row>
    <row r="93" spans="1:4" ht="15.75" customHeight="1">
      <c r="A93" s="24">
        <v>16</v>
      </c>
      <c r="B93" s="1" t="s">
        <v>72</v>
      </c>
      <c r="C93" s="30" t="s">
        <v>73</v>
      </c>
      <c r="D93" s="41">
        <v>40802155.359999999</v>
      </c>
    </row>
    <row r="94" spans="1:4" ht="15.75" customHeight="1">
      <c r="B94" s="1" t="s">
        <v>72</v>
      </c>
      <c r="C94" s="40" t="s">
        <v>73</v>
      </c>
      <c r="D94" s="41">
        <v>-2303594.88</v>
      </c>
    </row>
    <row r="95" spans="1:4" ht="15.75" customHeight="1">
      <c r="A95" s="24">
        <v>18</v>
      </c>
      <c r="B95" s="1" t="s">
        <v>72</v>
      </c>
      <c r="C95" s="38" t="s">
        <v>76</v>
      </c>
      <c r="D95" s="41">
        <v>58033.55</v>
      </c>
    </row>
    <row r="96" spans="1:4" ht="15.75" customHeight="1">
      <c r="B96" s="1" t="s">
        <v>72</v>
      </c>
      <c r="C96" s="30" t="s">
        <v>76</v>
      </c>
      <c r="D96" s="41">
        <v>-3051.37</v>
      </c>
    </row>
    <row r="97" spans="1:4" ht="15.75" customHeight="1">
      <c r="A97" s="24" t="s">
        <v>140</v>
      </c>
      <c r="B97" s="1" t="s">
        <v>72</v>
      </c>
      <c r="C97" s="30" t="s">
        <v>77</v>
      </c>
      <c r="D97" s="41">
        <v>9599.5499999999993</v>
      </c>
    </row>
    <row r="98" spans="1:4" ht="15.75" customHeight="1">
      <c r="B98" s="1" t="s">
        <v>72</v>
      </c>
      <c r="C98" s="30" t="s">
        <v>77</v>
      </c>
      <c r="D98" s="41">
        <v>-514.1</v>
      </c>
    </row>
    <row r="99" spans="1:4" ht="15.75" customHeight="1">
      <c r="B99" s="1" t="s">
        <v>72</v>
      </c>
      <c r="C99" s="30" t="s">
        <v>130</v>
      </c>
      <c r="D99" s="41">
        <v>22.83</v>
      </c>
    </row>
    <row r="100" spans="1:4" ht="15.75" customHeight="1">
      <c r="B100" s="1" t="s">
        <v>72</v>
      </c>
      <c r="C100" s="30" t="s">
        <v>49</v>
      </c>
      <c r="D100" s="41">
        <v>-0.25</v>
      </c>
    </row>
    <row r="101" spans="1:4" ht="15.75" customHeight="1">
      <c r="A101" s="24">
        <v>17</v>
      </c>
      <c r="B101" s="1" t="s">
        <v>72</v>
      </c>
      <c r="C101" s="30" t="s">
        <v>74</v>
      </c>
      <c r="D101" s="41">
        <v>1872983</v>
      </c>
    </row>
    <row r="102" spans="1:4" ht="15.75" customHeight="1">
      <c r="B102" s="1" t="s">
        <v>72</v>
      </c>
      <c r="C102" s="30" t="s">
        <v>75</v>
      </c>
      <c r="D102" s="41">
        <v>-105236.3</v>
      </c>
    </row>
    <row r="103" spans="1:4" ht="15.75" customHeight="1">
      <c r="B103" s="1" t="s">
        <v>72</v>
      </c>
      <c r="C103" s="30" t="s">
        <v>48</v>
      </c>
      <c r="D103" s="41">
        <v>-0.01</v>
      </c>
    </row>
    <row r="104" spans="1:4" ht="15.75" customHeight="1">
      <c r="B104" s="1" t="s">
        <v>72</v>
      </c>
      <c r="C104" s="38" t="s">
        <v>94</v>
      </c>
      <c r="D104" s="41">
        <v>25000</v>
      </c>
    </row>
    <row r="105" spans="1:4" ht="15.75" customHeight="1">
      <c r="A105" s="24">
        <v>15</v>
      </c>
      <c r="B105" s="1" t="s">
        <v>72</v>
      </c>
      <c r="C105" s="38" t="s">
        <v>107</v>
      </c>
      <c r="D105" s="41">
        <v>38893.1</v>
      </c>
    </row>
    <row r="106" spans="1:4" ht="15.75" customHeight="1">
      <c r="B106" s="1" t="s">
        <v>72</v>
      </c>
      <c r="C106" s="38" t="s">
        <v>108</v>
      </c>
      <c r="D106" s="41">
        <v>-1219.1099999999999</v>
      </c>
    </row>
    <row r="107" spans="1:4" ht="15.75" customHeight="1">
      <c r="A107" s="24">
        <v>135</v>
      </c>
      <c r="B107" s="1" t="s">
        <v>72</v>
      </c>
      <c r="C107" s="38" t="s">
        <v>117</v>
      </c>
      <c r="D107" s="41">
        <v>10973.88</v>
      </c>
    </row>
    <row r="108" spans="1:4" ht="15.75" customHeight="1">
      <c r="B108" s="1" t="s">
        <v>72</v>
      </c>
      <c r="C108" s="38" t="s">
        <v>121</v>
      </c>
      <c r="D108" s="41">
        <v>-597.55999999999995</v>
      </c>
    </row>
    <row r="109" spans="1:4" ht="15.75" customHeight="1">
      <c r="B109" s="1" t="s">
        <v>72</v>
      </c>
      <c r="C109" s="38" t="s">
        <v>52</v>
      </c>
      <c r="D109" s="41"/>
    </row>
    <row r="110" spans="1:4" ht="15.75" customHeight="1">
      <c r="B110" s="1" t="s">
        <v>72</v>
      </c>
      <c r="C110" s="38" t="s">
        <v>51</v>
      </c>
      <c r="D110" s="41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R99"/>
  <sheetViews>
    <sheetView workbookViewId="0"/>
  </sheetViews>
  <sheetFormatPr defaultColWidth="9" defaultRowHeight="15.35"/>
  <cols>
    <col min="1" max="1" width="9" style="5"/>
    <col min="2" max="2" width="40.33203125" customWidth="1"/>
    <col min="3" max="14" width="12" customWidth="1"/>
    <col min="15" max="15" width="14.6640625" customWidth="1"/>
    <col min="17" max="17" width="2.1640625" customWidth="1"/>
    <col min="18" max="18" width="10.5" bestFit="1" customWidth="1"/>
  </cols>
  <sheetData>
    <row r="1" spans="1:18"/>
    <row r="2" spans="1:18">
      <c r="A2" s="19" t="e">
        <f>#REF!</f>
        <v>#REF!</v>
      </c>
      <c r="B2" s="19"/>
      <c r="C2" t="s">
        <v>90</v>
      </c>
    </row>
    <row r="3" spans="1:18">
      <c r="A3" s="19" t="e">
        <f>#REF!</f>
        <v>#REF!</v>
      </c>
      <c r="B3" s="19"/>
    </row>
    <row r="4" spans="1:18">
      <c r="A4" s="19" t="e">
        <f>#REF!</f>
        <v>#REF!</v>
      </c>
      <c r="B4" s="19"/>
    </row>
    <row r="5" spans="1:18">
      <c r="B5" s="7" t="s">
        <v>115</v>
      </c>
      <c r="C5" s="8"/>
      <c r="D5" s="8"/>
      <c r="E5" s="8"/>
      <c r="F5" s="8"/>
      <c r="G5" s="20"/>
      <c r="H5" s="8"/>
      <c r="I5" s="8"/>
      <c r="J5" s="8"/>
      <c r="K5" s="8"/>
      <c r="L5" s="8"/>
      <c r="M5" s="8"/>
      <c r="N5" s="8"/>
      <c r="O5" s="10"/>
      <c r="P5" s="9" t="s">
        <v>31</v>
      </c>
    </row>
    <row r="6" spans="1:18">
      <c r="B6" t="s">
        <v>35</v>
      </c>
      <c r="G6" s="9"/>
      <c r="O6" s="18"/>
      <c r="P6" s="9" t="s">
        <v>116</v>
      </c>
      <c r="R6" s="3" t="s">
        <v>2</v>
      </c>
    </row>
    <row r="7" spans="1:18">
      <c r="C7">
        <v>200707</v>
      </c>
      <c r="D7">
        <v>200708</v>
      </c>
      <c r="E7">
        <f>D7+1</f>
        <v>200709</v>
      </c>
      <c r="F7">
        <f>E7+1</f>
        <v>200710</v>
      </c>
      <c r="G7">
        <f>F7+1</f>
        <v>200711</v>
      </c>
      <c r="H7">
        <f>G7+1</f>
        <v>200712</v>
      </c>
      <c r="I7">
        <v>200801</v>
      </c>
      <c r="J7">
        <f>I7+1</f>
        <v>200802</v>
      </c>
      <c r="K7">
        <f>J7+1</f>
        <v>200803</v>
      </c>
      <c r="L7">
        <f>K7+1</f>
        <v>200804</v>
      </c>
      <c r="M7">
        <f>L7+1</f>
        <v>200805</v>
      </c>
      <c r="N7">
        <f>M7+1</f>
        <v>200806</v>
      </c>
      <c r="O7" s="18" t="s">
        <v>54</v>
      </c>
      <c r="P7" s="23">
        <v>39260</v>
      </c>
      <c r="R7" s="3" t="s">
        <v>0</v>
      </c>
    </row>
    <row r="8" spans="1:18">
      <c r="A8" s="5">
        <v>24</v>
      </c>
      <c r="B8" t="s">
        <v>96</v>
      </c>
      <c r="C8">
        <v>4169692</v>
      </c>
      <c r="D8">
        <v>3723998</v>
      </c>
      <c r="E8">
        <v>3198923</v>
      </c>
      <c r="F8">
        <v>2755668</v>
      </c>
      <c r="G8" s="13">
        <v>3046052</v>
      </c>
      <c r="H8">
        <v>3335761</v>
      </c>
      <c r="I8" s="12">
        <v>3808717</v>
      </c>
      <c r="J8" s="12">
        <v>3873681</v>
      </c>
      <c r="K8" s="12">
        <v>3604333</v>
      </c>
      <c r="L8" s="12">
        <v>3283809</v>
      </c>
      <c r="M8" s="12">
        <v>3142167</v>
      </c>
      <c r="N8" s="12">
        <v>3774631</v>
      </c>
      <c r="O8" s="13">
        <f t="shared" ref="O8:O31" si="0">SUM(C8:N8)</f>
        <v>41717432</v>
      </c>
      <c r="P8" s="17">
        <v>1.24E-3</v>
      </c>
      <c r="R8" s="21">
        <f t="shared" ref="R8:R15" si="1">P8*O8</f>
        <v>51729.615680000003</v>
      </c>
    </row>
    <row r="9" spans="1:18">
      <c r="A9" s="5" t="s">
        <v>78</v>
      </c>
      <c r="B9" t="s">
        <v>105</v>
      </c>
      <c r="C9">
        <v>21238</v>
      </c>
      <c r="D9">
        <v>21238</v>
      </c>
      <c r="E9">
        <v>20942</v>
      </c>
      <c r="F9">
        <v>18280</v>
      </c>
      <c r="G9" s="13">
        <v>31065</v>
      </c>
      <c r="H9">
        <v>18280</v>
      </c>
      <c r="I9" s="2">
        <v>18281</v>
      </c>
      <c r="J9" s="2">
        <v>5495</v>
      </c>
      <c r="K9" s="2">
        <v>18280</v>
      </c>
      <c r="L9" s="2">
        <v>18280</v>
      </c>
      <c r="M9" s="2">
        <v>18280</v>
      </c>
      <c r="N9" s="2">
        <v>18280</v>
      </c>
      <c r="O9" s="13">
        <f t="shared" si="0"/>
        <v>227939</v>
      </c>
      <c r="P9" s="17">
        <v>1.24E-3</v>
      </c>
      <c r="R9" s="21">
        <f t="shared" si="1"/>
        <v>282.64436000000001</v>
      </c>
    </row>
    <row r="10" spans="1:18">
      <c r="A10" s="5" t="s">
        <v>82</v>
      </c>
      <c r="B10" t="s">
        <v>97</v>
      </c>
      <c r="C10">
        <v>1590</v>
      </c>
      <c r="D10">
        <v>2919</v>
      </c>
      <c r="E10">
        <v>11084</v>
      </c>
      <c r="F10">
        <v>174819</v>
      </c>
      <c r="G10" s="13">
        <v>139933</v>
      </c>
      <c r="H10">
        <v>22495</v>
      </c>
      <c r="I10" s="2">
        <v>14785</v>
      </c>
      <c r="J10" s="2">
        <v>13030</v>
      </c>
      <c r="K10" s="2">
        <v>-3559</v>
      </c>
      <c r="L10" s="2">
        <v>11843</v>
      </c>
      <c r="M10" s="2">
        <v>31064</v>
      </c>
      <c r="N10" s="2">
        <v>-15272</v>
      </c>
      <c r="O10" s="13">
        <f t="shared" si="0"/>
        <v>404731</v>
      </c>
      <c r="P10" s="17">
        <v>1.24E-3</v>
      </c>
      <c r="R10" s="21">
        <f t="shared" si="1"/>
        <v>501.86644000000001</v>
      </c>
    </row>
    <row r="11" spans="1:18">
      <c r="A11" s="5">
        <v>24</v>
      </c>
      <c r="B11" t="s">
        <v>36</v>
      </c>
      <c r="C11" s="13">
        <v>42970072</v>
      </c>
      <c r="D11" s="13">
        <v>42492319</v>
      </c>
      <c r="E11" s="13">
        <v>36262938</v>
      </c>
      <c r="F11" s="13">
        <v>33230542</v>
      </c>
      <c r="G11" s="13">
        <v>34869575</v>
      </c>
      <c r="H11" s="13">
        <v>36341153</v>
      </c>
      <c r="I11" s="2">
        <v>40445704</v>
      </c>
      <c r="J11" s="2">
        <v>44523686</v>
      </c>
      <c r="K11" s="2">
        <v>39679186</v>
      </c>
      <c r="L11" s="2">
        <v>35221083</v>
      </c>
      <c r="M11" s="2">
        <v>35809463</v>
      </c>
      <c r="N11" s="2">
        <v>43110158</v>
      </c>
      <c r="O11" s="13">
        <f t="shared" si="0"/>
        <v>464955879</v>
      </c>
      <c r="P11" s="17">
        <v>1.24E-3</v>
      </c>
      <c r="R11" s="21">
        <f t="shared" si="1"/>
        <v>576545.28995999997</v>
      </c>
    </row>
    <row r="12" spans="1:18">
      <c r="A12" s="5" t="s">
        <v>78</v>
      </c>
      <c r="B12" t="s">
        <v>37</v>
      </c>
      <c r="C12" s="13">
        <v>101764</v>
      </c>
      <c r="D12" s="13">
        <v>100304</v>
      </c>
      <c r="E12" s="13">
        <v>101677</v>
      </c>
      <c r="F12" s="13">
        <v>100074</v>
      </c>
      <c r="G12" s="13">
        <v>101098</v>
      </c>
      <c r="H12" s="13">
        <v>101728</v>
      </c>
      <c r="I12" s="2">
        <v>100888</v>
      </c>
      <c r="J12" s="2">
        <v>100882</v>
      </c>
      <c r="K12" s="2">
        <v>100000</v>
      </c>
      <c r="L12" s="2">
        <v>100094</v>
      </c>
      <c r="M12" s="2">
        <v>101670</v>
      </c>
      <c r="N12" s="2">
        <v>100935</v>
      </c>
      <c r="O12" s="13">
        <f t="shared" si="0"/>
        <v>1211114</v>
      </c>
      <c r="P12" s="17">
        <v>1.24E-3</v>
      </c>
      <c r="R12" s="21">
        <f t="shared" si="1"/>
        <v>1501.7813599999999</v>
      </c>
    </row>
    <row r="13" spans="1:18">
      <c r="A13" s="5">
        <v>36</v>
      </c>
      <c r="B13" t="s">
        <v>106</v>
      </c>
      <c r="C13">
        <v>7139320</v>
      </c>
      <c r="D13">
        <v>6651020</v>
      </c>
      <c r="E13">
        <v>5949180</v>
      </c>
      <c r="F13">
        <v>5427928</v>
      </c>
      <c r="G13" s="13">
        <v>5820260</v>
      </c>
      <c r="H13">
        <v>10710241</v>
      </c>
      <c r="I13" s="2">
        <v>6874968</v>
      </c>
      <c r="J13" s="2">
        <v>6866625</v>
      </c>
      <c r="K13" s="2">
        <v>7519899</v>
      </c>
      <c r="L13" s="2">
        <v>8709680</v>
      </c>
      <c r="M13" s="2">
        <v>6276100</v>
      </c>
      <c r="N13" s="2">
        <v>8286800</v>
      </c>
      <c r="O13" s="13">
        <f t="shared" si="0"/>
        <v>86232021</v>
      </c>
      <c r="P13" s="17">
        <v>1.0200000000000001E-3</v>
      </c>
      <c r="R13" s="21">
        <f t="shared" si="1"/>
        <v>87956.661420000004</v>
      </c>
    </row>
    <row r="14" spans="1:18">
      <c r="A14" s="5">
        <v>36</v>
      </c>
      <c r="B14" t="s">
        <v>38</v>
      </c>
      <c r="C14" s="13">
        <v>59368941</v>
      </c>
      <c r="D14" s="13">
        <v>56815580</v>
      </c>
      <c r="E14" s="13">
        <v>52729103</v>
      </c>
      <c r="F14" s="13">
        <v>48314509</v>
      </c>
      <c r="G14" s="13">
        <v>49936076</v>
      </c>
      <c r="H14" s="13">
        <v>46891727</v>
      </c>
      <c r="I14" s="2">
        <v>55644603</v>
      </c>
      <c r="J14" s="2">
        <v>59342604</v>
      </c>
      <c r="K14" s="2">
        <v>59603339</v>
      </c>
      <c r="L14" s="2">
        <v>65055503</v>
      </c>
      <c r="M14" s="2">
        <v>59222854</v>
      </c>
      <c r="N14" s="2">
        <v>61989884</v>
      </c>
      <c r="O14" s="13">
        <f t="shared" si="0"/>
        <v>674914723</v>
      </c>
      <c r="P14" s="17">
        <v>1.0200000000000001E-3</v>
      </c>
      <c r="R14" s="21">
        <f t="shared" si="1"/>
        <v>688413.01746</v>
      </c>
    </row>
    <row r="15" spans="1:18">
      <c r="A15" s="5" t="s">
        <v>81</v>
      </c>
      <c r="B15" t="s">
        <v>39</v>
      </c>
      <c r="C15" s="13">
        <v>14031760</v>
      </c>
      <c r="D15" s="13">
        <v>12105060</v>
      </c>
      <c r="E15" s="13">
        <v>12596320</v>
      </c>
      <c r="F15" s="13">
        <v>11333660</v>
      </c>
      <c r="G15" s="13">
        <v>11389980</v>
      </c>
      <c r="H15" s="13">
        <v>11786660</v>
      </c>
      <c r="I15" s="2">
        <v>12614402</v>
      </c>
      <c r="J15" s="2">
        <v>13075400</v>
      </c>
      <c r="K15" s="2">
        <v>13838880</v>
      </c>
      <c r="L15" s="2">
        <v>14709860</v>
      </c>
      <c r="M15" s="2">
        <v>12447520</v>
      </c>
      <c r="N15" s="2">
        <v>13113320</v>
      </c>
      <c r="O15" s="13">
        <f t="shared" si="0"/>
        <v>153042822</v>
      </c>
      <c r="P15" s="17">
        <v>8.3000000000000001E-4</v>
      </c>
      <c r="R15" s="21">
        <f t="shared" si="1"/>
        <v>127025.54226</v>
      </c>
    </row>
    <row r="16" spans="1:18">
      <c r="B16" t="s">
        <v>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3">
        <f t="shared" si="0"/>
        <v>0</v>
      </c>
    </row>
    <row r="17" spans="1:18">
      <c r="B17" t="s">
        <v>41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3">
        <f t="shared" si="0"/>
        <v>0</v>
      </c>
    </row>
    <row r="18" spans="1:18">
      <c r="B18" t="s">
        <v>42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13">
        <f t="shared" si="0"/>
        <v>0</v>
      </c>
    </row>
    <row r="19" spans="1:18">
      <c r="B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13">
        <f t="shared" si="0"/>
        <v>0</v>
      </c>
    </row>
    <row r="20" spans="1:18">
      <c r="B20" t="s">
        <v>44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3">
        <f t="shared" si="0"/>
        <v>0</v>
      </c>
    </row>
    <row r="21" spans="1:18">
      <c r="A21" s="5" t="s">
        <v>8</v>
      </c>
      <c r="B21" t="s">
        <v>45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 s="13">
        <f t="shared" si="0"/>
        <v>0</v>
      </c>
    </row>
    <row r="22" spans="1:18">
      <c r="A22" s="5" t="s">
        <v>8</v>
      </c>
      <c r="B22" t="s">
        <v>91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13">
        <f t="shared" si="0"/>
        <v>0</v>
      </c>
    </row>
    <row r="23" spans="1:18">
      <c r="B23" s="6" t="s">
        <v>111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 s="13">
        <f t="shared" si="0"/>
        <v>0</v>
      </c>
    </row>
    <row r="24" spans="1:18">
      <c r="A24" s="5">
        <v>135</v>
      </c>
      <c r="B24" t="s">
        <v>92</v>
      </c>
      <c r="C24" s="13">
        <v>2307</v>
      </c>
      <c r="D24" s="13">
        <v>1428</v>
      </c>
      <c r="E24">
        <v>140</v>
      </c>
      <c r="F24">
        <v>0</v>
      </c>
      <c r="G24">
        <v>0</v>
      </c>
      <c r="H24">
        <v>0</v>
      </c>
      <c r="I24" s="2">
        <v>0</v>
      </c>
      <c r="J24" s="2">
        <v>0</v>
      </c>
      <c r="K24" s="2">
        <v>0</v>
      </c>
      <c r="L24" s="2">
        <v>18</v>
      </c>
      <c r="M24" s="2">
        <v>0</v>
      </c>
      <c r="N24" s="2">
        <v>1232</v>
      </c>
      <c r="O24" s="13">
        <f t="shared" si="0"/>
        <v>5125</v>
      </c>
      <c r="P24" s="17">
        <v>1.24E-3</v>
      </c>
      <c r="R24" s="21">
        <f>P24*O24</f>
        <v>6.3550000000000004</v>
      </c>
    </row>
    <row r="25" spans="1:18">
      <c r="A25" s="5" t="s">
        <v>79</v>
      </c>
      <c r="B25" t="s">
        <v>46</v>
      </c>
      <c r="C25" s="13">
        <v>135621</v>
      </c>
      <c r="D25" s="13">
        <v>152479</v>
      </c>
      <c r="E25" s="13">
        <v>143101</v>
      </c>
      <c r="F25" s="13">
        <v>144390</v>
      </c>
      <c r="G25" s="13">
        <v>147368</v>
      </c>
      <c r="H25" s="13">
        <v>125859</v>
      </c>
      <c r="I25" s="2">
        <v>142775</v>
      </c>
      <c r="J25" s="2">
        <v>145842</v>
      </c>
      <c r="K25" s="2">
        <v>135813</v>
      </c>
      <c r="L25" s="2">
        <v>146542</v>
      </c>
      <c r="M25" s="2">
        <v>137092</v>
      </c>
      <c r="N25" s="2">
        <v>143598</v>
      </c>
      <c r="O25" s="13">
        <f t="shared" si="0"/>
        <v>1700480</v>
      </c>
      <c r="P25" s="17">
        <v>1.09E-3</v>
      </c>
      <c r="R25" s="21">
        <f>P25*O25</f>
        <v>1853.5232000000001</v>
      </c>
    </row>
    <row r="26" spans="1:18">
      <c r="A26" s="5" t="s">
        <v>79</v>
      </c>
      <c r="B26" t="s">
        <v>104</v>
      </c>
      <c r="C26">
        <v>56080</v>
      </c>
      <c r="D26">
        <v>54964</v>
      </c>
      <c r="E26">
        <v>55214</v>
      </c>
      <c r="F26">
        <v>54647</v>
      </c>
      <c r="G26" s="13">
        <v>54911</v>
      </c>
      <c r="H26">
        <v>55184</v>
      </c>
      <c r="I26" s="2">
        <v>53677</v>
      </c>
      <c r="J26" s="2">
        <v>53325</v>
      </c>
      <c r="K26" s="2">
        <v>52348</v>
      </c>
      <c r="L26" s="2">
        <v>55316</v>
      </c>
      <c r="M26" s="2">
        <v>51552</v>
      </c>
      <c r="N26" s="2">
        <v>52753</v>
      </c>
      <c r="O26" s="13">
        <f t="shared" si="0"/>
        <v>649971</v>
      </c>
      <c r="P26" s="17">
        <v>1.09E-3</v>
      </c>
      <c r="R26" s="21">
        <f>P26*O26</f>
        <v>708.46839</v>
      </c>
    </row>
    <row r="27" spans="1:18">
      <c r="A27" s="5">
        <v>54</v>
      </c>
      <c r="B27" t="s">
        <v>47</v>
      </c>
      <c r="C27" s="13">
        <v>13222</v>
      </c>
      <c r="D27" s="13">
        <v>2552</v>
      </c>
      <c r="E27" s="13">
        <v>15473</v>
      </c>
      <c r="F27" s="13">
        <v>20107</v>
      </c>
      <c r="G27" s="13">
        <v>16713</v>
      </c>
      <c r="H27" s="13">
        <v>13439</v>
      </c>
      <c r="I27" s="2">
        <v>23259</v>
      </c>
      <c r="J27" s="2">
        <v>16201</v>
      </c>
      <c r="K27" s="2">
        <v>14873</v>
      </c>
      <c r="L27" s="2">
        <v>38831</v>
      </c>
      <c r="M27" s="2">
        <v>31315</v>
      </c>
      <c r="N27" s="2">
        <v>21266</v>
      </c>
      <c r="O27" s="13">
        <f t="shared" si="0"/>
        <v>227251</v>
      </c>
      <c r="P27" s="17">
        <v>1.48E-3</v>
      </c>
      <c r="R27" s="21">
        <f>P27*O27</f>
        <v>336.33148</v>
      </c>
    </row>
    <row r="28" spans="1:18">
      <c r="B28" t="s">
        <v>48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s="13">
        <f t="shared" si="0"/>
        <v>0</v>
      </c>
    </row>
    <row r="29" spans="1:18">
      <c r="B29" t="s">
        <v>49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s="13">
        <f t="shared" si="0"/>
        <v>0</v>
      </c>
    </row>
    <row r="30" spans="1:18">
      <c r="B30" t="s">
        <v>98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 s="13">
        <f t="shared" si="0"/>
        <v>0</v>
      </c>
    </row>
    <row r="31" spans="1:18">
      <c r="B31" t="s">
        <v>101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s="13">
        <f t="shared" si="0"/>
        <v>0</v>
      </c>
    </row>
    <row r="32" spans="1:18">
      <c r="A32" s="5" t="s">
        <v>8</v>
      </c>
      <c r="B32" t="s">
        <v>52</v>
      </c>
    </row>
    <row r="33" spans="1:18">
      <c r="A33" s="5" t="s">
        <v>8</v>
      </c>
      <c r="C33" s="13">
        <f t="shared" ref="C33:O33" si="2">SUM(C8:C31)</f>
        <v>128011607</v>
      </c>
      <c r="D33" s="13">
        <f t="shared" si="2"/>
        <v>122123861</v>
      </c>
      <c r="E33" s="13">
        <f t="shared" si="2"/>
        <v>111084095</v>
      </c>
      <c r="F33" s="13">
        <f t="shared" si="2"/>
        <v>101574624</v>
      </c>
      <c r="G33" s="13">
        <f t="shared" si="2"/>
        <v>105553031</v>
      </c>
      <c r="H33" s="13">
        <f t="shared" si="2"/>
        <v>109402527</v>
      </c>
      <c r="I33" s="13">
        <f t="shared" si="2"/>
        <v>119742059</v>
      </c>
      <c r="J33" s="13">
        <f t="shared" si="2"/>
        <v>128016771</v>
      </c>
      <c r="K33" s="13">
        <f t="shared" si="2"/>
        <v>124563392</v>
      </c>
      <c r="L33" s="13">
        <f t="shared" si="2"/>
        <v>127350859</v>
      </c>
      <c r="M33" s="13">
        <f t="shared" si="2"/>
        <v>117269077</v>
      </c>
      <c r="N33" s="13">
        <f t="shared" si="2"/>
        <v>130597585</v>
      </c>
      <c r="O33" s="13">
        <f t="shared" si="2"/>
        <v>1425289488</v>
      </c>
    </row>
    <row r="34" spans="1:18">
      <c r="A34" s="5" t="s">
        <v>8</v>
      </c>
      <c r="B34" t="s">
        <v>55</v>
      </c>
    </row>
    <row r="35" spans="1:18">
      <c r="A35" s="5" t="s">
        <v>8</v>
      </c>
      <c r="C35">
        <v>200707</v>
      </c>
      <c r="D35">
        <v>200708</v>
      </c>
      <c r="E35">
        <f>D35+1</f>
        <v>200709</v>
      </c>
      <c r="F35">
        <f>E35+1</f>
        <v>200710</v>
      </c>
      <c r="G35">
        <f>F35+1</f>
        <v>200711</v>
      </c>
      <c r="H35">
        <f>G35+1</f>
        <v>200712</v>
      </c>
      <c r="I35">
        <v>200801</v>
      </c>
      <c r="J35">
        <f>I35+1</f>
        <v>200802</v>
      </c>
      <c r="K35">
        <f>J35+1</f>
        <v>200803</v>
      </c>
      <c r="L35">
        <f>K35+1</f>
        <v>200804</v>
      </c>
      <c r="M35">
        <f>L35+1</f>
        <v>200805</v>
      </c>
      <c r="N35">
        <f>M35+1</f>
        <v>200806</v>
      </c>
      <c r="O35" t="s">
        <v>54</v>
      </c>
      <c r="P35" s="17"/>
    </row>
    <row r="36" spans="1:18">
      <c r="A36" s="5">
        <v>24</v>
      </c>
      <c r="B36" t="s">
        <v>96</v>
      </c>
      <c r="C36" s="15">
        <v>245856</v>
      </c>
      <c r="D36" s="12">
        <v>237043</v>
      </c>
      <c r="E36" s="12">
        <v>190545</v>
      </c>
      <c r="F36" s="12">
        <v>164203</v>
      </c>
      <c r="G36" s="12">
        <v>178325</v>
      </c>
      <c r="H36" s="12">
        <v>215598</v>
      </c>
      <c r="I36" s="12">
        <v>293514</v>
      </c>
      <c r="J36" s="12">
        <v>307172</v>
      </c>
      <c r="K36" s="12">
        <v>526995</v>
      </c>
      <c r="L36" s="12">
        <v>447110</v>
      </c>
      <c r="M36" s="12">
        <v>227293</v>
      </c>
      <c r="N36" s="12">
        <v>220660</v>
      </c>
      <c r="O36" s="13">
        <f t="shared" ref="O36:O48" si="3">SUM(C36:N36)</f>
        <v>3254314</v>
      </c>
      <c r="P36" s="17">
        <v>1.24E-3</v>
      </c>
      <c r="R36" s="21">
        <f t="shared" ref="R36:R44" si="4">P36*O36</f>
        <v>4035.3493600000002</v>
      </c>
    </row>
    <row r="37" spans="1:18">
      <c r="A37" s="5" t="s">
        <v>82</v>
      </c>
      <c r="B37" t="s">
        <v>97</v>
      </c>
      <c r="C37" s="16">
        <v>96</v>
      </c>
      <c r="D37" s="2">
        <v>-84</v>
      </c>
      <c r="E37" s="2">
        <v>545</v>
      </c>
      <c r="F37" s="2">
        <v>1302</v>
      </c>
      <c r="G37" s="2">
        <v>150</v>
      </c>
      <c r="H37" s="2">
        <v>557</v>
      </c>
      <c r="I37" s="2">
        <v>1396</v>
      </c>
      <c r="J37" s="2">
        <v>33</v>
      </c>
      <c r="K37" s="2">
        <v>1826</v>
      </c>
      <c r="L37" s="2">
        <v>1074</v>
      </c>
      <c r="M37" s="2">
        <v>0</v>
      </c>
      <c r="N37" s="2">
        <v>34</v>
      </c>
      <c r="O37" s="13">
        <f t="shared" si="3"/>
        <v>6929</v>
      </c>
      <c r="P37" s="17">
        <v>1.24E-3</v>
      </c>
      <c r="R37" s="21">
        <f t="shared" si="4"/>
        <v>8.5919600000000003</v>
      </c>
    </row>
    <row r="38" spans="1:18">
      <c r="A38" s="5">
        <v>24</v>
      </c>
      <c r="B38" t="s">
        <v>36</v>
      </c>
      <c r="C38" s="16">
        <v>1909641</v>
      </c>
      <c r="D38" s="2">
        <v>1806944</v>
      </c>
      <c r="E38" s="2">
        <v>1549411</v>
      </c>
      <c r="F38" s="2">
        <v>1277233</v>
      </c>
      <c r="G38" s="2">
        <v>1348630</v>
      </c>
      <c r="H38" s="2">
        <v>1329979</v>
      </c>
      <c r="I38" s="2">
        <v>1795617</v>
      </c>
      <c r="J38" s="2">
        <v>1427677</v>
      </c>
      <c r="K38" s="2">
        <v>1355114</v>
      </c>
      <c r="L38" s="2">
        <v>1254624</v>
      </c>
      <c r="M38" s="2">
        <v>1247407</v>
      </c>
      <c r="N38" s="2">
        <v>1703611</v>
      </c>
      <c r="O38" s="13">
        <f t="shared" si="3"/>
        <v>18005888</v>
      </c>
      <c r="P38" s="17">
        <v>1.24E-3</v>
      </c>
      <c r="R38" s="21">
        <f t="shared" si="4"/>
        <v>22327.30112</v>
      </c>
    </row>
    <row r="39" spans="1:18">
      <c r="A39" s="5" t="s">
        <v>78</v>
      </c>
      <c r="B39" t="s">
        <v>37</v>
      </c>
      <c r="C39" s="16">
        <v>2776</v>
      </c>
      <c r="D39" s="2">
        <v>2776</v>
      </c>
      <c r="E39" s="2">
        <v>2776</v>
      </c>
      <c r="F39" s="2">
        <v>2776</v>
      </c>
      <c r="G39" s="2">
        <v>2776</v>
      </c>
      <c r="H39" s="2">
        <v>2776</v>
      </c>
      <c r="I39" s="2">
        <v>2776</v>
      </c>
      <c r="J39" s="2">
        <v>2776</v>
      </c>
      <c r="K39" s="2">
        <v>2776</v>
      </c>
      <c r="L39" s="2">
        <v>2776</v>
      </c>
      <c r="M39" s="2">
        <v>2776</v>
      </c>
      <c r="N39" s="2">
        <v>2776</v>
      </c>
      <c r="O39" s="13">
        <f t="shared" si="3"/>
        <v>33312</v>
      </c>
      <c r="P39" s="17">
        <v>1.24E-3</v>
      </c>
      <c r="R39" s="21">
        <f t="shared" si="4"/>
        <v>41.30688</v>
      </c>
    </row>
    <row r="40" spans="1:18">
      <c r="A40" s="5">
        <v>36</v>
      </c>
      <c r="B40" t="s">
        <v>106</v>
      </c>
      <c r="C40" s="16">
        <v>100640</v>
      </c>
      <c r="D40" s="2">
        <v>95384</v>
      </c>
      <c r="E40" s="2">
        <v>73480</v>
      </c>
      <c r="F40" s="2">
        <v>80320</v>
      </c>
      <c r="G40" s="2">
        <v>87200</v>
      </c>
      <c r="H40" s="2">
        <v>113520</v>
      </c>
      <c r="I40" s="2">
        <v>168842</v>
      </c>
      <c r="J40" s="2">
        <v>199560</v>
      </c>
      <c r="K40" s="2">
        <v>987400</v>
      </c>
      <c r="L40" s="2">
        <v>1570360</v>
      </c>
      <c r="M40" s="2">
        <v>249680</v>
      </c>
      <c r="N40" s="2">
        <v>149720</v>
      </c>
      <c r="O40" s="13">
        <f t="shared" si="3"/>
        <v>3876106</v>
      </c>
      <c r="P40" s="17">
        <v>1.0200000000000001E-3</v>
      </c>
      <c r="R40" s="21">
        <f t="shared" si="4"/>
        <v>3953.6281200000003</v>
      </c>
    </row>
    <row r="41" spans="1:18">
      <c r="A41" s="5" t="s">
        <v>81</v>
      </c>
      <c r="B41" t="s">
        <v>93</v>
      </c>
      <c r="C41" s="16"/>
      <c r="D41" s="2"/>
      <c r="E41" s="2"/>
      <c r="F41" s="2">
        <v>54000</v>
      </c>
      <c r="G41" s="2">
        <v>-54000</v>
      </c>
      <c r="H41" s="2"/>
      <c r="I41" s="2"/>
      <c r="J41" s="2"/>
      <c r="K41" s="2"/>
      <c r="L41" s="2"/>
      <c r="M41" s="2"/>
      <c r="N41" s="2"/>
      <c r="O41" s="13">
        <f t="shared" si="3"/>
        <v>0</v>
      </c>
      <c r="P41" s="17">
        <v>8.3000000000000001E-4</v>
      </c>
      <c r="R41" s="21">
        <f t="shared" si="4"/>
        <v>0</v>
      </c>
    </row>
    <row r="42" spans="1:18">
      <c r="A42" s="5">
        <v>36</v>
      </c>
      <c r="B42" t="s">
        <v>38</v>
      </c>
      <c r="C42" s="16">
        <v>10318300</v>
      </c>
      <c r="D42" s="2">
        <v>12442180</v>
      </c>
      <c r="E42" s="2">
        <v>11211240</v>
      </c>
      <c r="F42" s="2">
        <v>9636920</v>
      </c>
      <c r="G42" s="2">
        <v>10839840</v>
      </c>
      <c r="H42" s="2">
        <v>9171000</v>
      </c>
      <c r="I42" s="2">
        <v>10177875</v>
      </c>
      <c r="J42" s="2">
        <v>10771855</v>
      </c>
      <c r="K42" s="2">
        <v>11930134</v>
      </c>
      <c r="L42" s="2">
        <v>13859241</v>
      </c>
      <c r="M42" s="2">
        <v>14520180</v>
      </c>
      <c r="N42" s="2">
        <v>11750660</v>
      </c>
      <c r="O42" s="13">
        <f t="shared" si="3"/>
        <v>136629425</v>
      </c>
      <c r="P42" s="17">
        <v>1.0200000000000001E-3</v>
      </c>
      <c r="R42" s="21">
        <f t="shared" si="4"/>
        <v>139362.0135</v>
      </c>
    </row>
    <row r="43" spans="1:18">
      <c r="A43" s="5" t="s">
        <v>80</v>
      </c>
      <c r="B43" t="s">
        <v>56</v>
      </c>
      <c r="C43" s="14">
        <v>2948000</v>
      </c>
      <c r="D43" s="2">
        <v>2612000</v>
      </c>
      <c r="E43" s="2">
        <v>2349000</v>
      </c>
      <c r="F43" s="2">
        <v>2241000</v>
      </c>
      <c r="G43" s="2">
        <v>1942000</v>
      </c>
      <c r="H43" s="2">
        <v>1761000</v>
      </c>
      <c r="I43" s="2">
        <v>2096000</v>
      </c>
      <c r="J43" s="2">
        <v>2221000</v>
      </c>
      <c r="K43" s="2">
        <v>1602000</v>
      </c>
      <c r="L43" s="2">
        <v>1544000</v>
      </c>
      <c r="M43" s="2">
        <v>1868000</v>
      </c>
      <c r="N43" s="2">
        <v>2647000</v>
      </c>
      <c r="O43" s="13">
        <f t="shared" si="3"/>
        <v>25831000</v>
      </c>
      <c r="P43" s="17">
        <v>8.3000000000000001E-4</v>
      </c>
      <c r="R43" s="21">
        <f t="shared" si="4"/>
        <v>21439.73</v>
      </c>
    </row>
    <row r="44" spans="1:18">
      <c r="A44" s="5" t="s">
        <v>30</v>
      </c>
      <c r="B44" t="s">
        <v>39</v>
      </c>
      <c r="C44" s="14">
        <v>49783800</v>
      </c>
      <c r="D44" s="2">
        <v>59340000</v>
      </c>
      <c r="E44" s="2">
        <v>57320600</v>
      </c>
      <c r="F44" s="2">
        <v>54656650</v>
      </c>
      <c r="G44" s="2">
        <v>55667450</v>
      </c>
      <c r="H44" s="2">
        <v>40957550</v>
      </c>
      <c r="I44" s="2">
        <v>56388555</v>
      </c>
      <c r="J44" s="2">
        <v>61600850</v>
      </c>
      <c r="K44" s="2">
        <v>60175601</v>
      </c>
      <c r="L44" s="2">
        <v>57164750</v>
      </c>
      <c r="M44" s="2">
        <v>58007500</v>
      </c>
      <c r="N44" s="2">
        <v>63661250</v>
      </c>
      <c r="O44" s="13">
        <f t="shared" si="3"/>
        <v>674724556</v>
      </c>
      <c r="P44" s="17">
        <v>8.3000000000000001E-4</v>
      </c>
      <c r="R44" s="21">
        <f t="shared" si="4"/>
        <v>560021.38147999998</v>
      </c>
    </row>
    <row r="45" spans="1:18">
      <c r="B45" t="s">
        <v>40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/>
      <c r="M45" s="2"/>
      <c r="N45" s="2"/>
      <c r="O45" s="13">
        <f t="shared" si="3"/>
        <v>0</v>
      </c>
    </row>
    <row r="46" spans="1:18">
      <c r="A46" s="5" t="s">
        <v>79</v>
      </c>
      <c r="B46" t="s">
        <v>46</v>
      </c>
      <c r="C46" s="14">
        <v>10756</v>
      </c>
      <c r="D46" s="2">
        <v>11243</v>
      </c>
      <c r="E46" s="2">
        <v>11348</v>
      </c>
      <c r="F46" s="2">
        <v>10494</v>
      </c>
      <c r="G46" s="2">
        <v>10714</v>
      </c>
      <c r="H46" s="2">
        <v>10392</v>
      </c>
      <c r="I46" s="2">
        <v>10322</v>
      </c>
      <c r="J46" s="2">
        <v>10317</v>
      </c>
      <c r="K46" s="2">
        <v>9746</v>
      </c>
      <c r="L46" s="2">
        <v>10468</v>
      </c>
      <c r="M46" s="2">
        <v>10361</v>
      </c>
      <c r="N46" s="2">
        <v>10770</v>
      </c>
      <c r="O46" s="13">
        <f t="shared" si="3"/>
        <v>126931</v>
      </c>
      <c r="P46" s="17">
        <v>1.09E-3</v>
      </c>
      <c r="R46" s="21">
        <f>P46*O46</f>
        <v>138.35479000000001</v>
      </c>
    </row>
    <row r="47" spans="1:18">
      <c r="A47" s="5" t="s">
        <v>79</v>
      </c>
      <c r="B47" t="s">
        <v>104</v>
      </c>
      <c r="C47" s="14">
        <v>2684</v>
      </c>
      <c r="D47" s="2">
        <v>2684</v>
      </c>
      <c r="E47" s="2">
        <v>2684</v>
      </c>
      <c r="F47" s="2">
        <v>2684</v>
      </c>
      <c r="G47" s="2">
        <v>2608</v>
      </c>
      <c r="H47" s="2">
        <v>2760</v>
      </c>
      <c r="I47" s="2">
        <v>2686</v>
      </c>
      <c r="J47" s="2">
        <v>2685</v>
      </c>
      <c r="K47" s="2">
        <v>2684</v>
      </c>
      <c r="L47" s="2">
        <v>2684</v>
      </c>
      <c r="M47" s="2">
        <v>2684</v>
      </c>
      <c r="N47" s="2">
        <v>2684</v>
      </c>
      <c r="O47" s="13">
        <f t="shared" si="3"/>
        <v>32211</v>
      </c>
      <c r="P47" s="17">
        <v>1.09E-3</v>
      </c>
      <c r="R47" s="21">
        <f>P47*O47</f>
        <v>35.109990000000003</v>
      </c>
    </row>
    <row r="48" spans="1:18">
      <c r="A48" s="5">
        <v>47</v>
      </c>
      <c r="B48" t="s">
        <v>57</v>
      </c>
      <c r="C48" s="14">
        <v>0</v>
      </c>
      <c r="D48" s="2">
        <v>420000</v>
      </c>
      <c r="E48" s="2">
        <v>0</v>
      </c>
      <c r="F48" s="2">
        <v>140000</v>
      </c>
      <c r="G48" s="2">
        <v>0</v>
      </c>
      <c r="H48" s="2">
        <v>140000</v>
      </c>
      <c r="I48" s="2">
        <v>140000</v>
      </c>
      <c r="J48" s="2">
        <v>140000</v>
      </c>
      <c r="K48" s="2">
        <v>140000</v>
      </c>
      <c r="L48" s="2">
        <v>140000</v>
      </c>
      <c r="M48" s="2">
        <v>140000</v>
      </c>
      <c r="N48" s="2">
        <v>140000</v>
      </c>
      <c r="O48" s="13">
        <f t="shared" si="3"/>
        <v>1540000</v>
      </c>
      <c r="P48" s="17">
        <v>8.3000000000000001E-4</v>
      </c>
      <c r="R48" s="21">
        <f>P48*O48</f>
        <v>1278.2</v>
      </c>
    </row>
    <row r="49" spans="1:18">
      <c r="A49" s="5" t="s">
        <v>8</v>
      </c>
      <c r="B49" t="s">
        <v>48</v>
      </c>
      <c r="C49" s="14"/>
      <c r="D49" s="2"/>
      <c r="E49" s="2"/>
      <c r="F49" s="2"/>
      <c r="G49" s="2"/>
      <c r="H49" s="2">
        <v>0</v>
      </c>
      <c r="I49" s="2"/>
      <c r="J49" s="2">
        <v>0</v>
      </c>
      <c r="K49" s="2"/>
      <c r="L49" s="2">
        <v>0</v>
      </c>
      <c r="M49" s="2"/>
      <c r="N49" s="2"/>
      <c r="O49">
        <v>0</v>
      </c>
    </row>
    <row r="50" spans="1:18">
      <c r="B50" t="s">
        <v>49</v>
      </c>
      <c r="C50" s="14"/>
      <c r="D50" s="2"/>
      <c r="E50" s="2"/>
      <c r="F50" s="2"/>
      <c r="G50" s="2"/>
      <c r="H50" s="2">
        <v>0</v>
      </c>
      <c r="I50" s="2"/>
      <c r="J50" s="2">
        <v>0</v>
      </c>
      <c r="K50" s="2"/>
      <c r="L50" s="2"/>
      <c r="M50" s="2"/>
      <c r="N50" s="2"/>
      <c r="O50">
        <v>0</v>
      </c>
    </row>
    <row r="51" spans="1:18">
      <c r="B51" t="s">
        <v>98</v>
      </c>
      <c r="C51" s="14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/>
      <c r="J51" s="2"/>
      <c r="K51" s="2"/>
      <c r="L51" s="2"/>
      <c r="M51" s="2"/>
      <c r="N51" s="2"/>
      <c r="O51">
        <v>0</v>
      </c>
    </row>
    <row r="52" spans="1:18">
      <c r="B52" t="s">
        <v>101</v>
      </c>
      <c r="C52" s="14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/>
      <c r="J52" s="2"/>
      <c r="K52" s="2"/>
      <c r="L52" s="2"/>
      <c r="M52" s="2"/>
      <c r="N52" s="2"/>
      <c r="O52">
        <v>0</v>
      </c>
    </row>
    <row r="53" spans="1:18">
      <c r="B53" t="s">
        <v>52</v>
      </c>
    </row>
    <row r="54" spans="1:18">
      <c r="C54" s="13">
        <f t="shared" ref="C54:O54" si="5">SUM(C36:C52)</f>
        <v>65322549</v>
      </c>
      <c r="D54" s="13">
        <f t="shared" si="5"/>
        <v>76970170</v>
      </c>
      <c r="E54" s="13">
        <f t="shared" si="5"/>
        <v>72711629</v>
      </c>
      <c r="F54" s="13">
        <f t="shared" si="5"/>
        <v>68267582</v>
      </c>
      <c r="G54" s="13">
        <f t="shared" si="5"/>
        <v>70025693</v>
      </c>
      <c r="H54" s="13">
        <f t="shared" si="5"/>
        <v>53705132</v>
      </c>
      <c r="I54" s="13">
        <f t="shared" si="5"/>
        <v>71077583</v>
      </c>
      <c r="J54" s="13">
        <f t="shared" si="5"/>
        <v>76683925</v>
      </c>
      <c r="K54" s="13">
        <f t="shared" si="5"/>
        <v>76734276</v>
      </c>
      <c r="L54" s="13">
        <f t="shared" si="5"/>
        <v>75997087</v>
      </c>
      <c r="M54" s="13">
        <f t="shared" si="5"/>
        <v>76275881</v>
      </c>
      <c r="N54" s="13">
        <f t="shared" si="5"/>
        <v>80289165</v>
      </c>
      <c r="O54" s="13">
        <f t="shared" si="5"/>
        <v>864060672</v>
      </c>
    </row>
    <row r="55" spans="1:18">
      <c r="B55" t="s">
        <v>58</v>
      </c>
    </row>
    <row r="56" spans="1:18">
      <c r="C56">
        <v>200707</v>
      </c>
      <c r="D56">
        <v>200708</v>
      </c>
      <c r="E56">
        <f>D56+1</f>
        <v>200709</v>
      </c>
      <c r="F56">
        <f>E56+1</f>
        <v>200710</v>
      </c>
      <c r="G56">
        <f>F56+1</f>
        <v>200711</v>
      </c>
      <c r="H56">
        <f>G56+1</f>
        <v>200712</v>
      </c>
      <c r="I56">
        <v>200801</v>
      </c>
      <c r="J56">
        <f>I56+1</f>
        <v>200802</v>
      </c>
      <c r="K56">
        <f>J56+1</f>
        <v>200803</v>
      </c>
      <c r="L56">
        <f>K56+1</f>
        <v>200804</v>
      </c>
      <c r="M56">
        <f>L56+1</f>
        <v>200805</v>
      </c>
      <c r="N56">
        <f>M56+1</f>
        <v>200806</v>
      </c>
      <c r="O56" t="s">
        <v>54</v>
      </c>
    </row>
    <row r="57" spans="1:18">
      <c r="A57" s="5">
        <v>40</v>
      </c>
      <c r="B57" t="s">
        <v>59</v>
      </c>
      <c r="C57" s="11">
        <v>124730</v>
      </c>
      <c r="D57" s="12">
        <v>162249</v>
      </c>
      <c r="E57" s="12">
        <v>1299080</v>
      </c>
      <c r="F57" s="12">
        <v>7016538</v>
      </c>
      <c r="G57" s="12">
        <v>14528558</v>
      </c>
      <c r="H57" s="12">
        <v>22434860</v>
      </c>
      <c r="I57" s="12">
        <v>27592080</v>
      </c>
      <c r="J57" s="12">
        <v>27861032</v>
      </c>
      <c r="K57" s="12">
        <v>22999788</v>
      </c>
      <c r="L57" s="12">
        <v>15185882</v>
      </c>
      <c r="M57" s="12">
        <v>4628381</v>
      </c>
      <c r="N57" s="12">
        <v>95256</v>
      </c>
      <c r="O57" s="13">
        <f t="shared" ref="O57:O68" si="6">SUM(C57:N57)</f>
        <v>143928434</v>
      </c>
      <c r="P57" s="17">
        <v>1.1299999999999999E-3</v>
      </c>
      <c r="R57" s="21">
        <f>P57*O57</f>
        <v>162639.13042</v>
      </c>
    </row>
    <row r="58" spans="1:18">
      <c r="A58" s="5" t="s">
        <v>83</v>
      </c>
      <c r="B58" t="s">
        <v>60</v>
      </c>
      <c r="C58" s="14">
        <v>102459</v>
      </c>
      <c r="D58" s="2">
        <v>42286</v>
      </c>
      <c r="E58" s="2">
        <v>64181</v>
      </c>
      <c r="F58" s="2">
        <v>1216993</v>
      </c>
      <c r="G58" s="2">
        <v>2153761</v>
      </c>
      <c r="H58" s="2">
        <v>2795376</v>
      </c>
      <c r="I58" s="2">
        <v>3573149</v>
      </c>
      <c r="J58" s="2">
        <v>4095509</v>
      </c>
      <c r="K58" s="2">
        <v>3017180</v>
      </c>
      <c r="L58" s="2">
        <v>2319141</v>
      </c>
      <c r="M58" s="2">
        <v>828689</v>
      </c>
      <c r="N58" s="2">
        <v>45789</v>
      </c>
      <c r="O58" s="13">
        <f t="shared" si="6"/>
        <v>20254513</v>
      </c>
      <c r="P58" s="17">
        <v>1.1299999999999999E-3</v>
      </c>
      <c r="R58" s="21">
        <f>P58*O58</f>
        <v>22887.599689999999</v>
      </c>
    </row>
    <row r="59" spans="1:18">
      <c r="B59" t="s">
        <v>40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13">
        <f t="shared" si="6"/>
        <v>0</v>
      </c>
    </row>
    <row r="60" spans="1:18">
      <c r="B60" t="s">
        <v>41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 s="13">
        <f t="shared" si="6"/>
        <v>0</v>
      </c>
    </row>
    <row r="61" spans="1:18">
      <c r="A61" s="5" t="s">
        <v>8</v>
      </c>
      <c r="B61" t="s">
        <v>42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 s="13">
        <f t="shared" si="6"/>
        <v>0</v>
      </c>
    </row>
    <row r="62" spans="1:18">
      <c r="A62" s="5" t="s">
        <v>8</v>
      </c>
      <c r="B62" t="s">
        <v>43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s="13">
        <f t="shared" si="6"/>
        <v>0</v>
      </c>
    </row>
    <row r="63" spans="1:18">
      <c r="A63" s="5" t="s">
        <v>8</v>
      </c>
      <c r="B63" t="s">
        <v>44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13">
        <f t="shared" si="6"/>
        <v>0</v>
      </c>
    </row>
    <row r="64" spans="1:18">
      <c r="B64" s="6" t="s">
        <v>112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13">
        <f t="shared" si="6"/>
        <v>0</v>
      </c>
    </row>
    <row r="65" spans="1:18">
      <c r="B65" s="6" t="s">
        <v>113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13">
        <f t="shared" si="6"/>
        <v>0</v>
      </c>
    </row>
    <row r="66" spans="1:18">
      <c r="A66" s="5" t="s">
        <v>8</v>
      </c>
      <c r="B66" t="s">
        <v>48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 s="13">
        <f t="shared" si="6"/>
        <v>0</v>
      </c>
    </row>
    <row r="67" spans="1:18">
      <c r="A67" s="5" t="s">
        <v>8</v>
      </c>
      <c r="B67" t="s">
        <v>49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 s="13">
        <f t="shared" si="6"/>
        <v>0</v>
      </c>
    </row>
    <row r="68" spans="1:18">
      <c r="A68" s="5" t="s">
        <v>8</v>
      </c>
      <c r="B68" t="s">
        <v>61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s="13">
        <f t="shared" si="6"/>
        <v>0</v>
      </c>
    </row>
    <row r="69" spans="1:18">
      <c r="C69" s="13">
        <f>SUM(C57:C68)</f>
        <v>227189</v>
      </c>
      <c r="D69" s="13">
        <v>197601</v>
      </c>
      <c r="E69" s="13">
        <v>775917</v>
      </c>
      <c r="F69" s="13">
        <v>9268537</v>
      </c>
      <c r="G69" s="13">
        <f>SUM(C69:F69)</f>
        <v>10469244</v>
      </c>
      <c r="H69" s="13">
        <v>13670831</v>
      </c>
      <c r="I69" s="13">
        <v>27350041</v>
      </c>
      <c r="J69" s="13">
        <v>33739633</v>
      </c>
      <c r="K69" s="13">
        <v>28176106</v>
      </c>
      <c r="L69" s="13">
        <v>17440142</v>
      </c>
      <c r="M69" s="13">
        <v>6008504</v>
      </c>
      <c r="N69" s="13">
        <v>295653</v>
      </c>
      <c r="O69" s="13">
        <f>SUM(O57:O68)</f>
        <v>164182947</v>
      </c>
    </row>
    <row r="70" spans="1:18">
      <c r="B70" t="s">
        <v>65</v>
      </c>
    </row>
    <row r="71" spans="1:18">
      <c r="C71">
        <v>200707</v>
      </c>
      <c r="D71">
        <v>200708</v>
      </c>
      <c r="E71">
        <f>D71+1</f>
        <v>200709</v>
      </c>
      <c r="F71">
        <f>E71+1</f>
        <v>200710</v>
      </c>
      <c r="G71">
        <f>F71+1</f>
        <v>200711</v>
      </c>
      <c r="H71">
        <f>G71+1</f>
        <v>200712</v>
      </c>
      <c r="I71">
        <v>200801</v>
      </c>
      <c r="J71">
        <f>I71+1</f>
        <v>200802</v>
      </c>
      <c r="K71">
        <f>J71+1</f>
        <v>200803</v>
      </c>
      <c r="L71">
        <f>K71+1</f>
        <v>200804</v>
      </c>
      <c r="M71">
        <f>L71+1</f>
        <v>200805</v>
      </c>
      <c r="N71">
        <f>M71+1</f>
        <v>200806</v>
      </c>
      <c r="O71" t="s">
        <v>54</v>
      </c>
    </row>
    <row r="72" spans="1:18">
      <c r="B72" t="s">
        <v>66</v>
      </c>
      <c r="C72" s="11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2">
        <f t="shared" ref="O72:O77" si="7">SUM(C72:N72)</f>
        <v>0</v>
      </c>
    </row>
    <row r="73" spans="1:18">
      <c r="A73" s="5">
        <v>52</v>
      </c>
      <c r="B73" t="s">
        <v>67</v>
      </c>
      <c r="C73" s="14">
        <v>39116</v>
      </c>
      <c r="D73" s="2">
        <v>39034</v>
      </c>
      <c r="E73" s="2">
        <v>37272</v>
      </c>
      <c r="F73" s="2">
        <v>37252</v>
      </c>
      <c r="G73" s="2">
        <v>37208</v>
      </c>
      <c r="H73" s="2">
        <v>37208</v>
      </c>
      <c r="I73" s="2">
        <v>37678</v>
      </c>
      <c r="J73" s="2">
        <v>37814</v>
      </c>
      <c r="K73" s="2">
        <v>37522</v>
      </c>
      <c r="L73" s="2">
        <v>37522</v>
      </c>
      <c r="M73" s="2">
        <v>37522</v>
      </c>
      <c r="N73" s="2">
        <v>37478</v>
      </c>
      <c r="O73" s="2">
        <f t="shared" si="7"/>
        <v>452626</v>
      </c>
      <c r="P73" s="17">
        <v>1.09E-3</v>
      </c>
      <c r="R73" s="21">
        <f>P73*O73</f>
        <v>493.36234000000002</v>
      </c>
    </row>
    <row r="74" spans="1:18">
      <c r="A74" s="5" t="s">
        <v>84</v>
      </c>
      <c r="B74" t="s">
        <v>68</v>
      </c>
      <c r="C74" s="14">
        <v>276471</v>
      </c>
      <c r="D74" s="2">
        <v>290547</v>
      </c>
      <c r="E74" s="2">
        <v>288752</v>
      </c>
      <c r="F74" s="2">
        <v>285340</v>
      </c>
      <c r="G74" s="2">
        <v>286822</v>
      </c>
      <c r="H74" s="2">
        <v>286785</v>
      </c>
      <c r="I74" s="2">
        <v>289392</v>
      </c>
      <c r="J74" s="2">
        <v>288158</v>
      </c>
      <c r="K74" s="2">
        <v>278871</v>
      </c>
      <c r="L74" s="2">
        <v>296043</v>
      </c>
      <c r="M74" s="2">
        <v>274250</v>
      </c>
      <c r="N74" s="2">
        <v>291719</v>
      </c>
      <c r="O74" s="2">
        <f t="shared" si="7"/>
        <v>3433150</v>
      </c>
      <c r="P74" s="17">
        <v>1.09E-3</v>
      </c>
      <c r="R74" s="21">
        <f>P74*O74</f>
        <v>3742.1334999999999</v>
      </c>
    </row>
    <row r="75" spans="1:18">
      <c r="A75" s="5" t="s">
        <v>85</v>
      </c>
      <c r="B75" t="s">
        <v>69</v>
      </c>
      <c r="C75" s="14">
        <v>107921</v>
      </c>
      <c r="D75" s="2">
        <v>113134</v>
      </c>
      <c r="E75" s="2">
        <v>93288</v>
      </c>
      <c r="F75" s="2">
        <v>78692</v>
      </c>
      <c r="G75" s="2">
        <v>73504</v>
      </c>
      <c r="H75" s="2">
        <v>67123</v>
      </c>
      <c r="I75" s="2">
        <v>59224</v>
      </c>
      <c r="J75" s="2">
        <v>66326</v>
      </c>
      <c r="K75" s="2">
        <v>68501</v>
      </c>
      <c r="L75" s="2">
        <v>91363</v>
      </c>
      <c r="M75" s="2">
        <v>83603</v>
      </c>
      <c r="N75" s="2">
        <v>115636</v>
      </c>
      <c r="O75" s="2">
        <f t="shared" si="7"/>
        <v>1018315</v>
      </c>
      <c r="P75" s="17">
        <v>1.09E-3</v>
      </c>
      <c r="R75" s="21">
        <f>P75*O75</f>
        <v>1109.96335</v>
      </c>
    </row>
    <row r="76" spans="1:18">
      <c r="A76" s="5">
        <v>51</v>
      </c>
      <c r="B76" t="s">
        <v>70</v>
      </c>
      <c r="C76" s="14">
        <v>261534</v>
      </c>
      <c r="D76" s="2">
        <v>236821</v>
      </c>
      <c r="E76" s="2">
        <v>217887</v>
      </c>
      <c r="F76" s="2">
        <v>244442</v>
      </c>
      <c r="G76" s="2">
        <v>270529</v>
      </c>
      <c r="H76" s="2">
        <v>244741</v>
      </c>
      <c r="I76" s="2">
        <v>245152</v>
      </c>
      <c r="J76" s="2">
        <v>248212</v>
      </c>
      <c r="K76" s="2">
        <v>221114</v>
      </c>
      <c r="L76" s="2">
        <v>247975</v>
      </c>
      <c r="M76" s="2">
        <v>246781</v>
      </c>
      <c r="N76" s="2">
        <v>248442</v>
      </c>
      <c r="O76" s="2">
        <f t="shared" si="7"/>
        <v>2933630</v>
      </c>
      <c r="P76" s="17">
        <v>1.09E-3</v>
      </c>
      <c r="R76" s="21">
        <f>P76*O76</f>
        <v>3197.6567</v>
      </c>
    </row>
    <row r="77" spans="1:18">
      <c r="A77" s="5">
        <v>57</v>
      </c>
      <c r="B77" t="s">
        <v>71</v>
      </c>
      <c r="C77" s="14">
        <v>177159</v>
      </c>
      <c r="D77" s="2">
        <v>174004</v>
      </c>
      <c r="E77" s="2">
        <v>171585</v>
      </c>
      <c r="F77" s="2">
        <v>171220</v>
      </c>
      <c r="G77" s="2">
        <v>172424</v>
      </c>
      <c r="H77" s="2">
        <v>170016</v>
      </c>
      <c r="I77" s="2">
        <v>173034</v>
      </c>
      <c r="J77" s="2">
        <v>170420</v>
      </c>
      <c r="K77" s="2">
        <v>168890</v>
      </c>
      <c r="L77" s="2">
        <v>170578</v>
      </c>
      <c r="M77" s="2">
        <v>169577</v>
      </c>
      <c r="N77" s="2">
        <v>170320</v>
      </c>
      <c r="O77" s="2">
        <f t="shared" si="7"/>
        <v>2059227</v>
      </c>
      <c r="P77" s="17">
        <v>1.09E-3</v>
      </c>
      <c r="R77" s="21">
        <f>P77*O77</f>
        <v>2244.5574300000003</v>
      </c>
    </row>
    <row r="78" spans="1:18">
      <c r="B78" t="s">
        <v>48</v>
      </c>
      <c r="C78" s="14"/>
      <c r="D78" s="2"/>
      <c r="E78" s="2"/>
      <c r="F78" s="2"/>
      <c r="G78" s="2"/>
      <c r="H78" s="2"/>
      <c r="I78" s="2"/>
      <c r="J78" s="2"/>
      <c r="K78" s="2"/>
      <c r="L78" s="2">
        <v>0</v>
      </c>
      <c r="M78" s="2"/>
      <c r="N78" s="2"/>
      <c r="O78" s="13"/>
      <c r="P78" s="17"/>
      <c r="R78" s="21"/>
    </row>
    <row r="79" spans="1:18">
      <c r="B79" t="s">
        <v>49</v>
      </c>
      <c r="C79" s="14"/>
      <c r="D79" s="2">
        <v>0</v>
      </c>
      <c r="E79" s="2"/>
      <c r="F79" s="2"/>
      <c r="G79" s="2"/>
      <c r="H79" s="2"/>
      <c r="I79" s="2"/>
      <c r="J79" s="2"/>
      <c r="K79" s="2"/>
      <c r="L79" s="2">
        <v>0</v>
      </c>
      <c r="M79" s="2"/>
      <c r="N79" s="2"/>
      <c r="O79" s="13"/>
      <c r="P79" s="17"/>
      <c r="R79" s="21"/>
    </row>
    <row r="80" spans="1:18">
      <c r="A80" s="5" t="s">
        <v>8</v>
      </c>
      <c r="B80" t="s">
        <v>52</v>
      </c>
      <c r="C80" s="14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</row>
    <row r="81" spans="1:18">
      <c r="A81" s="5" t="s">
        <v>8</v>
      </c>
      <c r="C81" s="13">
        <f t="shared" ref="C81:O81" si="8">SUM(C72:C80)</f>
        <v>862201</v>
      </c>
      <c r="D81" s="13">
        <f t="shared" si="8"/>
        <v>853540</v>
      </c>
      <c r="E81" s="13">
        <f t="shared" si="8"/>
        <v>808784</v>
      </c>
      <c r="F81" s="13">
        <f t="shared" si="8"/>
        <v>816946</v>
      </c>
      <c r="G81" s="13">
        <f t="shared" si="8"/>
        <v>840487</v>
      </c>
      <c r="H81" s="13">
        <f t="shared" si="8"/>
        <v>805873</v>
      </c>
      <c r="I81" s="13">
        <f t="shared" si="8"/>
        <v>804480</v>
      </c>
      <c r="J81" s="13">
        <f t="shared" si="8"/>
        <v>810930</v>
      </c>
      <c r="K81" s="13">
        <f t="shared" si="8"/>
        <v>774898</v>
      </c>
      <c r="L81" s="13">
        <f t="shared" si="8"/>
        <v>843481</v>
      </c>
      <c r="M81" s="13">
        <f t="shared" si="8"/>
        <v>811733</v>
      </c>
      <c r="N81" s="13">
        <f t="shared" si="8"/>
        <v>863595</v>
      </c>
      <c r="O81" s="13">
        <f t="shared" si="8"/>
        <v>9896948</v>
      </c>
    </row>
    <row r="82" spans="1:18">
      <c r="A82" s="5" t="s">
        <v>8</v>
      </c>
      <c r="B82" t="s">
        <v>72</v>
      </c>
    </row>
    <row r="83" spans="1:18">
      <c r="A83" s="5" t="s">
        <v>8</v>
      </c>
      <c r="C83">
        <v>200707</v>
      </c>
      <c r="D83">
        <v>200708</v>
      </c>
      <c r="E83">
        <f>D83+1</f>
        <v>200709</v>
      </c>
      <c r="F83">
        <f>E83+1</f>
        <v>200710</v>
      </c>
      <c r="G83">
        <f>F83+1</f>
        <v>200711</v>
      </c>
      <c r="H83">
        <f>G83+1</f>
        <v>200712</v>
      </c>
      <c r="I83">
        <v>200801</v>
      </c>
      <c r="J83">
        <f>I83+1</f>
        <v>200802</v>
      </c>
      <c r="K83">
        <f>J83+1</f>
        <v>200803</v>
      </c>
      <c r="L83">
        <f>K83+1</f>
        <v>200804</v>
      </c>
      <c r="M83">
        <f>L83+1</f>
        <v>200805</v>
      </c>
      <c r="N83">
        <f>M83+1</f>
        <v>200806</v>
      </c>
      <c r="O83" t="s">
        <v>54</v>
      </c>
    </row>
    <row r="84" spans="1:18">
      <c r="B84" s="22" t="s">
        <v>114</v>
      </c>
      <c r="C84" s="11"/>
      <c r="D84" s="12"/>
      <c r="E84" s="12"/>
      <c r="F84" s="12"/>
      <c r="G84" s="12"/>
      <c r="H84" s="12"/>
      <c r="I84" s="12"/>
      <c r="J84" s="12">
        <v>0</v>
      </c>
      <c r="K84" s="12"/>
      <c r="L84" s="12"/>
      <c r="M84" s="12">
        <v>0</v>
      </c>
      <c r="N84" s="12"/>
      <c r="O84" s="2">
        <f t="shared" ref="O84:O95" si="9">SUM(C84:N84)</f>
        <v>0</v>
      </c>
    </row>
    <row r="85" spans="1:18">
      <c r="A85" s="5" t="s">
        <v>8</v>
      </c>
      <c r="B85" t="s">
        <v>43</v>
      </c>
      <c r="C85" s="14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f t="shared" si="9"/>
        <v>0</v>
      </c>
    </row>
    <row r="86" spans="1:18">
      <c r="A86" s="5" t="s">
        <v>86</v>
      </c>
      <c r="B86" t="s">
        <v>107</v>
      </c>
      <c r="C86" s="14">
        <v>96033</v>
      </c>
      <c r="D86" s="2">
        <v>102581</v>
      </c>
      <c r="E86" s="2">
        <v>98161</v>
      </c>
      <c r="F86" s="2">
        <v>96801</v>
      </c>
      <c r="G86" s="2">
        <v>101713</v>
      </c>
      <c r="H86" s="2">
        <v>97522</v>
      </c>
      <c r="I86" s="2">
        <v>98076</v>
      </c>
      <c r="J86" s="2">
        <v>97431</v>
      </c>
      <c r="K86" s="2">
        <v>94196</v>
      </c>
      <c r="L86" s="2">
        <v>97685</v>
      </c>
      <c r="M86" s="2">
        <v>96036</v>
      </c>
      <c r="N86" s="2">
        <v>96187</v>
      </c>
      <c r="O86" s="2">
        <f t="shared" si="9"/>
        <v>1172422</v>
      </c>
      <c r="P86" s="17">
        <v>1.09E-3</v>
      </c>
      <c r="R86" s="21">
        <f>P86*O86</f>
        <v>1277.9399800000001</v>
      </c>
    </row>
    <row r="87" spans="1:18">
      <c r="A87" s="5">
        <v>16</v>
      </c>
      <c r="B87" t="s">
        <v>73</v>
      </c>
      <c r="C87" s="14">
        <v>208728854</v>
      </c>
      <c r="D87" s="2">
        <v>192294557</v>
      </c>
      <c r="E87" s="2">
        <v>139201527</v>
      </c>
      <c r="F87" s="2">
        <v>110523128</v>
      </c>
      <c r="G87" s="2">
        <v>97501475</v>
      </c>
      <c r="H87" s="2">
        <v>94591910</v>
      </c>
      <c r="I87" s="2">
        <v>114063547</v>
      </c>
      <c r="J87" s="2">
        <v>121993355</v>
      </c>
      <c r="K87" s="2">
        <v>102349329</v>
      </c>
      <c r="L87" s="2">
        <v>93719602</v>
      </c>
      <c r="M87" s="2">
        <v>122711460</v>
      </c>
      <c r="N87" s="2">
        <v>181663338</v>
      </c>
      <c r="O87" s="2">
        <f t="shared" si="9"/>
        <v>1579342082</v>
      </c>
      <c r="P87" s="17">
        <v>1.2199999999999999E-3</v>
      </c>
      <c r="R87" s="21">
        <f>P87*O87</f>
        <v>1926797.3400399999</v>
      </c>
    </row>
    <row r="88" spans="1:18">
      <c r="A88" s="5">
        <v>17</v>
      </c>
      <c r="B88" t="s">
        <v>74</v>
      </c>
      <c r="C88" s="14">
        <v>6943483</v>
      </c>
      <c r="D88" s="2">
        <v>6819158</v>
      </c>
      <c r="E88" s="2">
        <v>5017558</v>
      </c>
      <c r="F88" s="2">
        <v>3565575</v>
      </c>
      <c r="G88" s="2">
        <v>2801635</v>
      </c>
      <c r="H88" s="2">
        <v>2210918</v>
      </c>
      <c r="I88" s="2">
        <v>2418611</v>
      </c>
      <c r="J88" s="2">
        <v>2445134</v>
      </c>
      <c r="K88" s="2">
        <v>1554422</v>
      </c>
      <c r="L88" s="2">
        <v>1767989</v>
      </c>
      <c r="M88" s="2">
        <v>3674873</v>
      </c>
      <c r="N88" s="2">
        <v>6622568</v>
      </c>
      <c r="O88" s="2">
        <f t="shared" si="9"/>
        <v>45841924</v>
      </c>
      <c r="P88" s="17">
        <v>1.2199999999999999E-3</v>
      </c>
      <c r="R88" s="21">
        <f>P88*O88</f>
        <v>55927.147279999997</v>
      </c>
    </row>
    <row r="89" spans="1:18">
      <c r="A89" s="5">
        <v>18</v>
      </c>
      <c r="B89" t="s">
        <v>76</v>
      </c>
      <c r="C89" s="14">
        <v>277527</v>
      </c>
      <c r="D89" s="2">
        <v>282459</v>
      </c>
      <c r="E89" s="2">
        <v>220886</v>
      </c>
      <c r="F89" s="2">
        <v>205763</v>
      </c>
      <c r="G89" s="2">
        <v>191937</v>
      </c>
      <c r="H89" s="2">
        <v>205945</v>
      </c>
      <c r="I89" s="2">
        <v>247950</v>
      </c>
      <c r="J89" s="2">
        <v>250179</v>
      </c>
      <c r="K89" s="2">
        <v>213978</v>
      </c>
      <c r="L89" s="2">
        <v>188874</v>
      </c>
      <c r="M89" s="2">
        <v>201556</v>
      </c>
      <c r="N89" s="2">
        <v>257499</v>
      </c>
      <c r="O89" s="2">
        <f t="shared" si="9"/>
        <v>2744553</v>
      </c>
      <c r="P89" s="17">
        <v>1.2199999999999999E-3</v>
      </c>
      <c r="R89" s="21">
        <f>P89*O89</f>
        <v>3348.35466</v>
      </c>
    </row>
    <row r="90" spans="1:18">
      <c r="A90" s="5" t="s">
        <v>87</v>
      </c>
      <c r="B90" t="s">
        <v>77</v>
      </c>
      <c r="C90" s="14">
        <v>79539</v>
      </c>
      <c r="D90" s="2">
        <v>71861</v>
      </c>
      <c r="E90" s="2">
        <v>65956</v>
      </c>
      <c r="F90" s="2">
        <v>53835</v>
      </c>
      <c r="G90" s="2">
        <v>58265</v>
      </c>
      <c r="H90" s="2">
        <v>42371</v>
      </c>
      <c r="I90" s="2">
        <v>68542</v>
      </c>
      <c r="J90" s="2">
        <v>68348</v>
      </c>
      <c r="K90" s="2">
        <v>54179</v>
      </c>
      <c r="L90" s="2">
        <v>40639</v>
      </c>
      <c r="M90" s="2">
        <v>47570</v>
      </c>
      <c r="N90" s="2">
        <v>58886</v>
      </c>
      <c r="O90" s="2">
        <f t="shared" si="9"/>
        <v>709991</v>
      </c>
      <c r="P90" s="17">
        <v>1.2199999999999999E-3</v>
      </c>
      <c r="R90" s="21">
        <f>P90*O90</f>
        <v>866.18901999999991</v>
      </c>
    </row>
    <row r="91" spans="1:18">
      <c r="B91" t="s">
        <v>48</v>
      </c>
      <c r="C91" s="14">
        <v>0</v>
      </c>
      <c r="D91" s="2">
        <v>0</v>
      </c>
      <c r="E91" s="2">
        <v>0</v>
      </c>
      <c r="F91" s="2"/>
      <c r="G91" s="2"/>
      <c r="H91" s="2"/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9"/>
        <v>0</v>
      </c>
    </row>
    <row r="92" spans="1:18">
      <c r="B92" t="s">
        <v>49</v>
      </c>
      <c r="C92" s="14"/>
      <c r="D92" s="2"/>
      <c r="E92" s="2">
        <v>0</v>
      </c>
      <c r="F92" s="2">
        <v>0</v>
      </c>
      <c r="G92" s="2"/>
      <c r="H92" s="2"/>
      <c r="I92" s="2"/>
      <c r="J92" s="2"/>
      <c r="K92" s="2">
        <v>0</v>
      </c>
      <c r="L92" s="2">
        <v>0</v>
      </c>
      <c r="M92" s="2"/>
      <c r="N92" s="2"/>
      <c r="O92" s="2">
        <f t="shared" si="9"/>
        <v>0</v>
      </c>
    </row>
    <row r="93" spans="1:18">
      <c r="B93" t="s">
        <v>94</v>
      </c>
      <c r="C93" s="14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f t="shared" si="9"/>
        <v>0</v>
      </c>
    </row>
    <row r="94" spans="1:18">
      <c r="B94" t="s">
        <v>98</v>
      </c>
      <c r="C94" s="14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/>
      <c r="J94" s="2"/>
      <c r="K94" s="2"/>
      <c r="L94" s="2"/>
      <c r="M94" s="2"/>
      <c r="N94" s="2"/>
      <c r="O94" s="2">
        <f t="shared" si="9"/>
        <v>0</v>
      </c>
    </row>
    <row r="95" spans="1:18">
      <c r="B95" t="s">
        <v>101</v>
      </c>
      <c r="C95" s="14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/>
      <c r="J95" s="2"/>
      <c r="K95" s="2"/>
      <c r="L95" s="2"/>
      <c r="M95" s="2"/>
      <c r="N95" s="2"/>
      <c r="O95" s="2">
        <f t="shared" si="9"/>
        <v>0</v>
      </c>
    </row>
    <row r="96" spans="1:18">
      <c r="B96" t="s">
        <v>52</v>
      </c>
    </row>
    <row r="97" spans="3:18">
      <c r="C97" s="13">
        <f t="shared" ref="C97:O97" si="10">SUM(C84:C95)</f>
        <v>216125436</v>
      </c>
      <c r="D97" s="13">
        <f t="shared" si="10"/>
        <v>199570616</v>
      </c>
      <c r="E97" s="13">
        <f t="shared" si="10"/>
        <v>144604088</v>
      </c>
      <c r="F97" s="13">
        <f t="shared" si="10"/>
        <v>114445102</v>
      </c>
      <c r="G97" s="13">
        <f t="shared" si="10"/>
        <v>100655025</v>
      </c>
      <c r="H97" s="13">
        <f t="shared" si="10"/>
        <v>97148666</v>
      </c>
      <c r="I97" s="13">
        <f t="shared" si="10"/>
        <v>116896726</v>
      </c>
      <c r="J97" s="13">
        <f t="shared" si="10"/>
        <v>124854447</v>
      </c>
      <c r="K97" s="13">
        <f t="shared" si="10"/>
        <v>104266104</v>
      </c>
      <c r="L97" s="13">
        <f t="shared" si="10"/>
        <v>95814789</v>
      </c>
      <c r="M97" s="13">
        <f t="shared" si="10"/>
        <v>126731495</v>
      </c>
      <c r="N97" s="13">
        <f t="shared" si="10"/>
        <v>188698478</v>
      </c>
      <c r="O97" s="13">
        <f t="shared" si="10"/>
        <v>1629810972</v>
      </c>
      <c r="R97" s="21">
        <f>SUM(R8:R96)</f>
        <v>4474033.4386200001</v>
      </c>
    </row>
    <row r="99" spans="3:18">
      <c r="O99" s="13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zoomScale="85" zoomScaleNormal="85" workbookViewId="0">
      <selection activeCell="H9" sqref="H9"/>
    </sheetView>
  </sheetViews>
  <sheetFormatPr defaultColWidth="9" defaultRowHeight="15.35"/>
  <cols>
    <col min="1" max="1" width="9" style="24"/>
    <col min="2" max="2" width="40.33203125" style="1" customWidth="1"/>
    <col min="3" max="3" width="14.6640625" style="1" customWidth="1"/>
    <col min="4" max="4" width="10.5" style="1" bestFit="1" customWidth="1"/>
    <col min="5" max="5" width="2.1640625" style="1" customWidth="1"/>
    <col min="6" max="6" width="14.33203125" style="1" bestFit="1" customWidth="1"/>
    <col min="7" max="7" width="9" style="1"/>
    <col min="8" max="8" width="12.33203125" style="1" bestFit="1" customWidth="1"/>
    <col min="9" max="16384" width="9" style="1"/>
  </cols>
  <sheetData>
    <row r="2" spans="1:8">
      <c r="A2" s="19" t="e">
        <f>#REF!</f>
        <v>#REF!</v>
      </c>
      <c r="B2" s="19"/>
    </row>
    <row r="3" spans="1:8">
      <c r="A3" s="19" t="e">
        <f>#REF!</f>
        <v>#REF!</v>
      </c>
      <c r="B3" s="19"/>
    </row>
    <row r="4" spans="1:8">
      <c r="A4" s="19" t="e">
        <f>#REF!</f>
        <v>#REF!</v>
      </c>
      <c r="B4" s="19"/>
      <c r="F4" s="25"/>
    </row>
    <row r="5" spans="1:8">
      <c r="B5" s="35"/>
    </row>
    <row r="6" spans="1:8">
      <c r="B6" s="1" t="s">
        <v>35</v>
      </c>
      <c r="D6" s="9"/>
      <c r="F6" s="27" t="s">
        <v>2</v>
      </c>
      <c r="H6" s="1" t="s">
        <v>151</v>
      </c>
    </row>
    <row r="7" spans="1:8">
      <c r="C7" s="1" t="s">
        <v>109</v>
      </c>
      <c r="D7" s="9" t="s">
        <v>135</v>
      </c>
      <c r="F7" s="27" t="s">
        <v>0</v>
      </c>
      <c r="H7" s="28" t="s">
        <v>116</v>
      </c>
    </row>
    <row r="8" spans="1:8">
      <c r="A8" s="24">
        <v>24</v>
      </c>
      <c r="B8" s="33" t="s">
        <v>14</v>
      </c>
      <c r="C8" s="4" t="e">
        <f>SUMIF(#REF!,'Hydro Deferral'!A8,#REF!)</f>
        <v>#REF!</v>
      </c>
      <c r="D8" s="36">
        <v>5.5000000000000003E-4</v>
      </c>
      <c r="F8" s="26" t="e">
        <f>C8*D8*$H$8/366</f>
        <v>#REF!</v>
      </c>
      <c r="H8" s="1">
        <v>351</v>
      </c>
    </row>
    <row r="9" spans="1:8">
      <c r="A9" s="24" t="s">
        <v>78</v>
      </c>
      <c r="B9" s="33" t="s">
        <v>15</v>
      </c>
      <c r="C9" s="4" t="e">
        <f>SUMIF(#REF!,'Hydro Deferral'!A9,#REF!)</f>
        <v>#REF!</v>
      </c>
      <c r="D9" s="36">
        <v>5.5000000000000003E-4</v>
      </c>
      <c r="F9" s="26" t="e">
        <f t="shared" ref="F9:F14" si="0">C9*D9*$H$8/366</f>
        <v>#REF!</v>
      </c>
      <c r="H9" s="32"/>
    </row>
    <row r="10" spans="1:8">
      <c r="A10" s="24" t="s">
        <v>82</v>
      </c>
      <c r="B10" s="33" t="s">
        <v>20</v>
      </c>
      <c r="C10" s="4" t="e">
        <f>SUMIF(#REF!,'Hydro Deferral'!A10,#REF!)</f>
        <v>#REF!</v>
      </c>
      <c r="D10" s="36">
        <v>5.5000000000000003E-4</v>
      </c>
      <c r="F10" s="26" t="e">
        <f t="shared" si="0"/>
        <v>#REF!</v>
      </c>
      <c r="H10" s="32"/>
    </row>
    <row r="11" spans="1:8">
      <c r="A11" s="24">
        <v>36</v>
      </c>
      <c r="B11" s="33" t="s">
        <v>16</v>
      </c>
      <c r="C11" s="4" t="e">
        <f>SUMIF(#REF!,'Hydro Deferral'!A11,#REF!)</f>
        <v>#REF!</v>
      </c>
      <c r="D11" s="36">
        <v>4.6000000000000001E-4</v>
      </c>
      <c r="F11" s="26" t="e">
        <f t="shared" si="0"/>
        <v>#REF!</v>
      </c>
      <c r="H11" s="32"/>
    </row>
    <row r="12" spans="1:8">
      <c r="A12" s="24" t="s">
        <v>81</v>
      </c>
      <c r="B12" s="33" t="s">
        <v>17</v>
      </c>
      <c r="C12" s="4" t="e">
        <f>SUMIF(#REF!,'Hydro Deferral'!A12,#REF!)</f>
        <v>#REF!</v>
      </c>
      <c r="D12" s="36">
        <v>3.8000000000000002E-4</v>
      </c>
      <c r="F12" s="26" t="e">
        <f t="shared" si="0"/>
        <v>#REF!</v>
      </c>
      <c r="H12" s="32"/>
    </row>
    <row r="13" spans="1:8">
      <c r="A13" s="24" t="s">
        <v>79</v>
      </c>
      <c r="B13" s="33" t="s">
        <v>18</v>
      </c>
      <c r="C13" s="4" t="e">
        <f>SUMIF(#REF!,'Hydro Deferral'!A13,#REF!)</f>
        <v>#REF!</v>
      </c>
      <c r="D13" s="36">
        <v>1.06E-3</v>
      </c>
      <c r="F13" s="26" t="e">
        <f t="shared" si="0"/>
        <v>#REF!</v>
      </c>
      <c r="H13" s="32"/>
    </row>
    <row r="14" spans="1:8">
      <c r="A14" s="24">
        <v>54</v>
      </c>
      <c r="B14" s="33" t="s">
        <v>19</v>
      </c>
      <c r="C14" s="4" t="e">
        <f>SUMIF(#REF!,'Hydro Deferral'!A14,#REF!)</f>
        <v>#REF!</v>
      </c>
      <c r="D14" s="36">
        <v>6.7000000000000002E-4</v>
      </c>
      <c r="F14" s="26" t="e">
        <f t="shared" si="0"/>
        <v>#REF!</v>
      </c>
      <c r="H14" s="32"/>
    </row>
    <row r="15" spans="1:8">
      <c r="A15" s="24" t="s">
        <v>8</v>
      </c>
      <c r="C15" s="4" t="e">
        <f>SUM(C8:C14)</f>
        <v>#REF!</v>
      </c>
    </row>
    <row r="16" spans="1:8">
      <c r="A16" s="24" t="s">
        <v>8</v>
      </c>
      <c r="B16" s="1" t="s">
        <v>55</v>
      </c>
    </row>
    <row r="17" spans="1:8">
      <c r="A17" s="24" t="s">
        <v>8</v>
      </c>
      <c r="C17" s="1" t="s">
        <v>109</v>
      </c>
      <c r="D17" s="36"/>
      <c r="H17" s="32"/>
    </row>
    <row r="18" spans="1:8">
      <c r="A18" s="24">
        <v>24</v>
      </c>
      <c r="B18" s="33" t="s">
        <v>14</v>
      </c>
      <c r="C18" s="4" t="e">
        <f>SUMIF(#REF!,'Hydro Deferral'!A18,#REF!)</f>
        <v>#REF!</v>
      </c>
      <c r="D18" s="36">
        <v>5.5000000000000003E-4</v>
      </c>
      <c r="F18" s="26" t="e">
        <f t="shared" ref="F18:F25" si="1">C18*D18*$H$8/366</f>
        <v>#REF!</v>
      </c>
      <c r="H18" s="32"/>
    </row>
    <row r="19" spans="1:8">
      <c r="A19" s="24" t="s">
        <v>78</v>
      </c>
      <c r="B19" s="33" t="s">
        <v>15</v>
      </c>
      <c r="C19" s="4" t="e">
        <f>SUMIF(#REF!,'Hydro Deferral'!A19,#REF!)</f>
        <v>#REF!</v>
      </c>
      <c r="D19" s="36">
        <v>5.5000000000000003E-4</v>
      </c>
      <c r="F19" s="26" t="e">
        <f t="shared" si="1"/>
        <v>#REF!</v>
      </c>
      <c r="H19" s="32"/>
    </row>
    <row r="20" spans="1:8">
      <c r="A20" s="24" t="s">
        <v>82</v>
      </c>
      <c r="B20" s="33" t="s">
        <v>20</v>
      </c>
      <c r="C20" s="4" t="e">
        <f>SUMIF(#REF!,'Hydro Deferral'!A20,#REF!)</f>
        <v>#REF!</v>
      </c>
      <c r="D20" s="36">
        <v>5.5000000000000003E-4</v>
      </c>
      <c r="F20" s="26" t="e">
        <f t="shared" si="1"/>
        <v>#REF!</v>
      </c>
      <c r="H20" s="32"/>
    </row>
    <row r="21" spans="1:8">
      <c r="A21" s="24">
        <v>36</v>
      </c>
      <c r="B21" s="33" t="s">
        <v>16</v>
      </c>
      <c r="C21" s="4" t="e">
        <f>SUMIF(#REF!,'Hydro Deferral'!A21,#REF!)</f>
        <v>#REF!</v>
      </c>
      <c r="D21" s="36">
        <v>4.6000000000000001E-4</v>
      </c>
      <c r="F21" s="26" t="e">
        <f t="shared" si="1"/>
        <v>#REF!</v>
      </c>
      <c r="H21" s="32"/>
    </row>
    <row r="22" spans="1:8">
      <c r="A22" s="24">
        <v>47</v>
      </c>
      <c r="B22" s="33" t="s">
        <v>89</v>
      </c>
      <c r="C22" s="4" t="e">
        <f>SUMIF(#REF!,'Hydro Deferral'!A22,#REF!)</f>
        <v>#REF!</v>
      </c>
      <c r="D22" s="36">
        <v>3.8000000000000002E-4</v>
      </c>
      <c r="F22" s="26" t="e">
        <f t="shared" si="1"/>
        <v>#REF!</v>
      </c>
      <c r="H22" s="32"/>
    </row>
    <row r="23" spans="1:8">
      <c r="A23" s="24" t="s">
        <v>80</v>
      </c>
      <c r="B23" s="33" t="s">
        <v>23</v>
      </c>
      <c r="C23" s="4" t="e">
        <f>SUMIF(#REF!,'Hydro Deferral'!A23,#REF!)</f>
        <v>#REF!</v>
      </c>
      <c r="D23" s="36">
        <v>3.8000000000000002E-4</v>
      </c>
      <c r="F23" s="26" t="e">
        <f t="shared" si="1"/>
        <v>#REF!</v>
      </c>
      <c r="H23" s="32"/>
    </row>
    <row r="24" spans="1:8">
      <c r="A24" s="24" t="s">
        <v>81</v>
      </c>
      <c r="B24" s="33" t="s">
        <v>17</v>
      </c>
      <c r="C24" s="4" t="e">
        <f>SUMIF(#REF!,'Hydro Deferral'!A24,#REF!)</f>
        <v>#REF!</v>
      </c>
      <c r="D24" s="36">
        <v>3.8000000000000002E-4</v>
      </c>
      <c r="F24" s="26" t="e">
        <f t="shared" si="1"/>
        <v>#REF!</v>
      </c>
      <c r="H24" s="32"/>
    </row>
    <row r="25" spans="1:8">
      <c r="A25" s="24" t="s">
        <v>79</v>
      </c>
      <c r="B25" s="33" t="s">
        <v>18</v>
      </c>
      <c r="C25" s="4" t="e">
        <f>SUMIF(#REF!,'Hydro Deferral'!A25,#REF!)</f>
        <v>#REF!</v>
      </c>
      <c r="D25" s="36">
        <v>1.06E-3</v>
      </c>
      <c r="F25" s="26" t="e">
        <f t="shared" si="1"/>
        <v>#REF!</v>
      </c>
      <c r="H25" s="32"/>
    </row>
    <row r="26" spans="1:8">
      <c r="C26" s="4" t="e">
        <f>SUM(C18:C25)</f>
        <v>#REF!</v>
      </c>
    </row>
    <row r="27" spans="1:8">
      <c r="B27" s="1" t="s">
        <v>58</v>
      </c>
    </row>
    <row r="28" spans="1:8">
      <c r="C28" s="1" t="s">
        <v>109</v>
      </c>
    </row>
    <row r="29" spans="1:8">
      <c r="A29" s="24">
        <v>40</v>
      </c>
      <c r="B29" s="33" t="s">
        <v>21</v>
      </c>
      <c r="C29" s="4" t="e">
        <f>SUMIF(#REF!,'Hydro Deferral'!A29,#REF!)</f>
        <v>#REF!</v>
      </c>
      <c r="D29" s="36">
        <v>5.1000000000000004E-4</v>
      </c>
      <c r="F29" s="26" t="e">
        <f>C29*D29*$H$8/366</f>
        <v>#REF!</v>
      </c>
      <c r="H29" s="32"/>
    </row>
    <row r="30" spans="1:8">
      <c r="A30" s="24" t="s">
        <v>83</v>
      </c>
      <c r="B30" s="33" t="s">
        <v>22</v>
      </c>
      <c r="C30" s="4" t="e">
        <f>SUMIF(#REF!,'Hydro Deferral'!A30,#REF!)</f>
        <v>#REF!</v>
      </c>
      <c r="D30" s="36">
        <v>5.1000000000000004E-4</v>
      </c>
      <c r="F30" s="26" t="e">
        <f>C30*D30*$H$8/366</f>
        <v>#REF!</v>
      </c>
      <c r="H30" s="32"/>
    </row>
    <row r="31" spans="1:8">
      <c r="C31" s="4" t="e">
        <f>SUM(C29:C30)</f>
        <v>#REF!</v>
      </c>
    </row>
    <row r="32" spans="1:8">
      <c r="B32" s="1" t="s">
        <v>65</v>
      </c>
    </row>
    <row r="33" spans="1:8">
      <c r="C33" s="1" t="s">
        <v>109</v>
      </c>
    </row>
    <row r="34" spans="1:8">
      <c r="A34" s="24">
        <v>52</v>
      </c>
      <c r="B34" s="33" t="s">
        <v>24</v>
      </c>
      <c r="C34" s="4" t="e">
        <f>SUMIF(#REF!,'Hydro Deferral'!A34,#REF!)</f>
        <v>#REF!</v>
      </c>
      <c r="D34" s="36">
        <v>1.1000000000000001E-3</v>
      </c>
      <c r="F34" s="26" t="e">
        <f>C34*D34*$H$8/366</f>
        <v>#REF!</v>
      </c>
      <c r="H34" s="32"/>
    </row>
    <row r="35" spans="1:8">
      <c r="A35" s="24" t="s">
        <v>127</v>
      </c>
      <c r="B35" s="33" t="s">
        <v>25</v>
      </c>
      <c r="C35" s="4" t="e">
        <f>SUMIF(#REF!,'Hydro Deferral'!A35,#REF!)</f>
        <v>#REF!</v>
      </c>
      <c r="D35" s="36">
        <v>5.1999999999999995E-4</v>
      </c>
      <c r="F35" s="26" t="e">
        <f>C35*D35*$H$8/366</f>
        <v>#REF!</v>
      </c>
      <c r="H35" s="32"/>
    </row>
    <row r="36" spans="1:8">
      <c r="A36" s="24" t="s">
        <v>85</v>
      </c>
      <c r="B36" s="33" t="s">
        <v>26</v>
      </c>
      <c r="C36" s="4" t="e">
        <f>SUMIF(#REF!,'Hydro Deferral'!A36,#REF!)</f>
        <v>#REF!</v>
      </c>
      <c r="D36" s="36">
        <v>5.1999999999999995E-4</v>
      </c>
      <c r="F36" s="26" t="e">
        <f>C36*D36*$H$8/366</f>
        <v>#REF!</v>
      </c>
      <c r="H36" s="32"/>
    </row>
    <row r="37" spans="1:8">
      <c r="A37" s="24">
        <v>51</v>
      </c>
      <c r="B37" s="33" t="s">
        <v>27</v>
      </c>
      <c r="C37" s="4" t="e">
        <f>SUMIF(#REF!,'Hydro Deferral'!A37,#REF!)</f>
        <v>#REF!</v>
      </c>
      <c r="D37" s="36">
        <v>1.5100000000000001E-3</v>
      </c>
      <c r="F37" s="26" t="e">
        <f>C37*D37*$H$8/366</f>
        <v>#REF!</v>
      </c>
      <c r="H37" s="32"/>
    </row>
    <row r="38" spans="1:8">
      <c r="A38" s="24">
        <v>57</v>
      </c>
      <c r="B38" s="33" t="s">
        <v>28</v>
      </c>
      <c r="C38" s="4" t="e">
        <f>SUMIF(#REF!,'Hydro Deferral'!A38,#REF!)</f>
        <v>#REF!</v>
      </c>
      <c r="D38" s="36">
        <v>9.1E-4</v>
      </c>
      <c r="F38" s="26" t="e">
        <f>C38*D38*$H$8/366</f>
        <v>#REF!</v>
      </c>
      <c r="H38" s="32"/>
    </row>
    <row r="39" spans="1:8">
      <c r="B39" s="33" t="s">
        <v>128</v>
      </c>
      <c r="C39" s="4" t="e">
        <f>SUMIF(#REF!,'Hydro Deferral'!A39,#REF!)</f>
        <v>#REF!</v>
      </c>
      <c r="D39" s="36"/>
      <c r="F39" s="26"/>
      <c r="H39" s="32"/>
    </row>
    <row r="40" spans="1:8">
      <c r="A40" s="24" t="s">
        <v>8</v>
      </c>
      <c r="C40" s="4" t="e">
        <f>SUM(C34:C38)</f>
        <v>#REF!</v>
      </c>
    </row>
    <row r="41" spans="1:8">
      <c r="A41" s="24" t="s">
        <v>8</v>
      </c>
      <c r="B41" s="1" t="s">
        <v>72</v>
      </c>
    </row>
    <row r="42" spans="1:8">
      <c r="A42" s="24" t="s">
        <v>8</v>
      </c>
      <c r="C42" s="1" t="s">
        <v>109</v>
      </c>
    </row>
    <row r="43" spans="1:8">
      <c r="A43" s="24" t="s">
        <v>86</v>
      </c>
      <c r="B43" s="1" t="s">
        <v>13</v>
      </c>
      <c r="C43" s="4" t="e">
        <f>SUMIF(#REF!,'Hydro Deferral'!A43,#REF!)</f>
        <v>#REF!</v>
      </c>
      <c r="D43" s="36">
        <v>1.06E-3</v>
      </c>
      <c r="F43" s="26" t="e">
        <f t="shared" ref="F43:F49" si="2">C43*D43*$H$8/366</f>
        <v>#REF!</v>
      </c>
      <c r="H43" s="32"/>
    </row>
    <row r="44" spans="1:8">
      <c r="A44" s="24">
        <v>16</v>
      </c>
      <c r="B44" s="1" t="s">
        <v>11</v>
      </c>
      <c r="C44" s="4" t="e">
        <f>SUMIF(#REF!,'Hydro Deferral'!A44,#REF!)</f>
        <v>#REF!</v>
      </c>
      <c r="D44" s="36">
        <v>5.5000000000000003E-4</v>
      </c>
      <c r="F44" s="26" t="e">
        <f t="shared" si="2"/>
        <v>#REF!</v>
      </c>
      <c r="H44" s="32"/>
    </row>
    <row r="45" spans="1:8">
      <c r="A45" s="24">
        <v>17</v>
      </c>
      <c r="B45" s="1" t="s">
        <v>32</v>
      </c>
      <c r="C45" s="4" t="e">
        <f>SUMIF(#REF!,'Hydro Deferral'!A45,#REF!)</f>
        <v>#REF!</v>
      </c>
      <c r="D45" s="36">
        <v>5.5000000000000003E-4</v>
      </c>
      <c r="F45" s="26" t="e">
        <f t="shared" si="2"/>
        <v>#REF!</v>
      </c>
      <c r="H45" s="32"/>
    </row>
    <row r="46" spans="1:8">
      <c r="A46" s="24">
        <v>18</v>
      </c>
      <c r="B46" s="1" t="s">
        <v>12</v>
      </c>
      <c r="C46" s="4" t="e">
        <f>SUMIF(#REF!,'Hydro Deferral'!A46,#REF!)</f>
        <v>#REF!</v>
      </c>
      <c r="D46" s="36">
        <v>5.5000000000000003E-4</v>
      </c>
      <c r="F46" s="26" t="e">
        <f t="shared" si="2"/>
        <v>#REF!</v>
      </c>
      <c r="H46" s="32"/>
    </row>
    <row r="47" spans="1:8">
      <c r="A47" s="24" t="s">
        <v>87</v>
      </c>
      <c r="B47" s="1" t="s">
        <v>88</v>
      </c>
      <c r="C47" s="4" t="e">
        <f>SUMIF(#REF!,'Hydro Deferral'!A47,#REF!)</f>
        <v>#REF!</v>
      </c>
      <c r="D47" s="36">
        <v>5.5000000000000003E-4</v>
      </c>
      <c r="F47" s="26" t="e">
        <f t="shared" si="2"/>
        <v>#REF!</v>
      </c>
      <c r="H47" s="32"/>
    </row>
    <row r="48" spans="1:8">
      <c r="A48" s="24">
        <v>135</v>
      </c>
      <c r="B48" s="1" t="s">
        <v>118</v>
      </c>
      <c r="C48" s="4" t="e">
        <f>SUMIF(#REF!,'Hydro Deferral'!A48,#REF!)</f>
        <v>#REF!</v>
      </c>
      <c r="D48" s="36">
        <v>5.5000000000000003E-4</v>
      </c>
      <c r="F48" s="26" t="e">
        <f t="shared" si="2"/>
        <v>#REF!</v>
      </c>
      <c r="H48" s="32"/>
    </row>
    <row r="49" spans="1:8">
      <c r="A49" s="24">
        <v>24</v>
      </c>
      <c r="B49" s="1" t="s">
        <v>150</v>
      </c>
      <c r="C49" s="4" t="e">
        <f>SUMIF(#REF!,#REF!,#REF!)</f>
        <v>#REF!</v>
      </c>
      <c r="D49" s="36">
        <v>5.5000000000000003E-4</v>
      </c>
      <c r="F49" s="26" t="e">
        <f t="shared" si="2"/>
        <v>#REF!</v>
      </c>
      <c r="H49" s="32"/>
    </row>
    <row r="50" spans="1:8">
      <c r="C50" s="4" t="e">
        <f>SUM(C43:C49)</f>
        <v>#REF!</v>
      </c>
    </row>
    <row r="52" spans="1:8">
      <c r="C52" s="4" t="e">
        <f>C50+C40+C31+C26+C15</f>
        <v>#REF!</v>
      </c>
      <c r="F52" s="34" t="e">
        <f>SUM(F8:F49)</f>
        <v>#REF!</v>
      </c>
    </row>
    <row r="54" spans="1:8">
      <c r="B54" s="1" t="s">
        <v>119</v>
      </c>
      <c r="C54" s="25" t="e">
        <f>#REF!-#REF!-#REF!-#REF!-#REF!-#REF!-#REF!-C52</f>
        <v>#REF!</v>
      </c>
      <c r="F54" s="26" t="e">
        <f>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871662-F9A9-451F-A74F-E3383C5F2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1F9ED-1696-4ACA-9D40-9C24A33F48F9}"/>
</file>

<file path=customXml/itemProps3.xml><?xml version="1.0" encoding="utf-8"?>
<ds:datastoreItem xmlns:ds="http://schemas.openxmlformats.org/officeDocument/2006/customXml" ds:itemID="{BA61EE07-7E7A-4724-A76D-759B6066133B}"/>
</file>

<file path=customXml/itemProps4.xml><?xml version="1.0" encoding="utf-8"?>
<ds:datastoreItem xmlns:ds="http://schemas.openxmlformats.org/officeDocument/2006/customXml" ds:itemID="{4FF71116-2308-4EDA-918C-D93151DD9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28</vt:i4>
      </vt:variant>
    </vt:vector>
  </HeadingPairs>
  <TitlesOfParts>
    <vt:vector size="51" baseType="lpstr">
      <vt:lpstr>Exhibit DED-6</vt:lpstr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Jan - Mar Monthly 305 Revenue</vt:lpstr>
      <vt:lpstr>SBC (Old)</vt:lpstr>
      <vt:lpstr>Hydro Deferral</vt:lpstr>
      <vt:lpstr>'AutoPay&amp;Paperless'!Print_Area</vt:lpstr>
      <vt:lpstr>'Exhibit DED-6'!Print_Area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Gafken, Lisa (ATG)</cp:lastModifiedBy>
  <cp:lastPrinted>2023-03-14T00:09:25Z</cp:lastPrinted>
  <dcterms:created xsi:type="dcterms:W3CDTF">1997-08-20T18:29:19Z</dcterms:created>
  <dcterms:modified xsi:type="dcterms:W3CDTF">2023-09-14T20:27:06Z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{91EDD4DC-7CB6-4305-8B3B-943F9273CC84}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