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2023 Pacificorp\"/>
    </mc:Choice>
  </mc:AlternateContent>
  <xr:revisionPtr revIDLastSave="0" documentId="13_ncr:1_{AD8B9785-D3A9-4AC4-95FF-1DB53DB18B35}" xr6:coauthVersionLast="47" xr6:coauthVersionMax="47" xr10:uidLastSave="{00000000-0000-0000-0000-000000000000}"/>
  <bookViews>
    <workbookView xWindow="-120" yWindow="-120" windowWidth="29040" windowHeight="15840" xr2:uid="{6E0CBAE1-23AA-47FD-98A8-488CB3F809CF}"/>
  </bookViews>
  <sheets>
    <sheet name="Summary" sheetId="1" r:id="rId1"/>
    <sheet name="ROR Impact" sheetId="2" r:id="rId2"/>
    <sheet name="PC ROR" sheetId="3" r:id="rId3"/>
    <sheet name="CETA Deferral" sheetId="7" r:id="rId4"/>
    <sheet name="EV Pilot Deferral" sheetId="9" r:id="rId5"/>
    <sheet name="COVID Def" sheetId="8" r:id="rId6"/>
    <sheet name="T&amp;D " sheetId="19" r:id="rId7"/>
    <sheet name="Jim Bridger" sheetId="10" r:id="rId8"/>
  </sheets>
  <definedNames>
    <definedName name="_xlnm.Print_Area" localSheetId="3">'CETA Deferral'!$A$1:$G$23</definedName>
    <definedName name="_xlnm.Print_Area" localSheetId="5">'COVID Def'!$A$1:$G$24</definedName>
    <definedName name="_xlnm.Print_Area" localSheetId="4">'EV Pilot Deferral'!$A$1:$G$24</definedName>
    <definedName name="_xlnm.Print_Area" localSheetId="7">'Jim Bridger'!$A$1:$G$24</definedName>
    <definedName name="_xlnm.Print_Area" localSheetId="2">'PC ROR'!$A$1:$F$24</definedName>
    <definedName name="_xlnm.Print_Area" localSheetId="1">'ROR Impact'!$A$1:$H$37</definedName>
    <definedName name="_xlnm.Print_Area" localSheetId="0">Summary!$A$1:$F$43</definedName>
    <definedName name="_xlnm.Print_Area" localSheetId="6">'T&amp;D '!$A$1:$I$36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15" i="1"/>
  <c r="F15" i="19" l="1"/>
  <c r="F13" i="19"/>
  <c r="F11" i="19"/>
  <c r="E11" i="19"/>
  <c r="D15" i="19"/>
  <c r="E15" i="19" s="1"/>
  <c r="D13" i="19"/>
  <c r="E13" i="19" s="1"/>
  <c r="D11" i="19"/>
  <c r="E27" i="1"/>
  <c r="E25" i="1"/>
  <c r="C25" i="1"/>
  <c r="C19" i="1"/>
  <c r="C21" i="1"/>
  <c r="G11" i="10"/>
  <c r="G13" i="10" s="1"/>
  <c r="G17" i="10" s="1"/>
  <c r="E11" i="10"/>
  <c r="E13" i="10" s="1"/>
  <c r="E17" i="10" s="1"/>
  <c r="E11" i="9"/>
  <c r="E13" i="9" s="1"/>
  <c r="E17" i="9" s="1"/>
  <c r="E11" i="8"/>
  <c r="E13" i="8" s="1"/>
  <c r="E17" i="8" s="1"/>
  <c r="E11" i="7"/>
  <c r="E13" i="7"/>
  <c r="E17" i="7" s="1"/>
  <c r="C13" i="1"/>
  <c r="D13" i="2"/>
  <c r="D15" i="2" s="1"/>
  <c r="D19" i="2" s="1"/>
  <c r="D23" i="2" s="1"/>
  <c r="D27" i="2" s="1"/>
  <c r="E18" i="3"/>
  <c r="E16" i="3"/>
  <c r="E14" i="3"/>
  <c r="E12" i="3"/>
  <c r="G13" i="19" l="1"/>
  <c r="I13" i="19" s="1"/>
  <c r="G15" i="19"/>
  <c r="I15" i="19" s="1"/>
  <c r="F17" i="19"/>
  <c r="D17" i="19"/>
  <c r="G11" i="19"/>
  <c r="I11" i="19" s="1"/>
  <c r="E17" i="19"/>
  <c r="F13" i="2"/>
  <c r="F15" i="2" s="1"/>
  <c r="F19" i="2" s="1"/>
  <c r="F23" i="2" s="1"/>
  <c r="F27" i="2" s="1"/>
  <c r="E13" i="1" s="1"/>
  <c r="C17" i="1"/>
  <c r="I17" i="19" l="1"/>
  <c r="G17" i="19"/>
  <c r="E23" i="1" l="1"/>
  <c r="E29" i="1" s="1"/>
  <c r="I19" i="19"/>
  <c r="I21" i="19" s="1"/>
  <c r="I25" i="19" s="1"/>
  <c r="C29" i="1"/>
</calcChain>
</file>

<file path=xl/sharedStrings.xml><?xml version="1.0" encoding="utf-8"?>
<sst xmlns="http://schemas.openxmlformats.org/spreadsheetml/2006/main" count="153" uniqueCount="100">
  <si>
    <t>Year 1</t>
  </si>
  <si>
    <t>Year 2</t>
  </si>
  <si>
    <t>Recommended Increase</t>
  </si>
  <si>
    <t>Company</t>
  </si>
  <si>
    <t>Adjustment</t>
  </si>
  <si>
    <t>(A)</t>
  </si>
  <si>
    <t>(B)</t>
  </si>
  <si>
    <t>(C)</t>
  </si>
  <si>
    <t>Required Return</t>
  </si>
  <si>
    <t>Operating Income Deficiency</t>
  </si>
  <si>
    <t>Exhibit ACC-3</t>
  </si>
  <si>
    <t>Page 1</t>
  </si>
  <si>
    <t>PACIFICORP d/b/a PACIFIC POWER AND LIGHT COMPANY</t>
  </si>
  <si>
    <t>SUMMARY OF PUBLIC COUNSEL REVENUE REQUIREMENT ADJUSTMENTS</t>
  </si>
  <si>
    <t>Company Claim (A)</t>
  </si>
  <si>
    <t>Sources:</t>
  </si>
  <si>
    <t>49.1% Equity @ 9.25% (B)</t>
  </si>
  <si>
    <t>Page 2</t>
  </si>
  <si>
    <t>Rate Year 1</t>
  </si>
  <si>
    <t>Rate Year 2</t>
  </si>
  <si>
    <t>Pro Forma Rate Base (A)</t>
  </si>
  <si>
    <t>Required Cost of Capital (B)</t>
  </si>
  <si>
    <t>Page 3</t>
  </si>
  <si>
    <t>IMPACT of PUBLIC COUNSEL COST OF CAPITAL ADJUSTMENTS</t>
  </si>
  <si>
    <t>PUBLIC COUNSEL RECOMMENDED COST OF CAPITAL</t>
  </si>
  <si>
    <t>Capital</t>
  </si>
  <si>
    <t>Capitalization</t>
  </si>
  <si>
    <t>Ratio</t>
  </si>
  <si>
    <t xml:space="preserve">Cost </t>
  </si>
  <si>
    <t>Rate</t>
  </si>
  <si>
    <t>Weighted</t>
  </si>
  <si>
    <t>Cost Rate</t>
  </si>
  <si>
    <t>Long-Term Debt</t>
  </si>
  <si>
    <t>Preferenced Stock</t>
  </si>
  <si>
    <t>Common Stock</t>
  </si>
  <si>
    <t>Recommended Adjustment</t>
  </si>
  <si>
    <t>(B) Exhibit ACC-3, page 2.</t>
  </si>
  <si>
    <t>Operating Income @ Present Rates (C)</t>
  </si>
  <si>
    <t>Gross Up Factor (D)</t>
  </si>
  <si>
    <t>Base Revenue Increase (E)</t>
  </si>
  <si>
    <t>(B) Exhibit ACC-3, page 3.</t>
  </si>
  <si>
    <t xml:space="preserve">     Counsel Cost of Capital recommendation.  </t>
  </si>
  <si>
    <t>(C) Rate Year 1 and 2 based on Company Exhibit SLC-5, page 1, adjusted to reflect Public</t>
  </si>
  <si>
    <t>(E) Line 5 / Line 6.</t>
  </si>
  <si>
    <t>CETA DEFERRAL</t>
  </si>
  <si>
    <t>Page 6</t>
  </si>
  <si>
    <t>Income Taxes @</t>
  </si>
  <si>
    <t>Operating Income Impact</t>
  </si>
  <si>
    <t>Amortization Expense Adjustment (A)</t>
  </si>
  <si>
    <t>Gross up Factor (B)</t>
  </si>
  <si>
    <t>Revenue Requirement Impact (C)</t>
  </si>
  <si>
    <t>(A) Company Exhibit SLC-4, page 261.</t>
  </si>
  <si>
    <t>(C) Line 3 / Line 4.</t>
  </si>
  <si>
    <t xml:space="preserve">(B) Company Exhibit SLC-4, page 5. </t>
  </si>
  <si>
    <t xml:space="preserve">(D) Company Exhibit SLC-4, page 5. </t>
  </si>
  <si>
    <t>COVID DEFERRAL</t>
  </si>
  <si>
    <t>Page 7</t>
  </si>
  <si>
    <t>Page 8</t>
  </si>
  <si>
    <t>EV PILOT PROGRAM DEFERRAL</t>
  </si>
  <si>
    <t>JIM BRIDGER REPOWERING O&amp;M EXPENSE</t>
  </si>
  <si>
    <t>Expense Adjustment (A)</t>
  </si>
  <si>
    <t>PP Vegetation - Admin</t>
  </si>
  <si>
    <t>Distribution</t>
  </si>
  <si>
    <t>Transmission</t>
  </si>
  <si>
    <t>Base</t>
  </si>
  <si>
    <t>Period</t>
  </si>
  <si>
    <t>Public Counsel</t>
  </si>
  <si>
    <t>WA</t>
  </si>
  <si>
    <t>Allocation (%)</t>
  </si>
  <si>
    <t>Allocation ($)</t>
  </si>
  <si>
    <t>(B) Reflects 2.5 years at 10% annual increase.</t>
  </si>
  <si>
    <t>(C) Company Exhibit SLC-4, page 134.</t>
  </si>
  <si>
    <t>Page 4</t>
  </si>
  <si>
    <t>Page 5</t>
  </si>
  <si>
    <t>(A) Company Exhibit SLC-4, page 135.</t>
  </si>
  <si>
    <t>(G) Exhibit ACC-3, page 7.</t>
  </si>
  <si>
    <t>(H) Exhibit ACC-3, page 8.</t>
  </si>
  <si>
    <t xml:space="preserve">Total </t>
  </si>
  <si>
    <t>Operating Income Impact (D)</t>
  </si>
  <si>
    <t>Gross up Factor (E)</t>
  </si>
  <si>
    <t>Revenue Requirement Impact (F)</t>
  </si>
  <si>
    <t>(D) Line 4 - Line 5.</t>
  </si>
  <si>
    <t>(E) Company Exhibit SLC-4, page 5.</t>
  </si>
  <si>
    <t>(F) Line 6 / Line 7.</t>
  </si>
  <si>
    <t>(C) Response to Staff Data Request No. 71.</t>
  </si>
  <si>
    <t>(D) Exhibit ACC-3, page 4.</t>
  </si>
  <si>
    <t>(E) Exhibit ACC-3, page 5.</t>
  </si>
  <si>
    <t>(F) Exhibit ACC-3, page 6.</t>
  </si>
  <si>
    <t>(I) Response to Staff Data Request No. 86.</t>
  </si>
  <si>
    <t>(A) Testimony of Public Counsel witness Dr. Earle.</t>
  </si>
  <si>
    <t>Pension Expense (C)</t>
  </si>
  <si>
    <t>CETA Deferral (D)</t>
  </si>
  <si>
    <t>EV Pilot Deferral (E)</t>
  </si>
  <si>
    <t>COVID Deferral (F)</t>
  </si>
  <si>
    <t>Jim Bridger Repowering (H)</t>
  </si>
  <si>
    <t>Cancelled Colstrip Projects (I)</t>
  </si>
  <si>
    <t>Incremental T&amp;D Expenses (G)</t>
  </si>
  <si>
    <t>INCREMENTAL T&amp;D EXPENSES</t>
  </si>
  <si>
    <t>(A) Company Exhibit SLC-4, page 2 and Exhibit SLC-5, page 1.</t>
  </si>
  <si>
    <t>(A) Testimony of Dr. Woolridge.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</si>
</sst>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#."/>
    <numFmt numFmtId="165" formatCode="0.0000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 val="double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5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right"/>
    </xf>
    <xf numFmtId="5" fontId="3" fillId="0" borderId="0" xfId="0" applyNumberFormat="1" applyFont="1"/>
    <xf numFmtId="5" fontId="5" fillId="0" borderId="0" xfId="0" applyNumberFormat="1" applyFont="1"/>
    <xf numFmtId="10" fontId="0" fillId="0" borderId="0" xfId="0" applyNumberFormat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0" fontId="5" fillId="0" borderId="0" xfId="0" applyNumberFormat="1" applyFont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0" fontId="0" fillId="0" borderId="2" xfId="0" applyNumberFormat="1" applyBorder="1"/>
    <xf numFmtId="165" fontId="0" fillId="0" borderId="2" xfId="0" applyNumberFormat="1" applyBorder="1"/>
    <xf numFmtId="0" fontId="6" fillId="0" borderId="0" xfId="0" applyFont="1"/>
    <xf numFmtId="10" fontId="7" fillId="0" borderId="2" xfId="0" applyNumberFormat="1" applyFont="1" applyBorder="1"/>
    <xf numFmtId="0" fontId="7" fillId="0" borderId="0" xfId="0" applyFont="1"/>
    <xf numFmtId="164" fontId="7" fillId="0" borderId="0" xfId="0" applyNumberFormat="1" applyFont="1" applyAlignment="1">
      <alignment horizontal="right"/>
    </xf>
    <xf numFmtId="5" fontId="6" fillId="0" borderId="0" xfId="0" applyNumberFormat="1" applyFont="1"/>
    <xf numFmtId="5" fontId="7" fillId="0" borderId="0" xfId="0" applyNumberFormat="1" applyFont="1"/>
    <xf numFmtId="5" fontId="7" fillId="0" borderId="3" xfId="0" applyNumberFormat="1" applyFont="1" applyBorder="1"/>
    <xf numFmtId="3" fontId="0" fillId="0" borderId="2" xfId="0" applyNumberFormat="1" applyBorder="1"/>
    <xf numFmtId="4" fontId="0" fillId="0" borderId="0" xfId="0" applyNumberFormat="1"/>
    <xf numFmtId="0" fontId="0" fillId="0" borderId="1" xfId="0" applyBorder="1"/>
    <xf numFmtId="3" fontId="0" fillId="0" borderId="0" xfId="0" applyNumberFormat="1" applyAlignment="1">
      <alignment horizontal="center"/>
    </xf>
    <xf numFmtId="3" fontId="0" fillId="0" borderId="1" xfId="0" applyNumberFormat="1" applyBorder="1"/>
    <xf numFmtId="9" fontId="0" fillId="0" borderId="0" xfId="0" applyNumberFormat="1"/>
    <xf numFmtId="5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BF507-8F7B-4F83-86FA-FE6F13CAC9C2}">
  <sheetPr>
    <pageSetUpPr fitToPage="1"/>
  </sheetPr>
  <dimension ref="A1:V42"/>
  <sheetViews>
    <sheetView tabSelected="1" topLeftCell="A18" zoomScale="130" zoomScaleNormal="130" workbookViewId="0">
      <selection activeCell="F36" sqref="F36"/>
    </sheetView>
  </sheetViews>
  <sheetFormatPr defaultRowHeight="15" x14ac:dyDescent="0.25"/>
  <cols>
    <col min="2" max="2" width="32.7109375" customWidth="1"/>
    <col min="3" max="3" width="14.7109375" customWidth="1"/>
    <col min="4" max="4" width="4.7109375" customWidth="1"/>
    <col min="5" max="5" width="14.7109375" customWidth="1"/>
    <col min="6" max="7" width="16.7109375" customWidth="1"/>
    <col min="8" max="9" width="14.7109375" customWidth="1"/>
  </cols>
  <sheetData>
    <row r="1" spans="1:22" x14ac:dyDescent="0.25">
      <c r="B1" s="4"/>
      <c r="C1" s="4"/>
      <c r="D1" s="4"/>
      <c r="E1" s="4"/>
      <c r="F1" s="4" t="s">
        <v>10</v>
      </c>
    </row>
    <row r="2" spans="1:22" x14ac:dyDescent="0.25">
      <c r="B2" s="4"/>
      <c r="C2" s="4"/>
      <c r="D2" s="4"/>
      <c r="E2" s="4"/>
      <c r="F2" s="4" t="s">
        <v>11</v>
      </c>
    </row>
    <row r="3" spans="1:22" x14ac:dyDescent="0.25">
      <c r="B3" s="4"/>
      <c r="C3" s="4"/>
      <c r="D3" s="4"/>
      <c r="E3" s="4"/>
      <c r="F3" s="4"/>
    </row>
    <row r="4" spans="1:22" x14ac:dyDescent="0.25">
      <c r="B4" s="4" t="s">
        <v>12</v>
      </c>
      <c r="C4" s="4"/>
      <c r="D4" s="4"/>
      <c r="E4" s="4"/>
      <c r="F4" s="4"/>
    </row>
    <row r="5" spans="1:22" x14ac:dyDescent="0.25">
      <c r="B5" s="4"/>
      <c r="C5" s="4"/>
      <c r="D5" s="4"/>
      <c r="E5" s="4"/>
      <c r="F5" s="4"/>
      <c r="P5" s="6"/>
      <c r="Q5" s="6"/>
      <c r="R5" s="6"/>
      <c r="S5" s="6"/>
      <c r="T5" s="6"/>
      <c r="U5" s="6"/>
      <c r="V5" s="6"/>
    </row>
    <row r="6" spans="1:22" x14ac:dyDescent="0.25">
      <c r="B6" s="4" t="s">
        <v>13</v>
      </c>
      <c r="C6" s="4"/>
      <c r="D6" s="4"/>
      <c r="E6" s="4"/>
      <c r="F6" s="4"/>
      <c r="P6" s="6"/>
      <c r="Q6" s="6"/>
      <c r="R6" s="6"/>
      <c r="S6" s="6"/>
      <c r="T6" s="6"/>
      <c r="U6" s="6"/>
      <c r="V6" s="6"/>
    </row>
    <row r="7" spans="1:22" x14ac:dyDescent="0.25">
      <c r="B7" s="4"/>
      <c r="C7" s="4"/>
      <c r="D7" s="4"/>
      <c r="E7" s="4"/>
      <c r="J7" s="1"/>
      <c r="K7" s="1"/>
      <c r="P7" s="6"/>
      <c r="Q7" s="6"/>
      <c r="R7" s="6"/>
      <c r="S7" s="6"/>
      <c r="T7" s="6"/>
      <c r="U7" s="6"/>
      <c r="V7" s="6"/>
    </row>
    <row r="8" spans="1:22" x14ac:dyDescent="0.25">
      <c r="B8" s="4"/>
      <c r="C8" s="4"/>
      <c r="D8" s="4"/>
      <c r="E8" s="4"/>
      <c r="J8" s="1"/>
      <c r="K8" s="1"/>
      <c r="P8" s="6"/>
      <c r="Q8" s="6"/>
      <c r="R8" s="6"/>
      <c r="S8" s="6"/>
      <c r="T8" s="6"/>
      <c r="U8" s="6"/>
      <c r="V8" s="6"/>
    </row>
    <row r="9" spans="1:22" x14ac:dyDescent="0.25">
      <c r="B9" s="4"/>
      <c r="C9" s="5" t="s">
        <v>0</v>
      </c>
      <c r="D9" s="5"/>
      <c r="E9" s="5" t="s">
        <v>1</v>
      </c>
      <c r="J9" s="2"/>
      <c r="K9" s="1"/>
      <c r="P9" s="6"/>
      <c r="Q9" s="6"/>
      <c r="R9" s="6"/>
      <c r="S9" s="6"/>
      <c r="T9" s="6"/>
      <c r="U9" s="6"/>
      <c r="V9" s="6"/>
    </row>
    <row r="10" spans="1:22" x14ac:dyDescent="0.25">
      <c r="B10" s="4"/>
      <c r="C10" s="4"/>
      <c r="D10" s="4"/>
      <c r="E10" s="4"/>
      <c r="J10" s="2"/>
      <c r="K10" s="1"/>
      <c r="P10" s="6"/>
      <c r="Q10" s="6"/>
      <c r="R10" s="6"/>
      <c r="S10" s="6"/>
      <c r="T10" s="6"/>
      <c r="U10" s="6"/>
      <c r="V10" s="6"/>
    </row>
    <row r="11" spans="1:22" x14ac:dyDescent="0.25">
      <c r="A11">
        <v>1</v>
      </c>
      <c r="B11" t="s">
        <v>14</v>
      </c>
      <c r="C11" s="1">
        <v>26763219</v>
      </c>
      <c r="D11" s="1"/>
      <c r="E11" s="1">
        <v>27947817</v>
      </c>
      <c r="J11" s="2"/>
      <c r="K11" s="1"/>
    </row>
    <row r="12" spans="1:22" x14ac:dyDescent="0.25">
      <c r="C12" s="1"/>
      <c r="D12" s="1"/>
      <c r="E12" s="1"/>
      <c r="J12" s="2"/>
      <c r="K12" s="1"/>
    </row>
    <row r="13" spans="1:22" x14ac:dyDescent="0.25">
      <c r="A13">
        <v>2</v>
      </c>
      <c r="B13" t="s">
        <v>16</v>
      </c>
      <c r="C13" s="2">
        <f>+'ROR Impact'!D27</f>
        <v>-9541131.9735885449</v>
      </c>
      <c r="D13" s="2"/>
      <c r="E13" s="2">
        <f>+'ROR Impact'!F27</f>
        <v>-2550217.2163874507</v>
      </c>
      <c r="J13" s="2"/>
      <c r="K13" s="1"/>
    </row>
    <row r="14" spans="1:22" x14ac:dyDescent="0.25">
      <c r="C14" s="2"/>
      <c r="D14" s="2"/>
      <c r="E14" s="2"/>
      <c r="J14" s="2"/>
      <c r="K14" s="1"/>
      <c r="P14" s="6"/>
      <c r="Q14" s="6"/>
      <c r="R14" s="6"/>
      <c r="S14" s="6"/>
      <c r="T14" s="6"/>
    </row>
    <row r="15" spans="1:22" x14ac:dyDescent="0.25">
      <c r="A15">
        <v>3</v>
      </c>
      <c r="B15" t="s">
        <v>90</v>
      </c>
      <c r="C15" s="2">
        <v>-620000</v>
      </c>
      <c r="D15" s="2"/>
      <c r="E15" s="2">
        <f>-620000+140000</f>
        <v>-480000</v>
      </c>
      <c r="J15" s="2"/>
      <c r="K15" s="1"/>
    </row>
    <row r="16" spans="1:22" x14ac:dyDescent="0.25">
      <c r="C16" s="2"/>
      <c r="D16" s="2"/>
      <c r="E16" s="2"/>
      <c r="J16" s="2"/>
      <c r="K16" s="1"/>
    </row>
    <row r="17" spans="1:11" x14ac:dyDescent="0.25">
      <c r="A17">
        <v>4</v>
      </c>
      <c r="B17" t="s">
        <v>91</v>
      </c>
      <c r="C17" s="2">
        <f>-'CETA Deferral'!E17</f>
        <v>-868044.83786012605</v>
      </c>
      <c r="D17" s="2"/>
      <c r="E17" s="2">
        <v>0</v>
      </c>
      <c r="J17" s="2"/>
      <c r="K17" s="1"/>
    </row>
    <row r="18" spans="1:11" x14ac:dyDescent="0.25">
      <c r="C18" s="2"/>
      <c r="D18" s="2"/>
      <c r="E18" s="2"/>
      <c r="J18" s="2"/>
      <c r="K18" s="1"/>
    </row>
    <row r="19" spans="1:11" x14ac:dyDescent="0.25">
      <c r="A19">
        <v>5</v>
      </c>
      <c r="B19" t="s">
        <v>92</v>
      </c>
      <c r="C19" s="2">
        <f>-'EV Pilot Deferral'!E17</f>
        <v>-957483.32047564571</v>
      </c>
      <c r="D19" s="2"/>
      <c r="E19" s="2">
        <v>0</v>
      </c>
      <c r="J19" s="2"/>
      <c r="K19" s="1"/>
    </row>
    <row r="20" spans="1:11" x14ac:dyDescent="0.25">
      <c r="C20" s="2"/>
      <c r="D20" s="2"/>
      <c r="E20" s="2"/>
      <c r="J20" s="2"/>
      <c r="K20" s="1"/>
    </row>
    <row r="21" spans="1:11" x14ac:dyDescent="0.25">
      <c r="A21">
        <v>6</v>
      </c>
      <c r="B21" t="s">
        <v>93</v>
      </c>
      <c r="C21" s="2">
        <f>-'COVID Def'!E17</f>
        <v>-5541785.5869756062</v>
      </c>
      <c r="D21" s="2"/>
      <c r="E21" s="2">
        <v>0</v>
      </c>
      <c r="J21" s="2"/>
      <c r="K21" s="1"/>
    </row>
    <row r="22" spans="1:11" x14ac:dyDescent="0.25">
      <c r="J22" s="2"/>
      <c r="K22" s="1"/>
    </row>
    <row r="23" spans="1:11" x14ac:dyDescent="0.25">
      <c r="A23">
        <v>7</v>
      </c>
      <c r="B23" t="s">
        <v>96</v>
      </c>
      <c r="C23" s="2">
        <f>-'T&amp;D '!I25</f>
        <v>-632602.11065435049</v>
      </c>
      <c r="D23" s="2"/>
      <c r="E23" s="2">
        <f>+C23</f>
        <v>-632602.11065435049</v>
      </c>
      <c r="J23" s="2"/>
      <c r="K23" s="1"/>
    </row>
    <row r="24" spans="1:11" x14ac:dyDescent="0.25">
      <c r="C24" s="2"/>
      <c r="D24" s="2"/>
      <c r="E24" s="2"/>
      <c r="J24" s="2"/>
      <c r="K24" s="1"/>
    </row>
    <row r="25" spans="1:11" x14ac:dyDescent="0.25">
      <c r="A25">
        <v>8</v>
      </c>
      <c r="B25" t="s">
        <v>94</v>
      </c>
      <c r="C25" s="2">
        <f>-'Jim Bridger'!E17</f>
        <v>-2640092.3226304166</v>
      </c>
      <c r="D25" s="2"/>
      <c r="E25" s="2">
        <f>-'Jim Bridger'!G17</f>
        <v>-772812.33539943071</v>
      </c>
      <c r="J25" s="2"/>
      <c r="K25" s="1"/>
    </row>
    <row r="26" spans="1:11" x14ac:dyDescent="0.25">
      <c r="C26" s="2"/>
      <c r="D26" s="2"/>
      <c r="E26" s="2"/>
      <c r="J26" s="1"/>
      <c r="K26" s="1"/>
    </row>
    <row r="27" spans="1:11" x14ac:dyDescent="0.25">
      <c r="A27">
        <v>9</v>
      </c>
      <c r="B27" t="s">
        <v>95</v>
      </c>
      <c r="C27" s="3">
        <v>-17536</v>
      </c>
      <c r="D27" s="3"/>
      <c r="E27" s="3">
        <f>-17536-10782</f>
        <v>-28318</v>
      </c>
      <c r="J27" s="1"/>
      <c r="K27" s="1"/>
    </row>
    <row r="28" spans="1:11" x14ac:dyDescent="0.25">
      <c r="C28" s="2"/>
      <c r="D28" s="2"/>
      <c r="E28" s="2"/>
      <c r="J28" s="1"/>
      <c r="K28" s="1"/>
    </row>
    <row r="29" spans="1:11" x14ac:dyDescent="0.25">
      <c r="A29">
        <v>10</v>
      </c>
      <c r="B29" t="s">
        <v>2</v>
      </c>
      <c r="C29" s="12">
        <f>SUM(C11:C28)</f>
        <v>5944542.8478153106</v>
      </c>
      <c r="D29" s="12"/>
      <c r="E29" s="12">
        <f>SUM(E11:E28)</f>
        <v>23483867.337558769</v>
      </c>
      <c r="J29" s="1"/>
      <c r="K29" s="1"/>
    </row>
    <row r="30" spans="1:11" x14ac:dyDescent="0.25">
      <c r="J30" s="1"/>
      <c r="K30" s="1"/>
    </row>
    <row r="31" spans="1:11" x14ac:dyDescent="0.25">
      <c r="C31" s="1"/>
      <c r="D31" s="1"/>
      <c r="E31" s="1"/>
    </row>
    <row r="32" spans="1:11" x14ac:dyDescent="0.25">
      <c r="C32" s="1"/>
      <c r="D32" s="1"/>
      <c r="E32" s="1"/>
    </row>
    <row r="33" spans="2:2" x14ac:dyDescent="0.25">
      <c r="B33" t="s">
        <v>15</v>
      </c>
    </row>
    <row r="34" spans="2:2" x14ac:dyDescent="0.25">
      <c r="B34" t="s">
        <v>98</v>
      </c>
    </row>
    <row r="35" spans="2:2" x14ac:dyDescent="0.25">
      <c r="B35" t="s">
        <v>36</v>
      </c>
    </row>
    <row r="36" spans="2:2" x14ac:dyDescent="0.25">
      <c r="B36" t="s">
        <v>84</v>
      </c>
    </row>
    <row r="37" spans="2:2" x14ac:dyDescent="0.25">
      <c r="B37" t="s">
        <v>85</v>
      </c>
    </row>
    <row r="38" spans="2:2" x14ac:dyDescent="0.25">
      <c r="B38" t="s">
        <v>86</v>
      </c>
    </row>
    <row r="39" spans="2:2" x14ac:dyDescent="0.25">
      <c r="B39" t="s">
        <v>87</v>
      </c>
    </row>
    <row r="40" spans="2:2" x14ac:dyDescent="0.25">
      <c r="B40" t="s">
        <v>75</v>
      </c>
    </row>
    <row r="41" spans="2:2" x14ac:dyDescent="0.25">
      <c r="B41" t="s">
        <v>76</v>
      </c>
    </row>
    <row r="42" spans="2:2" x14ac:dyDescent="0.25">
      <c r="B42" t="s">
        <v>88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A1FE-9C79-467C-B02C-A7C044164BEC}">
  <sheetPr>
    <pageSetUpPr fitToPage="1"/>
  </sheetPr>
  <dimension ref="A1:G36"/>
  <sheetViews>
    <sheetView topLeftCell="A7" workbookViewId="0">
      <selection activeCell="F28" sqref="F28"/>
    </sheetView>
  </sheetViews>
  <sheetFormatPr defaultRowHeight="15" x14ac:dyDescent="0.25"/>
  <cols>
    <col min="2" max="2" width="26.7109375" customWidth="1"/>
    <col min="4" max="4" width="14.7109375" customWidth="1"/>
    <col min="5" max="5" width="3.7109375" customWidth="1"/>
    <col min="6" max="6" width="14.7109375" customWidth="1"/>
  </cols>
  <sheetData>
    <row r="1" spans="1:7" x14ac:dyDescent="0.25">
      <c r="B1" s="4"/>
      <c r="C1" s="4"/>
      <c r="D1" s="4"/>
      <c r="E1" s="4"/>
      <c r="G1" s="4" t="s">
        <v>10</v>
      </c>
    </row>
    <row r="2" spans="1:7" x14ac:dyDescent="0.25">
      <c r="B2" s="4"/>
      <c r="C2" s="4"/>
      <c r="D2" s="4"/>
      <c r="E2" s="4"/>
      <c r="G2" s="4" t="s">
        <v>17</v>
      </c>
    </row>
    <row r="3" spans="1:7" x14ac:dyDescent="0.25">
      <c r="B3" s="4"/>
      <c r="C3" s="4"/>
      <c r="D3" s="4"/>
      <c r="E3" s="4"/>
      <c r="F3" s="4"/>
      <c r="G3" s="4"/>
    </row>
    <row r="4" spans="1:7" x14ac:dyDescent="0.25">
      <c r="B4" s="4" t="s">
        <v>12</v>
      </c>
      <c r="C4" s="4"/>
      <c r="D4" s="4"/>
      <c r="E4" s="4"/>
      <c r="F4" s="4"/>
    </row>
    <row r="5" spans="1:7" x14ac:dyDescent="0.25">
      <c r="B5" s="4"/>
      <c r="C5" s="4"/>
      <c r="D5" s="4"/>
      <c r="E5" s="4"/>
      <c r="F5" s="4"/>
    </row>
    <row r="6" spans="1:7" x14ac:dyDescent="0.25">
      <c r="B6" s="4" t="s">
        <v>23</v>
      </c>
      <c r="C6" s="4"/>
      <c r="D6" s="4"/>
      <c r="E6" s="4"/>
      <c r="F6" s="4"/>
    </row>
    <row r="7" spans="1:7" x14ac:dyDescent="0.25">
      <c r="B7" s="22"/>
    </row>
    <row r="8" spans="1:7" x14ac:dyDescent="0.25">
      <c r="D8" s="9"/>
      <c r="E8" s="9"/>
      <c r="F8" s="9"/>
    </row>
    <row r="9" spans="1:7" x14ac:dyDescent="0.25">
      <c r="D9" s="17" t="s">
        <v>18</v>
      </c>
      <c r="E9" s="17"/>
      <c r="F9" s="17" t="s">
        <v>19</v>
      </c>
    </row>
    <row r="10" spans="1:7" x14ac:dyDescent="0.25">
      <c r="D10" s="9"/>
      <c r="E10" s="9"/>
    </row>
    <row r="11" spans="1:7" x14ac:dyDescent="0.25">
      <c r="A11" s="18">
        <v>1</v>
      </c>
      <c r="B11" t="s">
        <v>20</v>
      </c>
      <c r="D11" s="1">
        <v>1100424347</v>
      </c>
      <c r="E11" s="1"/>
      <c r="F11" s="1">
        <v>1357485561</v>
      </c>
    </row>
    <row r="12" spans="1:7" x14ac:dyDescent="0.25">
      <c r="A12" s="19"/>
    </row>
    <row r="13" spans="1:7" x14ac:dyDescent="0.25">
      <c r="A13" s="18">
        <v>2</v>
      </c>
      <c r="B13" t="s">
        <v>21</v>
      </c>
      <c r="D13" s="23">
        <f>+'PC ROR'!E18</f>
        <v>6.9698780000000002E-2</v>
      </c>
      <c r="E13" s="23"/>
      <c r="F13" s="20">
        <f>+D13</f>
        <v>6.9698780000000002E-2</v>
      </c>
    </row>
    <row r="14" spans="1:7" x14ac:dyDescent="0.25">
      <c r="A14" s="19"/>
    </row>
    <row r="15" spans="1:7" x14ac:dyDescent="0.25">
      <c r="A15" s="18">
        <v>3</v>
      </c>
      <c r="B15" t="s">
        <v>8</v>
      </c>
      <c r="D15" s="1">
        <f>+D11*D13</f>
        <v>76698234.46819666</v>
      </c>
      <c r="E15" s="1"/>
      <c r="F15" s="1">
        <f>+F11*F13</f>
        <v>94615087.469315588</v>
      </c>
    </row>
    <row r="16" spans="1:7" x14ac:dyDescent="0.25">
      <c r="A16" s="19"/>
    </row>
    <row r="17" spans="1:6" x14ac:dyDescent="0.25">
      <c r="A17" s="19">
        <v>4</v>
      </c>
      <c r="B17" t="s">
        <v>37</v>
      </c>
      <c r="D17" s="29">
        <v>63750325</v>
      </c>
      <c r="E17" s="29"/>
      <c r="F17" s="29">
        <v>75520664</v>
      </c>
    </row>
    <row r="18" spans="1:6" x14ac:dyDescent="0.25">
      <c r="A18" s="19"/>
    </row>
    <row r="19" spans="1:6" x14ac:dyDescent="0.25">
      <c r="A19" s="18">
        <v>5</v>
      </c>
      <c r="B19" t="s">
        <v>9</v>
      </c>
      <c r="D19" s="1">
        <f>+D15-D17</f>
        <v>12947909.46819666</v>
      </c>
      <c r="E19" s="1"/>
      <c r="F19" s="1">
        <f>+F15-F17</f>
        <v>19094423.469315588</v>
      </c>
    </row>
    <row r="20" spans="1:6" x14ac:dyDescent="0.25">
      <c r="A20" s="19"/>
    </row>
    <row r="21" spans="1:6" x14ac:dyDescent="0.25">
      <c r="A21" s="18">
        <v>6</v>
      </c>
      <c r="B21" t="s">
        <v>38</v>
      </c>
      <c r="D21" s="21">
        <v>0.75182000000000004</v>
      </c>
      <c r="E21" s="21"/>
      <c r="F21" s="21">
        <v>0.75182000000000004</v>
      </c>
    </row>
    <row r="22" spans="1:6" x14ac:dyDescent="0.25">
      <c r="A22" s="19"/>
    </row>
    <row r="23" spans="1:6" x14ac:dyDescent="0.25">
      <c r="A23" s="18">
        <v>7</v>
      </c>
      <c r="B23" s="24" t="s">
        <v>39</v>
      </c>
      <c r="D23" s="27">
        <f>+D19/D21</f>
        <v>17222087.026411455</v>
      </c>
      <c r="E23" s="27"/>
      <c r="F23" s="27">
        <f>+F19/F21</f>
        <v>25397599.783612549</v>
      </c>
    </row>
    <row r="24" spans="1:6" x14ac:dyDescent="0.25">
      <c r="A24" s="19"/>
    </row>
    <row r="25" spans="1:6" x14ac:dyDescent="0.25">
      <c r="A25" s="25">
        <v>8</v>
      </c>
      <c r="B25" s="24" t="s">
        <v>14</v>
      </c>
      <c r="C25" s="24"/>
      <c r="D25" s="28">
        <v>26763219</v>
      </c>
      <c r="E25" s="28"/>
      <c r="F25" s="28">
        <v>27947817</v>
      </c>
    </row>
    <row r="26" spans="1:6" x14ac:dyDescent="0.25">
      <c r="A26" s="25"/>
      <c r="B26" s="24"/>
      <c r="C26" s="24"/>
      <c r="D26" s="24"/>
      <c r="E26" s="24"/>
      <c r="F26" s="24"/>
    </row>
    <row r="27" spans="1:6" x14ac:dyDescent="0.25">
      <c r="A27" s="25">
        <v>9</v>
      </c>
      <c r="B27" s="24" t="s">
        <v>35</v>
      </c>
      <c r="C27" s="24"/>
      <c r="D27" s="35">
        <f>+D23-D25</f>
        <v>-9541131.9735885449</v>
      </c>
      <c r="E27" s="35"/>
      <c r="F27" s="35">
        <f>+F23-F25</f>
        <v>-2550217.2163874507</v>
      </c>
    </row>
    <row r="28" spans="1:6" x14ac:dyDescent="0.25">
      <c r="A28" s="25"/>
      <c r="B28" s="24"/>
      <c r="C28" s="24"/>
      <c r="D28" s="26"/>
      <c r="E28" s="26"/>
      <c r="F28" s="26"/>
    </row>
    <row r="29" spans="1:6" ht="15.75" x14ac:dyDescent="0.25">
      <c r="A29" s="10"/>
      <c r="B29" s="8"/>
      <c r="C29" s="8"/>
      <c r="D29" s="11"/>
      <c r="E29" s="11"/>
      <c r="F29" s="11"/>
    </row>
    <row r="30" spans="1:6" x14ac:dyDescent="0.25">
      <c r="B30" t="s">
        <v>15</v>
      </c>
    </row>
    <row r="31" spans="1:6" x14ac:dyDescent="0.25">
      <c r="B31" t="s">
        <v>98</v>
      </c>
    </row>
    <row r="32" spans="1:6" x14ac:dyDescent="0.25">
      <c r="B32" t="s">
        <v>40</v>
      </c>
    </row>
    <row r="33" spans="2:2" x14ac:dyDescent="0.25">
      <c r="B33" t="s">
        <v>42</v>
      </c>
    </row>
    <row r="34" spans="2:2" x14ac:dyDescent="0.25">
      <c r="B34" t="s">
        <v>41</v>
      </c>
    </row>
    <row r="35" spans="2:2" x14ac:dyDescent="0.25">
      <c r="B35" t="s">
        <v>54</v>
      </c>
    </row>
    <row r="36" spans="2:2" x14ac:dyDescent="0.25">
      <c r="B36" t="s">
        <v>43</v>
      </c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70CD-5BF1-4893-BF86-77077D0DEB9E}">
  <dimension ref="A1:F22"/>
  <sheetViews>
    <sheetView workbookViewId="0">
      <selection activeCell="B24" sqref="B24"/>
    </sheetView>
  </sheetViews>
  <sheetFormatPr defaultRowHeight="15" x14ac:dyDescent="0.25"/>
  <cols>
    <col min="2" max="2" width="20.7109375" customWidth="1"/>
    <col min="3" max="6" width="14.7109375" customWidth="1"/>
  </cols>
  <sheetData>
    <row r="1" spans="1:6" x14ac:dyDescent="0.25">
      <c r="A1" s="4"/>
      <c r="B1" s="4"/>
      <c r="C1" s="4"/>
      <c r="F1" s="4" t="s">
        <v>10</v>
      </c>
    </row>
    <row r="2" spans="1:6" x14ac:dyDescent="0.25">
      <c r="A2" s="4"/>
      <c r="B2" s="4"/>
      <c r="C2" s="4"/>
      <c r="F2" s="4" t="s">
        <v>22</v>
      </c>
    </row>
    <row r="3" spans="1:6" x14ac:dyDescent="0.25">
      <c r="A3" s="4"/>
      <c r="B3" s="4"/>
      <c r="C3" s="4"/>
      <c r="D3" s="4"/>
    </row>
    <row r="4" spans="1:6" x14ac:dyDescent="0.25">
      <c r="B4" s="4" t="s">
        <v>12</v>
      </c>
      <c r="C4" s="4"/>
      <c r="D4" s="4"/>
    </row>
    <row r="5" spans="1:6" x14ac:dyDescent="0.25">
      <c r="B5" s="4"/>
      <c r="C5" s="4"/>
      <c r="D5" s="4"/>
    </row>
    <row r="6" spans="1:6" x14ac:dyDescent="0.25">
      <c r="B6" s="4" t="s">
        <v>24</v>
      </c>
      <c r="C6" s="4"/>
      <c r="D6" s="4"/>
    </row>
    <row r="7" spans="1:6" ht="15.75" x14ac:dyDescent="0.25">
      <c r="A7" s="7"/>
    </row>
    <row r="9" spans="1:6" x14ac:dyDescent="0.25">
      <c r="B9" s="9"/>
      <c r="C9" s="9" t="s">
        <v>26</v>
      </c>
      <c r="D9" s="9" t="s">
        <v>28</v>
      </c>
      <c r="E9" s="9" t="s">
        <v>30</v>
      </c>
    </row>
    <row r="10" spans="1:6" x14ac:dyDescent="0.25">
      <c r="B10" s="14" t="s">
        <v>25</v>
      </c>
      <c r="C10" s="14" t="s">
        <v>27</v>
      </c>
      <c r="D10" s="14" t="s">
        <v>29</v>
      </c>
      <c r="E10" s="14" t="s">
        <v>31</v>
      </c>
    </row>
    <row r="12" spans="1:6" x14ac:dyDescent="0.25">
      <c r="A12">
        <v>1</v>
      </c>
      <c r="B12" t="s">
        <v>32</v>
      </c>
      <c r="C12" s="13">
        <v>0.50890000000000002</v>
      </c>
      <c r="D12" s="13">
        <v>4.7699999999999999E-2</v>
      </c>
      <c r="E12" s="13">
        <f>+C12*D12</f>
        <v>2.4274529999999999E-2</v>
      </c>
    </row>
    <row r="13" spans="1:6" x14ac:dyDescent="0.25">
      <c r="D13" s="13"/>
      <c r="E13" s="13"/>
    </row>
    <row r="14" spans="1:6" x14ac:dyDescent="0.25">
      <c r="A14">
        <v>2</v>
      </c>
      <c r="B14" t="s">
        <v>33</v>
      </c>
      <c r="C14" s="13">
        <v>1E-4</v>
      </c>
      <c r="D14" s="13">
        <v>6.7500000000000004E-2</v>
      </c>
      <c r="E14" s="13">
        <f t="shared" ref="E14:E16" si="0">+C14*D14</f>
        <v>6.7500000000000006E-6</v>
      </c>
    </row>
    <row r="15" spans="1:6" x14ac:dyDescent="0.25">
      <c r="C15" s="13"/>
      <c r="D15" s="13"/>
      <c r="E15" s="13"/>
    </row>
    <row r="16" spans="1:6" x14ac:dyDescent="0.25">
      <c r="A16">
        <v>3</v>
      </c>
      <c r="B16" t="s">
        <v>34</v>
      </c>
      <c r="C16" s="15">
        <v>0.49099999999999999</v>
      </c>
      <c r="D16" s="15">
        <v>9.2499999999999999E-2</v>
      </c>
      <c r="E16" s="15">
        <f t="shared" si="0"/>
        <v>4.54175E-2</v>
      </c>
    </row>
    <row r="17" spans="2:5" x14ac:dyDescent="0.25">
      <c r="C17" s="13"/>
      <c r="D17" s="13"/>
      <c r="E17" s="13"/>
    </row>
    <row r="18" spans="2:5" x14ac:dyDescent="0.25">
      <c r="C18" s="13"/>
      <c r="D18" s="13"/>
      <c r="E18" s="16">
        <f>SUM(E12:E16)</f>
        <v>6.9698780000000002E-2</v>
      </c>
    </row>
    <row r="19" spans="2:5" x14ac:dyDescent="0.25">
      <c r="C19" s="13"/>
      <c r="D19" s="13"/>
      <c r="E19" s="13"/>
    </row>
    <row r="20" spans="2:5" x14ac:dyDescent="0.25">
      <c r="C20" s="13"/>
      <c r="D20" s="13"/>
      <c r="E20" s="13"/>
    </row>
    <row r="21" spans="2:5" x14ac:dyDescent="0.25">
      <c r="B21" t="s">
        <v>15</v>
      </c>
      <c r="C21" s="13"/>
      <c r="D21" s="13"/>
      <c r="E21" s="13"/>
    </row>
    <row r="22" spans="2:5" x14ac:dyDescent="0.25">
      <c r="B22" t="s">
        <v>99</v>
      </c>
      <c r="C22" s="13"/>
      <c r="D22" s="13"/>
      <c r="E22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0DFA-A80D-4C22-92AE-4D0CC2BD1EF2}">
  <dimension ref="A1:F23"/>
  <sheetViews>
    <sheetView zoomScale="130" zoomScaleNormal="130" workbookViewId="0">
      <selection activeCell="F3" sqref="F3"/>
    </sheetView>
  </sheetViews>
  <sheetFormatPr defaultRowHeight="15" x14ac:dyDescent="0.25"/>
  <cols>
    <col min="2" max="3" width="15.7109375" customWidth="1"/>
    <col min="4" max="4" width="6.7109375" customWidth="1"/>
    <col min="5" max="5" width="14.7109375" customWidth="1"/>
  </cols>
  <sheetData>
    <row r="1" spans="1:6" x14ac:dyDescent="0.25">
      <c r="A1" s="4"/>
      <c r="B1" s="4"/>
      <c r="C1" s="4"/>
      <c r="D1" s="4"/>
      <c r="F1" s="4" t="s">
        <v>10</v>
      </c>
    </row>
    <row r="2" spans="1:6" x14ac:dyDescent="0.25">
      <c r="A2" s="4"/>
      <c r="B2" s="4"/>
      <c r="C2" s="4"/>
      <c r="D2" s="4"/>
      <c r="F2" s="4" t="s">
        <v>72</v>
      </c>
    </row>
    <row r="3" spans="1:6" x14ac:dyDescent="0.25">
      <c r="A3" s="4"/>
      <c r="B3" s="4"/>
      <c r="C3" s="4"/>
      <c r="D3" s="4"/>
      <c r="E3" s="4"/>
    </row>
    <row r="4" spans="1:6" x14ac:dyDescent="0.25">
      <c r="B4" s="4" t="s">
        <v>12</v>
      </c>
      <c r="C4" s="4"/>
      <c r="D4" s="4"/>
      <c r="E4" s="4"/>
    </row>
    <row r="5" spans="1:6" x14ac:dyDescent="0.25">
      <c r="B5" s="4"/>
      <c r="C5" s="4"/>
      <c r="D5" s="4"/>
      <c r="E5" s="4"/>
    </row>
    <row r="6" spans="1:6" x14ac:dyDescent="0.25">
      <c r="B6" s="4" t="s">
        <v>44</v>
      </c>
      <c r="C6" s="4"/>
      <c r="D6" s="4"/>
      <c r="E6" s="4"/>
    </row>
    <row r="7" spans="1:6" x14ac:dyDescent="0.25">
      <c r="E7" s="14" t="s">
        <v>18</v>
      </c>
    </row>
    <row r="8" spans="1:6" x14ac:dyDescent="0.25">
      <c r="E8" s="6"/>
    </row>
    <row r="9" spans="1:6" x14ac:dyDescent="0.25">
      <c r="A9">
        <v>1</v>
      </c>
      <c r="B9" t="s">
        <v>48</v>
      </c>
      <c r="E9" s="1">
        <v>826093</v>
      </c>
    </row>
    <row r="10" spans="1:6" x14ac:dyDescent="0.25">
      <c r="E10" s="30"/>
    </row>
    <row r="11" spans="1:6" x14ac:dyDescent="0.25">
      <c r="A11">
        <v>2</v>
      </c>
      <c r="B11" t="s">
        <v>46</v>
      </c>
      <c r="C11" s="13">
        <v>0.21</v>
      </c>
      <c r="E11" s="3">
        <f>0.21*E9</f>
        <v>173479.53</v>
      </c>
    </row>
    <row r="12" spans="1:6" x14ac:dyDescent="0.25">
      <c r="E12" s="2"/>
    </row>
    <row r="13" spans="1:6" x14ac:dyDescent="0.25">
      <c r="A13">
        <v>3</v>
      </c>
      <c r="B13" t="s">
        <v>47</v>
      </c>
      <c r="E13" s="1">
        <f>+E9-E11</f>
        <v>652613.47</v>
      </c>
    </row>
    <row r="14" spans="1:6" x14ac:dyDescent="0.25">
      <c r="E14" s="30"/>
    </row>
    <row r="15" spans="1:6" x14ac:dyDescent="0.25">
      <c r="A15">
        <v>4</v>
      </c>
      <c r="B15" t="s">
        <v>49</v>
      </c>
      <c r="E15" s="31">
        <v>0.75182000000000004</v>
      </c>
    </row>
    <row r="17" spans="1:5" x14ac:dyDescent="0.25">
      <c r="A17">
        <v>5</v>
      </c>
      <c r="B17" t="s">
        <v>50</v>
      </c>
      <c r="E17" s="12">
        <f>+E13/E15</f>
        <v>868044.83786012605</v>
      </c>
    </row>
    <row r="20" spans="1:5" x14ac:dyDescent="0.25">
      <c r="B20" t="s">
        <v>15</v>
      </c>
    </row>
    <row r="21" spans="1:5" x14ac:dyDescent="0.25">
      <c r="B21" t="s">
        <v>51</v>
      </c>
    </row>
    <row r="22" spans="1:5" x14ac:dyDescent="0.25">
      <c r="B22" t="s">
        <v>53</v>
      </c>
    </row>
    <row r="23" spans="1:5" x14ac:dyDescent="0.25">
      <c r="B23" t="s">
        <v>52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0098-01AA-4C2C-A421-A493EA562891}">
  <dimension ref="A1:F23"/>
  <sheetViews>
    <sheetView workbookViewId="0">
      <selection activeCell="F3" sqref="F3"/>
    </sheetView>
  </sheetViews>
  <sheetFormatPr defaultRowHeight="15" x14ac:dyDescent="0.25"/>
  <cols>
    <col min="2" max="4" width="15.7109375" customWidth="1"/>
    <col min="5" max="5" width="14.7109375" customWidth="1"/>
  </cols>
  <sheetData>
    <row r="1" spans="1:6" x14ac:dyDescent="0.25">
      <c r="A1" s="4"/>
      <c r="B1" s="4"/>
      <c r="C1" s="4"/>
      <c r="D1" s="4"/>
      <c r="F1" s="4" t="s">
        <v>10</v>
      </c>
    </row>
    <row r="2" spans="1:6" x14ac:dyDescent="0.25">
      <c r="A2" s="4"/>
      <c r="B2" s="4"/>
      <c r="C2" s="4"/>
      <c r="D2" s="4"/>
      <c r="F2" s="4" t="s">
        <v>73</v>
      </c>
    </row>
    <row r="3" spans="1:6" x14ac:dyDescent="0.25">
      <c r="A3" s="4"/>
      <c r="B3" s="4"/>
      <c r="C3" s="4"/>
      <c r="D3" s="4"/>
      <c r="E3" s="4"/>
    </row>
    <row r="4" spans="1:6" x14ac:dyDescent="0.25">
      <c r="B4" s="4" t="s">
        <v>12</v>
      </c>
      <c r="C4" s="4"/>
      <c r="D4" s="4"/>
      <c r="E4" s="4"/>
    </row>
    <row r="5" spans="1:6" x14ac:dyDescent="0.25">
      <c r="B5" s="4"/>
      <c r="C5" s="4"/>
      <c r="D5" s="4"/>
      <c r="E5" s="4"/>
    </row>
    <row r="6" spans="1:6" x14ac:dyDescent="0.25">
      <c r="B6" s="4" t="s">
        <v>58</v>
      </c>
      <c r="C6" s="4"/>
      <c r="D6" s="4"/>
      <c r="E6" s="4"/>
    </row>
    <row r="7" spans="1:6" x14ac:dyDescent="0.25">
      <c r="E7" s="14" t="s">
        <v>18</v>
      </c>
    </row>
    <row r="8" spans="1:6" x14ac:dyDescent="0.25">
      <c r="E8" s="6"/>
    </row>
    <row r="9" spans="1:6" x14ac:dyDescent="0.25">
      <c r="A9">
        <v>1</v>
      </c>
      <c r="B9" t="s">
        <v>48</v>
      </c>
      <c r="E9" s="1">
        <v>911209</v>
      </c>
    </row>
    <row r="10" spans="1:6" x14ac:dyDescent="0.25">
      <c r="E10" s="30"/>
    </row>
    <row r="11" spans="1:6" x14ac:dyDescent="0.25">
      <c r="A11">
        <v>2</v>
      </c>
      <c r="B11" t="s">
        <v>46</v>
      </c>
      <c r="C11" s="13">
        <v>0.21</v>
      </c>
      <c r="E11" s="3">
        <f>0.21*E9</f>
        <v>191353.88999999998</v>
      </c>
    </row>
    <row r="12" spans="1:6" x14ac:dyDescent="0.25">
      <c r="E12" s="2"/>
    </row>
    <row r="13" spans="1:6" x14ac:dyDescent="0.25">
      <c r="A13">
        <v>3</v>
      </c>
      <c r="B13" t="s">
        <v>47</v>
      </c>
      <c r="E13" s="1">
        <f>+E9-E11</f>
        <v>719855.11</v>
      </c>
    </row>
    <row r="14" spans="1:6" x14ac:dyDescent="0.25">
      <c r="E14" s="30"/>
    </row>
    <row r="15" spans="1:6" x14ac:dyDescent="0.25">
      <c r="A15">
        <v>4</v>
      </c>
      <c r="B15" t="s">
        <v>49</v>
      </c>
      <c r="E15" s="31">
        <v>0.75182000000000004</v>
      </c>
    </row>
    <row r="17" spans="1:5" x14ac:dyDescent="0.25">
      <c r="A17">
        <v>5</v>
      </c>
      <c r="B17" t="s">
        <v>50</v>
      </c>
      <c r="E17" s="12">
        <f>+E13/E15</f>
        <v>957483.32047564571</v>
      </c>
    </row>
    <row r="20" spans="1:5" x14ac:dyDescent="0.25">
      <c r="B20" t="s">
        <v>15</v>
      </c>
    </row>
    <row r="21" spans="1:5" x14ac:dyDescent="0.25">
      <c r="B21" t="s">
        <v>51</v>
      </c>
    </row>
    <row r="22" spans="1:5" x14ac:dyDescent="0.25">
      <c r="B22" t="s">
        <v>53</v>
      </c>
    </row>
    <row r="23" spans="1:5" x14ac:dyDescent="0.25">
      <c r="B23" t="s">
        <v>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71A2A-2D7F-42E4-B08D-25CED813AAA0}">
  <dimension ref="A1:F23"/>
  <sheetViews>
    <sheetView zoomScale="130" zoomScaleNormal="130" workbookViewId="0">
      <selection activeCell="F3" sqref="F3"/>
    </sheetView>
  </sheetViews>
  <sheetFormatPr defaultRowHeight="15" x14ac:dyDescent="0.25"/>
  <cols>
    <col min="2" max="3" width="15.7109375" customWidth="1"/>
    <col min="5" max="5" width="14.7109375" customWidth="1"/>
  </cols>
  <sheetData>
    <row r="1" spans="1:6" x14ac:dyDescent="0.25">
      <c r="A1" s="4"/>
      <c r="B1" s="4"/>
      <c r="C1" s="4"/>
      <c r="D1" s="4"/>
      <c r="F1" s="4" t="s">
        <v>10</v>
      </c>
    </row>
    <row r="2" spans="1:6" x14ac:dyDescent="0.25">
      <c r="A2" s="4"/>
      <c r="B2" s="4"/>
      <c r="C2" s="4"/>
      <c r="D2" s="4"/>
      <c r="F2" s="4" t="s">
        <v>45</v>
      </c>
    </row>
    <row r="3" spans="1:6" x14ac:dyDescent="0.25">
      <c r="A3" s="4"/>
      <c r="B3" s="4"/>
      <c r="C3" s="4"/>
      <c r="D3" s="4"/>
      <c r="E3" s="4"/>
    </row>
    <row r="4" spans="1:6" x14ac:dyDescent="0.25">
      <c r="B4" s="4" t="s">
        <v>12</v>
      </c>
      <c r="C4" s="4"/>
      <c r="D4" s="4"/>
      <c r="E4" s="4"/>
    </row>
    <row r="5" spans="1:6" x14ac:dyDescent="0.25">
      <c r="B5" s="4"/>
      <c r="C5" s="4"/>
      <c r="D5" s="4"/>
      <c r="E5" s="4"/>
    </row>
    <row r="6" spans="1:6" x14ac:dyDescent="0.25">
      <c r="B6" s="4" t="s">
        <v>55</v>
      </c>
      <c r="C6" s="4"/>
      <c r="D6" s="4"/>
      <c r="E6" s="4"/>
    </row>
    <row r="7" spans="1:6" x14ac:dyDescent="0.25">
      <c r="E7" s="14" t="s">
        <v>18</v>
      </c>
    </row>
    <row r="8" spans="1:6" x14ac:dyDescent="0.25">
      <c r="E8" s="6"/>
    </row>
    <row r="9" spans="1:6" x14ac:dyDescent="0.25">
      <c r="A9">
        <v>1</v>
      </c>
      <c r="B9" t="s">
        <v>48</v>
      </c>
      <c r="E9" s="1">
        <v>5273956</v>
      </c>
    </row>
    <row r="10" spans="1:6" x14ac:dyDescent="0.25">
      <c r="E10" s="30"/>
    </row>
    <row r="11" spans="1:6" x14ac:dyDescent="0.25">
      <c r="A11">
        <v>2</v>
      </c>
      <c r="B11" t="s">
        <v>46</v>
      </c>
      <c r="C11" s="13">
        <v>0.21</v>
      </c>
      <c r="E11" s="3">
        <f>0.21*E9</f>
        <v>1107530.76</v>
      </c>
    </row>
    <row r="12" spans="1:6" x14ac:dyDescent="0.25">
      <c r="E12" s="2"/>
    </row>
    <row r="13" spans="1:6" x14ac:dyDescent="0.25">
      <c r="A13">
        <v>3</v>
      </c>
      <c r="B13" t="s">
        <v>47</v>
      </c>
      <c r="E13" s="1">
        <f>+E9-E11</f>
        <v>4166425.24</v>
      </c>
    </row>
    <row r="14" spans="1:6" x14ac:dyDescent="0.25">
      <c r="E14" s="30"/>
    </row>
    <row r="15" spans="1:6" x14ac:dyDescent="0.25">
      <c r="A15">
        <v>4</v>
      </c>
      <c r="B15" t="s">
        <v>49</v>
      </c>
      <c r="E15" s="31">
        <v>0.75182000000000004</v>
      </c>
    </row>
    <row r="17" spans="1:5" x14ac:dyDescent="0.25">
      <c r="A17">
        <v>5</v>
      </c>
      <c r="B17" t="s">
        <v>50</v>
      </c>
      <c r="E17" s="12">
        <f>+E13/E15</f>
        <v>5541785.5869756062</v>
      </c>
    </row>
    <row r="20" spans="1:5" x14ac:dyDescent="0.25">
      <c r="B20" t="s">
        <v>15</v>
      </c>
    </row>
    <row r="21" spans="1:5" x14ac:dyDescent="0.25">
      <c r="B21" t="s">
        <v>51</v>
      </c>
    </row>
    <row r="22" spans="1:5" x14ac:dyDescent="0.25">
      <c r="B22" t="s">
        <v>53</v>
      </c>
    </row>
    <row r="23" spans="1:5" x14ac:dyDescent="0.25">
      <c r="B23" t="s">
        <v>52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3DA0-9C72-4AD0-8461-89E427492921}">
  <sheetPr>
    <pageSetUpPr fitToPage="1"/>
  </sheetPr>
  <dimension ref="A1:I35"/>
  <sheetViews>
    <sheetView workbookViewId="0">
      <selection activeCell="B9" sqref="B9"/>
    </sheetView>
  </sheetViews>
  <sheetFormatPr defaultRowHeight="15" x14ac:dyDescent="0.25"/>
  <cols>
    <col min="2" max="2" width="15.7109375" customWidth="1"/>
    <col min="3" max="3" width="6.7109375" customWidth="1"/>
    <col min="4" max="9" width="14.7109375" customWidth="1"/>
  </cols>
  <sheetData>
    <row r="1" spans="1:9" x14ac:dyDescent="0.25">
      <c r="A1" s="4"/>
      <c r="B1" s="4"/>
      <c r="C1" s="4"/>
      <c r="F1" s="4"/>
      <c r="I1" s="4" t="s">
        <v>10</v>
      </c>
    </row>
    <row r="2" spans="1:9" x14ac:dyDescent="0.25">
      <c r="A2" s="4"/>
      <c r="B2" s="4"/>
      <c r="C2" s="4"/>
      <c r="F2" s="4"/>
      <c r="I2" s="4" t="s">
        <v>56</v>
      </c>
    </row>
    <row r="3" spans="1:9" x14ac:dyDescent="0.25">
      <c r="A3" s="4"/>
      <c r="B3" s="4"/>
      <c r="C3" s="4"/>
      <c r="D3" s="4"/>
    </row>
    <row r="4" spans="1:9" x14ac:dyDescent="0.25">
      <c r="B4" s="4" t="s">
        <v>12</v>
      </c>
      <c r="C4" s="4"/>
      <c r="D4" s="4"/>
    </row>
    <row r="5" spans="1:9" x14ac:dyDescent="0.25">
      <c r="B5" s="4"/>
      <c r="C5" s="4"/>
      <c r="D5" s="4"/>
    </row>
    <row r="6" spans="1:9" x14ac:dyDescent="0.25">
      <c r="B6" s="4" t="s">
        <v>97</v>
      </c>
      <c r="C6" s="4"/>
      <c r="D6" s="4"/>
    </row>
    <row r="7" spans="1:9" x14ac:dyDescent="0.25">
      <c r="D7" s="9"/>
    </row>
    <row r="8" spans="1:9" x14ac:dyDescent="0.25">
      <c r="D8" s="9" t="s">
        <v>64</v>
      </c>
      <c r="E8" s="9"/>
      <c r="F8" s="9"/>
      <c r="G8" s="9"/>
      <c r="H8" s="9" t="s">
        <v>67</v>
      </c>
      <c r="I8" s="9" t="s">
        <v>67</v>
      </c>
    </row>
    <row r="9" spans="1:9" x14ac:dyDescent="0.25">
      <c r="D9" s="14" t="s">
        <v>65</v>
      </c>
      <c r="E9" s="14" t="s">
        <v>66</v>
      </c>
      <c r="F9" s="14" t="s">
        <v>3</v>
      </c>
      <c r="G9" s="14" t="s">
        <v>4</v>
      </c>
      <c r="H9" s="14" t="s">
        <v>68</v>
      </c>
      <c r="I9" s="14" t="s">
        <v>69</v>
      </c>
    </row>
    <row r="10" spans="1:9" x14ac:dyDescent="0.25">
      <c r="D10" s="32" t="s">
        <v>5</v>
      </c>
      <c r="E10" s="9" t="s">
        <v>6</v>
      </c>
      <c r="F10" s="9" t="s">
        <v>5</v>
      </c>
      <c r="H10" s="9" t="s">
        <v>7</v>
      </c>
    </row>
    <row r="11" spans="1:9" x14ac:dyDescent="0.25">
      <c r="A11">
        <v>1</v>
      </c>
      <c r="B11" t="s">
        <v>61</v>
      </c>
      <c r="D11" s="1">
        <f>1569444+2278239</f>
        <v>3847683</v>
      </c>
      <c r="E11" s="1">
        <f>+D11*1.1*1.1*1.05</f>
        <v>4888481.2515000021</v>
      </c>
      <c r="F11" s="1">
        <f>2130749+4959818</f>
        <v>7090567</v>
      </c>
      <c r="G11" s="1">
        <f>+F11-E11</f>
        <v>2202085.7484999979</v>
      </c>
      <c r="H11" s="13">
        <v>6.2640000000000001E-2</v>
      </c>
      <c r="I11" s="1">
        <f>+G11*H11</f>
        <v>137938.65128603988</v>
      </c>
    </row>
    <row r="12" spans="1:9" x14ac:dyDescent="0.25">
      <c r="D12" s="30"/>
      <c r="E12" s="2"/>
      <c r="F12" s="2"/>
      <c r="G12" s="2"/>
      <c r="H12" s="13"/>
    </row>
    <row r="13" spans="1:9" x14ac:dyDescent="0.25">
      <c r="A13">
        <v>2</v>
      </c>
      <c r="B13" t="s">
        <v>62</v>
      </c>
      <c r="C13" s="13"/>
      <c r="D13" s="6">
        <f>3457552+8384003</f>
        <v>11841555</v>
      </c>
      <c r="E13" s="6">
        <f t="shared" ref="E13:E15" si="0">+D13*1.1*1.1*1.05</f>
        <v>15044695.627500003</v>
      </c>
      <c r="F13" s="6">
        <f>5232185+10035031</f>
        <v>15267216</v>
      </c>
      <c r="G13" s="6">
        <f t="shared" ref="G13:G17" si="1">+F13-E13</f>
        <v>222520.3724999968</v>
      </c>
      <c r="H13" s="13">
        <v>1</v>
      </c>
      <c r="I13" s="2">
        <f t="shared" ref="I13:I15" si="2">+G13*H13</f>
        <v>222520.3724999968</v>
      </c>
    </row>
    <row r="14" spans="1:9" x14ac:dyDescent="0.25">
      <c r="D14" s="6"/>
      <c r="E14" s="6"/>
      <c r="F14" s="6"/>
      <c r="G14" s="6"/>
      <c r="H14" s="13"/>
      <c r="I14" s="2"/>
    </row>
    <row r="15" spans="1:9" x14ac:dyDescent="0.25">
      <c r="A15">
        <v>3</v>
      </c>
      <c r="B15" t="s">
        <v>63</v>
      </c>
      <c r="D15" s="33">
        <f>5751706+1384515</f>
        <v>7136221</v>
      </c>
      <c r="E15" s="33">
        <f t="shared" si="0"/>
        <v>9066568.7805000022</v>
      </c>
      <c r="F15" s="33">
        <f>10559572+1534569</f>
        <v>12094141</v>
      </c>
      <c r="G15" s="33">
        <f t="shared" si="1"/>
        <v>3027572.2194999978</v>
      </c>
      <c r="H15" s="15">
        <v>7.979E-2</v>
      </c>
      <c r="I15" s="3">
        <f t="shared" si="2"/>
        <v>241569.98739390483</v>
      </c>
    </row>
    <row r="16" spans="1:9" x14ac:dyDescent="0.25">
      <c r="D16" s="2"/>
      <c r="E16" s="2"/>
      <c r="F16" s="2"/>
      <c r="G16" s="1"/>
      <c r="H16" s="13"/>
    </row>
    <row r="17" spans="1:9" x14ac:dyDescent="0.25">
      <c r="A17">
        <v>4</v>
      </c>
      <c r="B17" t="s">
        <v>77</v>
      </c>
      <c r="D17" s="1">
        <f>SUM(D11:D15)</f>
        <v>22825459</v>
      </c>
      <c r="E17" s="1">
        <f t="shared" ref="E17:F17" si="3">SUM(E11:E15)</f>
        <v>28999745.659500007</v>
      </c>
      <c r="F17" s="1">
        <f t="shared" si="3"/>
        <v>34451924</v>
      </c>
      <c r="G17" s="1">
        <f t="shared" si="1"/>
        <v>5452178.3404999934</v>
      </c>
      <c r="H17" s="13"/>
      <c r="I17" s="1">
        <f>SUM(I11:I15)</f>
        <v>602029.01117994147</v>
      </c>
    </row>
    <row r="18" spans="1:9" x14ac:dyDescent="0.25">
      <c r="E18" s="2"/>
      <c r="F18" s="2"/>
      <c r="G18" s="2"/>
    </row>
    <row r="19" spans="1:9" x14ac:dyDescent="0.25">
      <c r="A19">
        <v>5</v>
      </c>
      <c r="B19" t="s">
        <v>46</v>
      </c>
      <c r="C19" s="34">
        <v>0.21</v>
      </c>
      <c r="F19" s="2"/>
      <c r="G19" s="2"/>
      <c r="I19" s="3">
        <f>0.21*I17</f>
        <v>126426.09234778771</v>
      </c>
    </row>
    <row r="20" spans="1:9" x14ac:dyDescent="0.25">
      <c r="I20" s="2"/>
    </row>
    <row r="21" spans="1:9" x14ac:dyDescent="0.25">
      <c r="A21">
        <v>6</v>
      </c>
      <c r="B21" t="s">
        <v>78</v>
      </c>
      <c r="I21" s="1">
        <f>+I17-I19</f>
        <v>475602.91883215378</v>
      </c>
    </row>
    <row r="22" spans="1:9" x14ac:dyDescent="0.25">
      <c r="I22" s="30"/>
    </row>
    <row r="23" spans="1:9" x14ac:dyDescent="0.25">
      <c r="A23">
        <v>7</v>
      </c>
      <c r="B23" t="s">
        <v>79</v>
      </c>
      <c r="I23" s="31">
        <v>0.75182000000000004</v>
      </c>
    </row>
    <row r="25" spans="1:9" x14ac:dyDescent="0.25">
      <c r="A25">
        <v>8</v>
      </c>
      <c r="B25" t="s">
        <v>80</v>
      </c>
      <c r="I25" s="12">
        <f>+I21/I23</f>
        <v>632602.11065435049</v>
      </c>
    </row>
    <row r="29" spans="1:9" x14ac:dyDescent="0.25">
      <c r="B29" t="s">
        <v>15</v>
      </c>
    </row>
    <row r="30" spans="1:9" x14ac:dyDescent="0.25">
      <c r="B30" t="s">
        <v>74</v>
      </c>
    </row>
    <row r="31" spans="1:9" x14ac:dyDescent="0.25">
      <c r="B31" t="s">
        <v>70</v>
      </c>
    </row>
    <row r="32" spans="1:9" x14ac:dyDescent="0.25">
      <c r="B32" t="s">
        <v>71</v>
      </c>
    </row>
    <row r="33" spans="2:2" x14ac:dyDescent="0.25">
      <c r="B33" t="s">
        <v>81</v>
      </c>
    </row>
    <row r="34" spans="2:2" x14ac:dyDescent="0.25">
      <c r="B34" t="s">
        <v>82</v>
      </c>
    </row>
    <row r="35" spans="2:2" x14ac:dyDescent="0.25">
      <c r="B35" t="s">
        <v>83</v>
      </c>
    </row>
  </sheetData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843F-98A3-4627-BF99-103E151EA9DE}">
  <sheetPr>
    <pageSetUpPr fitToPage="1"/>
  </sheetPr>
  <dimension ref="A1:G23"/>
  <sheetViews>
    <sheetView workbookViewId="0">
      <selection activeCell="B24" sqref="B24"/>
    </sheetView>
  </sheetViews>
  <sheetFormatPr defaultRowHeight="15" x14ac:dyDescent="0.25"/>
  <cols>
    <col min="2" max="4" width="15.7109375" customWidth="1"/>
    <col min="5" max="5" width="14.7109375" customWidth="1"/>
    <col min="6" max="6" width="4.7109375" customWidth="1"/>
    <col min="7" max="7" width="14.7109375" customWidth="1"/>
  </cols>
  <sheetData>
    <row r="1" spans="1:7" x14ac:dyDescent="0.25">
      <c r="A1" s="4"/>
      <c r="B1" s="4"/>
      <c r="C1" s="4"/>
      <c r="D1" s="4"/>
      <c r="G1" s="4" t="s">
        <v>10</v>
      </c>
    </row>
    <row r="2" spans="1:7" x14ac:dyDescent="0.25">
      <c r="A2" s="4"/>
      <c r="B2" s="4"/>
      <c r="C2" s="4"/>
      <c r="D2" s="4"/>
      <c r="G2" s="4" t="s">
        <v>57</v>
      </c>
    </row>
    <row r="3" spans="1:7" x14ac:dyDescent="0.25">
      <c r="A3" s="4"/>
      <c r="B3" s="4"/>
      <c r="C3" s="4"/>
      <c r="D3" s="4"/>
      <c r="E3" s="4"/>
    </row>
    <row r="4" spans="1:7" x14ac:dyDescent="0.25">
      <c r="B4" s="4" t="s">
        <v>12</v>
      </c>
      <c r="C4" s="4"/>
      <c r="D4" s="4"/>
      <c r="E4" s="4"/>
    </row>
    <row r="5" spans="1:7" x14ac:dyDescent="0.25">
      <c r="B5" s="4"/>
      <c r="C5" s="4"/>
      <c r="D5" s="4"/>
      <c r="E5" s="4"/>
    </row>
    <row r="6" spans="1:7" x14ac:dyDescent="0.25">
      <c r="B6" s="4" t="s">
        <v>59</v>
      </c>
      <c r="C6" s="4"/>
      <c r="D6" s="4"/>
      <c r="E6" s="4"/>
    </row>
    <row r="7" spans="1:7" x14ac:dyDescent="0.25">
      <c r="E7" s="14" t="s">
        <v>18</v>
      </c>
      <c r="G7" s="14" t="s">
        <v>19</v>
      </c>
    </row>
    <row r="8" spans="1:7" x14ac:dyDescent="0.25">
      <c r="E8" s="6"/>
      <c r="G8" s="6"/>
    </row>
    <row r="9" spans="1:7" x14ac:dyDescent="0.25">
      <c r="A9">
        <v>1</v>
      </c>
      <c r="B9" t="s">
        <v>60</v>
      </c>
      <c r="E9" s="1">
        <v>2512499</v>
      </c>
      <c r="G9" s="1">
        <v>735463</v>
      </c>
    </row>
    <row r="10" spans="1:7" x14ac:dyDescent="0.25">
      <c r="E10" s="30"/>
      <c r="G10" s="30"/>
    </row>
    <row r="11" spans="1:7" x14ac:dyDescent="0.25">
      <c r="A11">
        <v>2</v>
      </c>
      <c r="B11" t="s">
        <v>46</v>
      </c>
      <c r="C11" s="13">
        <v>0.21</v>
      </c>
      <c r="E11" s="3">
        <f>0.21*E9</f>
        <v>527624.79</v>
      </c>
      <c r="G11" s="3">
        <f>0.21*G9</f>
        <v>154447.22999999998</v>
      </c>
    </row>
    <row r="12" spans="1:7" x14ac:dyDescent="0.25">
      <c r="E12" s="2"/>
      <c r="G12" s="2"/>
    </row>
    <row r="13" spans="1:7" x14ac:dyDescent="0.25">
      <c r="A13">
        <v>3</v>
      </c>
      <c r="B13" t="s">
        <v>47</v>
      </c>
      <c r="E13" s="1">
        <f>+E9-E11</f>
        <v>1984874.21</v>
      </c>
      <c r="G13" s="1">
        <f>+G9-G11</f>
        <v>581015.77</v>
      </c>
    </row>
    <row r="14" spans="1:7" x14ac:dyDescent="0.25">
      <c r="E14" s="30"/>
      <c r="G14" s="30"/>
    </row>
    <row r="15" spans="1:7" x14ac:dyDescent="0.25">
      <c r="A15">
        <v>4</v>
      </c>
      <c r="B15" t="s">
        <v>49</v>
      </c>
      <c r="E15" s="31">
        <v>0.75182000000000004</v>
      </c>
      <c r="G15" s="31">
        <v>0.75182000000000004</v>
      </c>
    </row>
    <row r="17" spans="1:7" x14ac:dyDescent="0.25">
      <c r="A17">
        <v>5</v>
      </c>
      <c r="B17" t="s">
        <v>50</v>
      </c>
      <c r="E17" s="12">
        <f>+E13/E15</f>
        <v>2640092.3226304166</v>
      </c>
      <c r="G17" s="12">
        <f>+G13/G15</f>
        <v>772812.33539943071</v>
      </c>
    </row>
    <row r="20" spans="1:7" x14ac:dyDescent="0.25">
      <c r="B20" t="s">
        <v>15</v>
      </c>
    </row>
    <row r="21" spans="1:7" x14ac:dyDescent="0.25">
      <c r="B21" t="s">
        <v>89</v>
      </c>
    </row>
    <row r="22" spans="1:7" x14ac:dyDescent="0.25">
      <c r="B22" t="s">
        <v>53</v>
      </c>
    </row>
    <row r="23" spans="1:7" x14ac:dyDescent="0.25">
      <c r="B23" t="s">
        <v>52</v>
      </c>
    </row>
  </sheetData>
  <pageMargins left="0.7" right="0.7" top="0.75" bottom="0.75" header="0.3" footer="0.3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ADB52E-238B-47FE-AE5B-A2A4FB6F9130}"/>
</file>

<file path=customXml/itemProps2.xml><?xml version="1.0" encoding="utf-8"?>
<ds:datastoreItem xmlns:ds="http://schemas.openxmlformats.org/officeDocument/2006/customXml" ds:itemID="{E57F25E2-234B-4FC4-A7D9-F753ABF8D451}"/>
</file>

<file path=customXml/itemProps3.xml><?xml version="1.0" encoding="utf-8"?>
<ds:datastoreItem xmlns:ds="http://schemas.openxmlformats.org/officeDocument/2006/customXml" ds:itemID="{154A2DDC-0654-4078-92F2-E8CF7C7C0F15}"/>
</file>

<file path=customXml/itemProps4.xml><?xml version="1.0" encoding="utf-8"?>
<ds:datastoreItem xmlns:ds="http://schemas.openxmlformats.org/officeDocument/2006/customXml" ds:itemID="{14B6996B-F5F5-4998-B511-5336A6007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</vt:lpstr>
      <vt:lpstr>ROR Impact</vt:lpstr>
      <vt:lpstr>PC ROR</vt:lpstr>
      <vt:lpstr>CETA Deferral</vt:lpstr>
      <vt:lpstr>EV Pilot Deferral</vt:lpstr>
      <vt:lpstr>COVID Def</vt:lpstr>
      <vt:lpstr>T&amp;D </vt:lpstr>
      <vt:lpstr>Jim Bridger</vt:lpstr>
      <vt:lpstr>'CETA Deferral'!Print_Area</vt:lpstr>
      <vt:lpstr>'COVID Def'!Print_Area</vt:lpstr>
      <vt:lpstr>'EV Pilot Deferral'!Print_Area</vt:lpstr>
      <vt:lpstr>'Jim Bridger'!Print_Area</vt:lpstr>
      <vt:lpstr>'PC ROR'!Print_Area</vt:lpstr>
      <vt:lpstr>'ROR Impact'!Print_Area</vt:lpstr>
      <vt:lpstr>Summary!Print_Area</vt:lpstr>
      <vt:lpstr>'T&amp;D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Andrea Crane</cp:lastModifiedBy>
  <cp:lastPrinted>2023-09-13T16:54:35Z</cp:lastPrinted>
  <dcterms:created xsi:type="dcterms:W3CDTF">2023-07-31T22:45:56Z</dcterms:created>
  <dcterms:modified xsi:type="dcterms:W3CDTF">2023-09-13T16:55:43Z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