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11" sheetId="1" r:id="rId1"/>
  </sheets>
  <externalReferences>
    <externalReference r:id="rId2"/>
  </externalReferences>
  <definedNames>
    <definedName name="_xlnm._FilterDatabase" localSheetId="0" hidden="1">'JAP-11'!$O$1:$U$735</definedName>
    <definedName name="CASE">[1]INPUTS!$C$11</definedName>
    <definedName name="EffTax">[1]INPUTS!$F$36</definedName>
    <definedName name="FTAX">[1]INPUTS!$F$35</definedName>
    <definedName name="JP_Bal">'JAP-11'!$AG$29</definedName>
    <definedName name="Load_Factor">'JAP-11'!$AG$165</definedName>
    <definedName name="_xlnm.Print_Area" localSheetId="0">'JAP-11'!$C$4:$W$647</definedName>
    <definedName name="_xlnm.Print_Titles" localSheetId="0">'JAP-11'!$A:$C,'JAP-11'!$1:$2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 calcMode="manual" iterate="1" iterateDelta="1E-4" calcCompleted="0" calcOnSave="0"/>
</workbook>
</file>

<file path=xl/calcChain.xml><?xml version="1.0" encoding="utf-8"?>
<calcChain xmlns="http://schemas.openxmlformats.org/spreadsheetml/2006/main">
  <c r="H654" i="1" l="1"/>
  <c r="H653" i="1"/>
  <c r="H652" i="1"/>
  <c r="H651" i="1"/>
  <c r="L647" i="1"/>
  <c r="K647" i="1"/>
  <c r="J647" i="1"/>
  <c r="I647" i="1"/>
  <c r="H647" i="1"/>
  <c r="G647" i="1"/>
  <c r="F647" i="1"/>
  <c r="E647" i="1"/>
  <c r="D647" i="1"/>
  <c r="C647" i="1"/>
  <c r="L646" i="1"/>
  <c r="K646" i="1"/>
  <c r="D646" i="1"/>
  <c r="L645" i="1"/>
  <c r="K645" i="1"/>
  <c r="D645" i="1"/>
  <c r="L644" i="1"/>
  <c r="K644" i="1"/>
  <c r="D644" i="1"/>
  <c r="D640" i="1"/>
  <c r="L639" i="1"/>
  <c r="K639" i="1"/>
  <c r="D639" i="1"/>
  <c r="L638" i="1"/>
  <c r="K638" i="1"/>
  <c r="D638" i="1"/>
  <c r="L637" i="1"/>
  <c r="K637" i="1"/>
  <c r="D637" i="1"/>
  <c r="L636" i="1"/>
  <c r="K636" i="1"/>
  <c r="D636" i="1"/>
  <c r="L635" i="1"/>
  <c r="K635" i="1"/>
  <c r="D635" i="1"/>
  <c r="L634" i="1"/>
  <c r="K634" i="1"/>
  <c r="D634" i="1"/>
  <c r="L631" i="1"/>
  <c r="K631" i="1"/>
  <c r="J631" i="1"/>
  <c r="I631" i="1"/>
  <c r="H631" i="1"/>
  <c r="G631" i="1"/>
  <c r="F631" i="1"/>
  <c r="E631" i="1"/>
  <c r="D631" i="1"/>
  <c r="C631" i="1"/>
  <c r="L629" i="1"/>
  <c r="K629" i="1"/>
  <c r="J629" i="1"/>
  <c r="I629" i="1"/>
  <c r="H629" i="1"/>
  <c r="G629" i="1"/>
  <c r="F629" i="1"/>
  <c r="E629" i="1"/>
  <c r="D629" i="1"/>
  <c r="C629" i="1"/>
  <c r="L627" i="1"/>
  <c r="K627" i="1"/>
  <c r="J627" i="1"/>
  <c r="I627" i="1"/>
  <c r="H627" i="1"/>
  <c r="G627" i="1"/>
  <c r="F627" i="1"/>
  <c r="E627" i="1"/>
  <c r="D627" i="1"/>
  <c r="C627" i="1"/>
  <c r="L626" i="1"/>
  <c r="K626" i="1"/>
  <c r="D626" i="1"/>
  <c r="L625" i="1"/>
  <c r="K625" i="1"/>
  <c r="D625" i="1"/>
  <c r="L624" i="1"/>
  <c r="K624" i="1"/>
  <c r="D624" i="1"/>
  <c r="L623" i="1"/>
  <c r="K623" i="1"/>
  <c r="D623" i="1"/>
  <c r="L622" i="1"/>
  <c r="K622" i="1"/>
  <c r="D622" i="1"/>
  <c r="L621" i="1"/>
  <c r="K621" i="1"/>
  <c r="D621" i="1"/>
  <c r="L620" i="1"/>
  <c r="K620" i="1"/>
  <c r="D620" i="1"/>
  <c r="L617" i="1"/>
  <c r="K617" i="1"/>
  <c r="J617" i="1"/>
  <c r="I617" i="1"/>
  <c r="H617" i="1"/>
  <c r="G617" i="1"/>
  <c r="F617" i="1"/>
  <c r="E617" i="1"/>
  <c r="D617" i="1"/>
  <c r="C617" i="1"/>
  <c r="L616" i="1"/>
  <c r="K616" i="1"/>
  <c r="D616" i="1"/>
  <c r="L615" i="1"/>
  <c r="K615" i="1"/>
  <c r="D615" i="1"/>
  <c r="L614" i="1"/>
  <c r="K614" i="1"/>
  <c r="D614" i="1"/>
  <c r="L613" i="1"/>
  <c r="K613" i="1"/>
  <c r="D613" i="1"/>
  <c r="L612" i="1"/>
  <c r="K612" i="1"/>
  <c r="D612" i="1"/>
  <c r="L609" i="1"/>
  <c r="K609" i="1"/>
  <c r="J609" i="1"/>
  <c r="I609" i="1"/>
  <c r="H609" i="1"/>
  <c r="G609" i="1"/>
  <c r="F609" i="1"/>
  <c r="E609" i="1"/>
  <c r="D609" i="1"/>
  <c r="C609" i="1"/>
  <c r="L608" i="1"/>
  <c r="K608" i="1"/>
  <c r="D608" i="1"/>
  <c r="L607" i="1"/>
  <c r="K607" i="1"/>
  <c r="D607" i="1"/>
  <c r="L606" i="1"/>
  <c r="K606" i="1"/>
  <c r="D606" i="1"/>
  <c r="L605" i="1"/>
  <c r="K605" i="1"/>
  <c r="D605" i="1"/>
  <c r="L604" i="1"/>
  <c r="K604" i="1"/>
  <c r="D604" i="1"/>
  <c r="L603" i="1"/>
  <c r="K603" i="1"/>
  <c r="D603" i="1"/>
  <c r="L602" i="1"/>
  <c r="K602" i="1"/>
  <c r="D602" i="1"/>
  <c r="L601" i="1"/>
  <c r="K601" i="1"/>
  <c r="D601" i="1"/>
  <c r="L600" i="1"/>
  <c r="K600" i="1"/>
  <c r="D600" i="1"/>
  <c r="L596" i="1"/>
  <c r="K596" i="1"/>
  <c r="J596" i="1"/>
  <c r="I596" i="1"/>
  <c r="H596" i="1"/>
  <c r="G596" i="1"/>
  <c r="F596" i="1"/>
  <c r="E596" i="1"/>
  <c r="D596" i="1"/>
  <c r="C596" i="1"/>
  <c r="L594" i="1"/>
  <c r="K594" i="1"/>
  <c r="J594" i="1"/>
  <c r="I594" i="1"/>
  <c r="H594" i="1"/>
  <c r="G594" i="1"/>
  <c r="F594" i="1"/>
  <c r="E594" i="1"/>
  <c r="D594" i="1"/>
  <c r="C594" i="1"/>
  <c r="L592" i="1"/>
  <c r="K592" i="1"/>
  <c r="D592" i="1"/>
  <c r="L589" i="1"/>
  <c r="K589" i="1"/>
  <c r="J589" i="1"/>
  <c r="I589" i="1"/>
  <c r="H589" i="1"/>
  <c r="G589" i="1"/>
  <c r="F589" i="1"/>
  <c r="E589" i="1"/>
  <c r="D589" i="1"/>
  <c r="C589" i="1"/>
  <c r="L588" i="1"/>
  <c r="K588" i="1"/>
  <c r="D588" i="1"/>
  <c r="L587" i="1"/>
  <c r="K587" i="1"/>
  <c r="D587" i="1"/>
  <c r="L586" i="1"/>
  <c r="K586" i="1"/>
  <c r="D586" i="1"/>
  <c r="L585" i="1"/>
  <c r="K585" i="1"/>
  <c r="D585" i="1"/>
  <c r="L584" i="1"/>
  <c r="K584" i="1"/>
  <c r="D584" i="1"/>
  <c r="L583" i="1"/>
  <c r="K583" i="1"/>
  <c r="D583" i="1"/>
  <c r="L582" i="1"/>
  <c r="K582" i="1"/>
  <c r="D582" i="1"/>
  <c r="L581" i="1"/>
  <c r="K581" i="1"/>
  <c r="H581" i="1"/>
  <c r="D581" i="1"/>
  <c r="L578" i="1"/>
  <c r="K578" i="1"/>
  <c r="J578" i="1"/>
  <c r="I578" i="1"/>
  <c r="H578" i="1"/>
  <c r="G578" i="1"/>
  <c r="F578" i="1"/>
  <c r="E578" i="1"/>
  <c r="D578" i="1"/>
  <c r="C578" i="1"/>
  <c r="L577" i="1"/>
  <c r="K577" i="1"/>
  <c r="D577" i="1"/>
  <c r="L576" i="1"/>
  <c r="K576" i="1"/>
  <c r="D576" i="1"/>
  <c r="L575" i="1"/>
  <c r="K575" i="1"/>
  <c r="D575" i="1"/>
  <c r="L574" i="1"/>
  <c r="K574" i="1"/>
  <c r="D574" i="1"/>
  <c r="L573" i="1"/>
  <c r="K573" i="1"/>
  <c r="D573" i="1"/>
  <c r="L572" i="1"/>
  <c r="K572" i="1"/>
  <c r="D572" i="1"/>
  <c r="L571" i="1"/>
  <c r="K571" i="1"/>
  <c r="D571" i="1"/>
  <c r="L570" i="1"/>
  <c r="K570" i="1"/>
  <c r="D570" i="1"/>
  <c r="L567" i="1"/>
  <c r="K567" i="1"/>
  <c r="J567" i="1"/>
  <c r="I567" i="1"/>
  <c r="H567" i="1"/>
  <c r="G567" i="1"/>
  <c r="F567" i="1"/>
  <c r="E567" i="1"/>
  <c r="D567" i="1"/>
  <c r="C567" i="1"/>
  <c r="L566" i="1"/>
  <c r="K566" i="1"/>
  <c r="D566" i="1"/>
  <c r="L565" i="1"/>
  <c r="K565" i="1"/>
  <c r="D565" i="1"/>
  <c r="L564" i="1"/>
  <c r="K564" i="1"/>
  <c r="D564" i="1"/>
  <c r="L558" i="1"/>
  <c r="K558" i="1"/>
  <c r="J558" i="1"/>
  <c r="I558" i="1"/>
  <c r="H558" i="1"/>
  <c r="G558" i="1"/>
  <c r="F558" i="1"/>
  <c r="E558" i="1"/>
  <c r="D558" i="1"/>
  <c r="C558" i="1"/>
  <c r="L557" i="1"/>
  <c r="K557" i="1"/>
  <c r="D557" i="1"/>
  <c r="L556" i="1"/>
  <c r="K556" i="1"/>
  <c r="D556" i="1"/>
  <c r="L555" i="1"/>
  <c r="K555" i="1"/>
  <c r="D555" i="1"/>
  <c r="L554" i="1"/>
  <c r="K554" i="1"/>
  <c r="D554" i="1"/>
  <c r="L553" i="1"/>
  <c r="K553" i="1"/>
  <c r="D553" i="1"/>
  <c r="L552" i="1"/>
  <c r="K552" i="1"/>
  <c r="D552" i="1"/>
  <c r="L551" i="1"/>
  <c r="K551" i="1"/>
  <c r="D551" i="1"/>
  <c r="L548" i="1"/>
  <c r="K548" i="1"/>
  <c r="J548" i="1"/>
  <c r="I548" i="1"/>
  <c r="H548" i="1"/>
  <c r="G548" i="1"/>
  <c r="F548" i="1"/>
  <c r="E548" i="1"/>
  <c r="D548" i="1"/>
  <c r="C548" i="1"/>
  <c r="L546" i="1"/>
  <c r="K546" i="1"/>
  <c r="J546" i="1"/>
  <c r="I546" i="1"/>
  <c r="H546" i="1"/>
  <c r="G546" i="1"/>
  <c r="F546" i="1"/>
  <c r="E546" i="1"/>
  <c r="D546" i="1"/>
  <c r="C546" i="1"/>
  <c r="L545" i="1"/>
  <c r="K545" i="1"/>
  <c r="D545" i="1"/>
  <c r="L544" i="1"/>
  <c r="K544" i="1"/>
  <c r="D544" i="1"/>
  <c r="L543" i="1"/>
  <c r="K543" i="1"/>
  <c r="E543" i="1"/>
  <c r="D543" i="1"/>
  <c r="L542" i="1"/>
  <c r="K542" i="1"/>
  <c r="D542" i="1"/>
  <c r="L541" i="1"/>
  <c r="K541" i="1"/>
  <c r="G541" i="1"/>
  <c r="E541" i="1"/>
  <c r="D541" i="1"/>
  <c r="L540" i="1"/>
  <c r="K540" i="1"/>
  <c r="D540" i="1"/>
  <c r="L539" i="1"/>
  <c r="K539" i="1"/>
  <c r="D539" i="1"/>
  <c r="L538" i="1"/>
  <c r="K538" i="1"/>
  <c r="D538" i="1"/>
  <c r="L537" i="1"/>
  <c r="K537" i="1"/>
  <c r="D537" i="1"/>
  <c r="L534" i="1"/>
  <c r="K534" i="1"/>
  <c r="J534" i="1"/>
  <c r="I534" i="1"/>
  <c r="H534" i="1"/>
  <c r="G534" i="1"/>
  <c r="F534" i="1"/>
  <c r="E534" i="1"/>
  <c r="D534" i="1"/>
  <c r="C534" i="1"/>
  <c r="L533" i="1"/>
  <c r="K533" i="1"/>
  <c r="G533" i="1"/>
  <c r="F533" i="1"/>
  <c r="D533" i="1"/>
  <c r="L532" i="1"/>
  <c r="K532" i="1"/>
  <c r="D532" i="1"/>
  <c r="L531" i="1"/>
  <c r="K531" i="1"/>
  <c r="D531" i="1"/>
  <c r="L530" i="1"/>
  <c r="K530" i="1"/>
  <c r="D530" i="1"/>
  <c r="L529" i="1"/>
  <c r="K529" i="1"/>
  <c r="D529" i="1"/>
  <c r="L528" i="1"/>
  <c r="K528" i="1"/>
  <c r="D528" i="1"/>
  <c r="L527" i="1"/>
  <c r="K527" i="1"/>
  <c r="D527" i="1"/>
  <c r="L526" i="1"/>
  <c r="K526" i="1"/>
  <c r="D526" i="1"/>
  <c r="L525" i="1"/>
  <c r="K525" i="1"/>
  <c r="G525" i="1"/>
  <c r="D525" i="1"/>
  <c r="L524" i="1"/>
  <c r="K524" i="1"/>
  <c r="D524" i="1"/>
  <c r="L523" i="1"/>
  <c r="K523" i="1"/>
  <c r="G523" i="1"/>
  <c r="D523" i="1"/>
  <c r="L522" i="1"/>
  <c r="K522" i="1"/>
  <c r="D522" i="1"/>
  <c r="L521" i="1"/>
  <c r="K521" i="1"/>
  <c r="D521" i="1"/>
  <c r="L520" i="1"/>
  <c r="K520" i="1"/>
  <c r="D520" i="1"/>
  <c r="L519" i="1"/>
  <c r="K519" i="1"/>
  <c r="D519" i="1"/>
  <c r="L518" i="1"/>
  <c r="K518" i="1"/>
  <c r="D518" i="1"/>
  <c r="L517" i="1"/>
  <c r="K517" i="1"/>
  <c r="D517" i="1"/>
  <c r="L513" i="1"/>
  <c r="K513" i="1"/>
  <c r="J513" i="1"/>
  <c r="I513" i="1"/>
  <c r="H513" i="1"/>
  <c r="G513" i="1"/>
  <c r="F513" i="1"/>
  <c r="E513" i="1"/>
  <c r="D513" i="1"/>
  <c r="C513" i="1"/>
  <c r="L510" i="1"/>
  <c r="K510" i="1"/>
  <c r="J510" i="1"/>
  <c r="I510" i="1"/>
  <c r="H510" i="1"/>
  <c r="G510" i="1"/>
  <c r="F510" i="1"/>
  <c r="E510" i="1"/>
  <c r="D510" i="1"/>
  <c r="C510" i="1"/>
  <c r="L509" i="1"/>
  <c r="K509" i="1"/>
  <c r="D509" i="1"/>
  <c r="L508" i="1"/>
  <c r="K508" i="1"/>
  <c r="D508" i="1"/>
  <c r="L507" i="1"/>
  <c r="K507" i="1"/>
  <c r="D507" i="1"/>
  <c r="L506" i="1"/>
  <c r="K506" i="1"/>
  <c r="D506" i="1"/>
  <c r="L505" i="1"/>
  <c r="K505" i="1"/>
  <c r="D505" i="1"/>
  <c r="L504" i="1"/>
  <c r="K504" i="1"/>
  <c r="D504" i="1"/>
  <c r="L503" i="1"/>
  <c r="K503" i="1"/>
  <c r="D503" i="1"/>
  <c r="L500" i="1"/>
  <c r="K500" i="1"/>
  <c r="J500" i="1"/>
  <c r="I500" i="1"/>
  <c r="H500" i="1"/>
  <c r="G500" i="1"/>
  <c r="F500" i="1"/>
  <c r="E500" i="1"/>
  <c r="D500" i="1"/>
  <c r="C500" i="1"/>
  <c r="L499" i="1"/>
  <c r="K499" i="1"/>
  <c r="D499" i="1"/>
  <c r="L498" i="1"/>
  <c r="K498" i="1"/>
  <c r="D498" i="1"/>
  <c r="L497" i="1"/>
  <c r="K497" i="1"/>
  <c r="D497" i="1"/>
  <c r="L496" i="1"/>
  <c r="K496" i="1"/>
  <c r="D496" i="1"/>
  <c r="L495" i="1"/>
  <c r="K495" i="1"/>
  <c r="D495" i="1"/>
  <c r="L494" i="1"/>
  <c r="K494" i="1"/>
  <c r="D494" i="1"/>
  <c r="L493" i="1"/>
  <c r="K493" i="1"/>
  <c r="D493" i="1"/>
  <c r="L492" i="1"/>
  <c r="K492" i="1"/>
  <c r="D492" i="1"/>
  <c r="L491" i="1"/>
  <c r="K491" i="1"/>
  <c r="D491" i="1"/>
  <c r="L490" i="1"/>
  <c r="K490" i="1"/>
  <c r="G490" i="1"/>
  <c r="D490" i="1"/>
  <c r="L487" i="1"/>
  <c r="K487" i="1"/>
  <c r="J487" i="1"/>
  <c r="I487" i="1"/>
  <c r="H487" i="1"/>
  <c r="G487" i="1"/>
  <c r="F487" i="1"/>
  <c r="E487" i="1"/>
  <c r="D487" i="1"/>
  <c r="C487" i="1"/>
  <c r="L486" i="1"/>
  <c r="K486" i="1"/>
  <c r="D486" i="1"/>
  <c r="L485" i="1"/>
  <c r="K485" i="1"/>
  <c r="D485" i="1"/>
  <c r="L484" i="1"/>
  <c r="K484" i="1"/>
  <c r="D484" i="1"/>
  <c r="L483" i="1"/>
  <c r="K483" i="1"/>
  <c r="D483" i="1"/>
  <c r="L482" i="1"/>
  <c r="K482" i="1"/>
  <c r="D482" i="1"/>
  <c r="L481" i="1"/>
  <c r="K481" i="1"/>
  <c r="D481" i="1"/>
  <c r="L480" i="1"/>
  <c r="K480" i="1"/>
  <c r="D480" i="1"/>
  <c r="L479" i="1"/>
  <c r="K479" i="1"/>
  <c r="D479" i="1"/>
  <c r="L478" i="1"/>
  <c r="K478" i="1"/>
  <c r="G478" i="1"/>
  <c r="D478" i="1"/>
  <c r="L477" i="1"/>
  <c r="K477" i="1"/>
  <c r="G477" i="1"/>
  <c r="D477" i="1"/>
  <c r="L476" i="1"/>
  <c r="K476" i="1"/>
  <c r="D476" i="1"/>
  <c r="L473" i="1"/>
  <c r="K473" i="1"/>
  <c r="J473" i="1"/>
  <c r="I473" i="1"/>
  <c r="H473" i="1"/>
  <c r="G473" i="1"/>
  <c r="F473" i="1"/>
  <c r="E473" i="1"/>
  <c r="D473" i="1"/>
  <c r="C473" i="1"/>
  <c r="L472" i="1"/>
  <c r="K472" i="1"/>
  <c r="D472" i="1"/>
  <c r="L471" i="1"/>
  <c r="K471" i="1"/>
  <c r="D471" i="1"/>
  <c r="L470" i="1"/>
  <c r="K470" i="1"/>
  <c r="D470" i="1"/>
  <c r="L469" i="1"/>
  <c r="K469" i="1"/>
  <c r="D469" i="1"/>
  <c r="L468" i="1"/>
  <c r="K468" i="1"/>
  <c r="D468" i="1"/>
  <c r="L467" i="1"/>
  <c r="K467" i="1"/>
  <c r="D467" i="1"/>
  <c r="L466" i="1"/>
  <c r="K466" i="1"/>
  <c r="D466" i="1"/>
  <c r="L465" i="1"/>
  <c r="K465" i="1"/>
  <c r="D465" i="1"/>
  <c r="L464" i="1"/>
  <c r="K464" i="1"/>
  <c r="D464" i="1"/>
  <c r="L463" i="1"/>
  <c r="K463" i="1"/>
  <c r="D463" i="1"/>
  <c r="L462" i="1"/>
  <c r="K462" i="1"/>
  <c r="D462" i="1"/>
  <c r="L461" i="1"/>
  <c r="K461" i="1"/>
  <c r="D461" i="1"/>
  <c r="L460" i="1"/>
  <c r="K460" i="1"/>
  <c r="D460" i="1"/>
  <c r="L459" i="1"/>
  <c r="K459" i="1"/>
  <c r="D459" i="1"/>
  <c r="L458" i="1"/>
  <c r="K458" i="1"/>
  <c r="D458" i="1"/>
  <c r="L457" i="1"/>
  <c r="K457" i="1"/>
  <c r="D457" i="1"/>
  <c r="L456" i="1"/>
  <c r="K456" i="1"/>
  <c r="D456" i="1"/>
  <c r="L455" i="1"/>
  <c r="K455" i="1"/>
  <c r="D455" i="1"/>
  <c r="L454" i="1"/>
  <c r="K454" i="1"/>
  <c r="D454" i="1"/>
  <c r="L453" i="1"/>
  <c r="K453" i="1"/>
  <c r="D453" i="1"/>
  <c r="L452" i="1"/>
  <c r="K452" i="1"/>
  <c r="D452" i="1"/>
  <c r="L451" i="1"/>
  <c r="K451" i="1"/>
  <c r="D451" i="1"/>
  <c r="L448" i="1"/>
  <c r="K448" i="1"/>
  <c r="J448" i="1"/>
  <c r="I448" i="1"/>
  <c r="H448" i="1"/>
  <c r="G448" i="1"/>
  <c r="F448" i="1"/>
  <c r="E448" i="1"/>
  <c r="D448" i="1"/>
  <c r="C448" i="1"/>
  <c r="L447" i="1"/>
  <c r="K447" i="1"/>
  <c r="D447" i="1"/>
  <c r="L446" i="1"/>
  <c r="K446" i="1"/>
  <c r="D446" i="1"/>
  <c r="L445" i="1"/>
  <c r="K445" i="1"/>
  <c r="D445" i="1"/>
  <c r="L444" i="1"/>
  <c r="K444" i="1"/>
  <c r="D444" i="1"/>
  <c r="L443" i="1"/>
  <c r="K443" i="1"/>
  <c r="D443" i="1"/>
  <c r="L442" i="1"/>
  <c r="K442" i="1"/>
  <c r="D442" i="1"/>
  <c r="L439" i="1"/>
  <c r="K439" i="1"/>
  <c r="J439" i="1"/>
  <c r="I439" i="1"/>
  <c r="H439" i="1"/>
  <c r="G439" i="1"/>
  <c r="F439" i="1"/>
  <c r="E439" i="1"/>
  <c r="D439" i="1"/>
  <c r="C439" i="1"/>
  <c r="L438" i="1"/>
  <c r="K438" i="1"/>
  <c r="D438" i="1"/>
  <c r="L437" i="1"/>
  <c r="K437" i="1"/>
  <c r="D437" i="1"/>
  <c r="L436" i="1"/>
  <c r="K436" i="1"/>
  <c r="D436" i="1"/>
  <c r="L435" i="1"/>
  <c r="K435" i="1"/>
  <c r="D435" i="1"/>
  <c r="L434" i="1"/>
  <c r="K434" i="1"/>
  <c r="D434" i="1"/>
  <c r="L433" i="1"/>
  <c r="K433" i="1"/>
  <c r="D433" i="1"/>
  <c r="L432" i="1"/>
  <c r="K432" i="1"/>
  <c r="D432" i="1"/>
  <c r="L431" i="1"/>
  <c r="K431" i="1"/>
  <c r="D431" i="1"/>
  <c r="L430" i="1"/>
  <c r="K430" i="1"/>
  <c r="D430" i="1"/>
  <c r="L429" i="1"/>
  <c r="K429" i="1"/>
  <c r="D429" i="1"/>
  <c r="L428" i="1"/>
  <c r="K428" i="1"/>
  <c r="D428" i="1"/>
  <c r="L427" i="1"/>
  <c r="K427" i="1"/>
  <c r="D427" i="1"/>
  <c r="L426" i="1"/>
  <c r="K426" i="1"/>
  <c r="D426" i="1"/>
  <c r="AK423" i="1"/>
  <c r="AJ423" i="1"/>
  <c r="AI423" i="1"/>
  <c r="AH423" i="1"/>
  <c r="AG423" i="1"/>
  <c r="AF423" i="1"/>
  <c r="L423" i="1"/>
  <c r="K423" i="1"/>
  <c r="J423" i="1"/>
  <c r="I423" i="1"/>
  <c r="H423" i="1"/>
  <c r="G423" i="1"/>
  <c r="F423" i="1"/>
  <c r="E423" i="1"/>
  <c r="D423" i="1"/>
  <c r="AK422" i="1"/>
  <c r="AJ422" i="1"/>
  <c r="AH422" i="1"/>
  <c r="AG422" i="1"/>
  <c r="L422" i="1"/>
  <c r="K422" i="1"/>
  <c r="G422" i="1"/>
  <c r="E422" i="1"/>
  <c r="D422" i="1"/>
  <c r="AK421" i="1"/>
  <c r="AJ421" i="1"/>
  <c r="AH421" i="1"/>
  <c r="AG421" i="1"/>
  <c r="L421" i="1"/>
  <c r="K421" i="1"/>
  <c r="G421" i="1"/>
  <c r="E421" i="1"/>
  <c r="D421" i="1"/>
  <c r="AK420" i="1"/>
  <c r="AJ420" i="1"/>
  <c r="AI420" i="1"/>
  <c r="AH420" i="1"/>
  <c r="AG420" i="1"/>
  <c r="AF420" i="1"/>
  <c r="L420" i="1"/>
  <c r="K420" i="1"/>
  <c r="G420" i="1"/>
  <c r="E420" i="1"/>
  <c r="D420" i="1"/>
  <c r="AK419" i="1"/>
  <c r="AJ419" i="1"/>
  <c r="AH419" i="1"/>
  <c r="AG419" i="1"/>
  <c r="L419" i="1"/>
  <c r="K419" i="1"/>
  <c r="G419" i="1"/>
  <c r="E419" i="1"/>
  <c r="D419" i="1"/>
  <c r="AK418" i="1"/>
  <c r="AJ418" i="1"/>
  <c r="AH418" i="1"/>
  <c r="AG418" i="1"/>
  <c r="L418" i="1"/>
  <c r="K418" i="1"/>
  <c r="G418" i="1"/>
  <c r="E418" i="1"/>
  <c r="D418" i="1"/>
  <c r="AK417" i="1"/>
  <c r="AJ417" i="1"/>
  <c r="AH417" i="1"/>
  <c r="AG417" i="1"/>
  <c r="L417" i="1"/>
  <c r="K417" i="1"/>
  <c r="G417" i="1"/>
  <c r="E417" i="1"/>
  <c r="D417" i="1"/>
  <c r="L416" i="1"/>
  <c r="K416" i="1"/>
  <c r="G416" i="1"/>
  <c r="E416" i="1"/>
  <c r="D416" i="1"/>
  <c r="L413" i="1"/>
  <c r="K413" i="1"/>
  <c r="J413" i="1"/>
  <c r="I413" i="1"/>
  <c r="H413" i="1"/>
  <c r="G413" i="1"/>
  <c r="F413" i="1"/>
  <c r="E413" i="1"/>
  <c r="D413" i="1"/>
  <c r="C413" i="1"/>
  <c r="L412" i="1"/>
  <c r="K412" i="1"/>
  <c r="D412" i="1"/>
  <c r="L411" i="1"/>
  <c r="K411" i="1"/>
  <c r="D411" i="1"/>
  <c r="L408" i="1"/>
  <c r="K408" i="1"/>
  <c r="J408" i="1"/>
  <c r="I408" i="1"/>
  <c r="H408" i="1"/>
  <c r="G408" i="1"/>
  <c r="F408" i="1"/>
  <c r="E408" i="1"/>
  <c r="D408" i="1"/>
  <c r="C408" i="1"/>
  <c r="L407" i="1"/>
  <c r="K407" i="1"/>
  <c r="D407" i="1"/>
  <c r="L406" i="1"/>
  <c r="K406" i="1"/>
  <c r="D406" i="1"/>
  <c r="L405" i="1"/>
  <c r="K405" i="1"/>
  <c r="D405" i="1"/>
  <c r="L404" i="1"/>
  <c r="K404" i="1"/>
  <c r="D404" i="1"/>
  <c r="L403" i="1"/>
  <c r="K403" i="1"/>
  <c r="D403" i="1"/>
  <c r="L402" i="1"/>
  <c r="K402" i="1"/>
  <c r="D402" i="1"/>
  <c r="L401" i="1"/>
  <c r="K401" i="1"/>
  <c r="D401" i="1"/>
  <c r="L400" i="1"/>
  <c r="K400" i="1"/>
  <c r="D400" i="1"/>
  <c r="L399" i="1"/>
  <c r="K399" i="1"/>
  <c r="D399" i="1"/>
  <c r="L394" i="1"/>
  <c r="K394" i="1"/>
  <c r="J394" i="1"/>
  <c r="I394" i="1"/>
  <c r="H394" i="1"/>
  <c r="G394" i="1"/>
  <c r="F394" i="1"/>
  <c r="E394" i="1"/>
  <c r="D394" i="1"/>
  <c r="C394" i="1"/>
  <c r="L392" i="1"/>
  <c r="K392" i="1"/>
  <c r="J392" i="1"/>
  <c r="I392" i="1"/>
  <c r="H392" i="1"/>
  <c r="G392" i="1"/>
  <c r="F392" i="1"/>
  <c r="E392" i="1"/>
  <c r="D392" i="1"/>
  <c r="C392" i="1"/>
  <c r="L391" i="1"/>
  <c r="K391" i="1"/>
  <c r="G391" i="1"/>
  <c r="D391" i="1"/>
  <c r="L390" i="1"/>
  <c r="K390" i="1"/>
  <c r="D390" i="1"/>
  <c r="L389" i="1"/>
  <c r="K389" i="1"/>
  <c r="D389" i="1"/>
  <c r="L388" i="1"/>
  <c r="K388" i="1"/>
  <c r="D388" i="1"/>
  <c r="L387" i="1"/>
  <c r="K387" i="1"/>
  <c r="D387" i="1"/>
  <c r="L386" i="1"/>
  <c r="K386" i="1"/>
  <c r="D386" i="1"/>
  <c r="L385" i="1"/>
  <c r="K385" i="1"/>
  <c r="D385" i="1"/>
  <c r="L384" i="1"/>
  <c r="K384" i="1"/>
  <c r="E384" i="1"/>
  <c r="D384" i="1"/>
  <c r="L383" i="1"/>
  <c r="K383" i="1"/>
  <c r="E383" i="1"/>
  <c r="D383" i="1"/>
  <c r="L382" i="1"/>
  <c r="K382" i="1"/>
  <c r="E382" i="1"/>
  <c r="D382" i="1"/>
  <c r="L381" i="1"/>
  <c r="K381" i="1"/>
  <c r="D381" i="1"/>
  <c r="L380" i="1"/>
  <c r="K380" i="1"/>
  <c r="D380" i="1"/>
  <c r="L379" i="1"/>
  <c r="K379" i="1"/>
  <c r="D379" i="1"/>
  <c r="L378" i="1"/>
  <c r="K378" i="1"/>
  <c r="D378" i="1"/>
  <c r="L377" i="1"/>
  <c r="K377" i="1"/>
  <c r="D377" i="1"/>
  <c r="L376" i="1"/>
  <c r="K376" i="1"/>
  <c r="D376" i="1"/>
  <c r="L375" i="1"/>
  <c r="K375" i="1"/>
  <c r="D375" i="1"/>
  <c r="L374" i="1"/>
  <c r="K374" i="1"/>
  <c r="D374" i="1"/>
  <c r="L373" i="1"/>
  <c r="K373" i="1"/>
  <c r="E373" i="1"/>
  <c r="D373" i="1"/>
  <c r="L372" i="1"/>
  <c r="K372" i="1"/>
  <c r="D372" i="1"/>
  <c r="L371" i="1"/>
  <c r="K371" i="1"/>
  <c r="D371" i="1"/>
  <c r="L370" i="1"/>
  <c r="K370" i="1"/>
  <c r="E370" i="1"/>
  <c r="D370" i="1"/>
  <c r="L369" i="1"/>
  <c r="K369" i="1"/>
  <c r="D369" i="1"/>
  <c r="L368" i="1"/>
  <c r="K368" i="1"/>
  <c r="D368" i="1"/>
  <c r="L365" i="1"/>
  <c r="K365" i="1"/>
  <c r="J365" i="1"/>
  <c r="I365" i="1"/>
  <c r="H365" i="1"/>
  <c r="G365" i="1"/>
  <c r="F365" i="1"/>
  <c r="E365" i="1"/>
  <c r="D365" i="1"/>
  <c r="C365" i="1"/>
  <c r="L364" i="1"/>
  <c r="K364" i="1"/>
  <c r="D364" i="1"/>
  <c r="L363" i="1"/>
  <c r="K363" i="1"/>
  <c r="D363" i="1"/>
  <c r="L362" i="1"/>
  <c r="K362" i="1"/>
  <c r="D362" i="1"/>
  <c r="L361" i="1"/>
  <c r="K361" i="1"/>
  <c r="D361" i="1"/>
  <c r="L360" i="1"/>
  <c r="K360" i="1"/>
  <c r="D360" i="1"/>
  <c r="L357" i="1"/>
  <c r="K357" i="1"/>
  <c r="J357" i="1"/>
  <c r="I357" i="1"/>
  <c r="H357" i="1"/>
  <c r="G357" i="1"/>
  <c r="F357" i="1"/>
  <c r="E357" i="1"/>
  <c r="D357" i="1"/>
  <c r="C357" i="1"/>
  <c r="L356" i="1"/>
  <c r="K356" i="1"/>
  <c r="D356" i="1"/>
  <c r="L355" i="1"/>
  <c r="K355" i="1"/>
  <c r="D355" i="1"/>
  <c r="L354" i="1"/>
  <c r="K354" i="1"/>
  <c r="D354" i="1"/>
  <c r="L353" i="1"/>
  <c r="K353" i="1"/>
  <c r="D353" i="1"/>
  <c r="L352" i="1"/>
  <c r="K352" i="1"/>
  <c r="D352" i="1"/>
  <c r="L351" i="1"/>
  <c r="K351" i="1"/>
  <c r="E351" i="1"/>
  <c r="D351" i="1"/>
  <c r="L350" i="1"/>
  <c r="K350" i="1"/>
  <c r="D350" i="1"/>
  <c r="L349" i="1"/>
  <c r="K349" i="1"/>
  <c r="D349" i="1"/>
  <c r="L346" i="1"/>
  <c r="K346" i="1"/>
  <c r="J346" i="1"/>
  <c r="I346" i="1"/>
  <c r="H346" i="1"/>
  <c r="G346" i="1"/>
  <c r="F346" i="1"/>
  <c r="E346" i="1"/>
  <c r="D346" i="1"/>
  <c r="C346" i="1"/>
  <c r="L345" i="1"/>
  <c r="K345" i="1"/>
  <c r="D345" i="1"/>
  <c r="L344" i="1"/>
  <c r="K344" i="1"/>
  <c r="D344" i="1"/>
  <c r="L343" i="1"/>
  <c r="K343" i="1"/>
  <c r="D343" i="1"/>
  <c r="L342" i="1"/>
  <c r="K342" i="1"/>
  <c r="D342" i="1"/>
  <c r="L341" i="1"/>
  <c r="K341" i="1"/>
  <c r="D341" i="1"/>
  <c r="L340" i="1"/>
  <c r="K340" i="1"/>
  <c r="D340" i="1"/>
  <c r="L339" i="1"/>
  <c r="K339" i="1"/>
  <c r="D339" i="1"/>
  <c r="L338" i="1"/>
  <c r="K338" i="1"/>
  <c r="E338" i="1"/>
  <c r="D338" i="1"/>
  <c r="L337" i="1"/>
  <c r="K337" i="1"/>
  <c r="G337" i="1"/>
  <c r="E337" i="1"/>
  <c r="D337" i="1"/>
  <c r="L336" i="1"/>
  <c r="K336" i="1"/>
  <c r="G336" i="1"/>
  <c r="F336" i="1"/>
  <c r="E336" i="1"/>
  <c r="D336" i="1"/>
  <c r="L335" i="1"/>
  <c r="K335" i="1"/>
  <c r="G335" i="1"/>
  <c r="F335" i="1"/>
  <c r="E335" i="1"/>
  <c r="D335" i="1"/>
  <c r="L334" i="1"/>
  <c r="K334" i="1"/>
  <c r="D334" i="1"/>
  <c r="L331" i="1"/>
  <c r="K331" i="1"/>
  <c r="J331" i="1"/>
  <c r="I331" i="1"/>
  <c r="H331" i="1"/>
  <c r="G331" i="1"/>
  <c r="F331" i="1"/>
  <c r="E331" i="1"/>
  <c r="D331" i="1"/>
  <c r="C331" i="1"/>
  <c r="L330" i="1"/>
  <c r="K330" i="1"/>
  <c r="D330" i="1"/>
  <c r="L329" i="1"/>
  <c r="K329" i="1"/>
  <c r="D329" i="1"/>
  <c r="L328" i="1"/>
  <c r="K328" i="1"/>
  <c r="D328" i="1"/>
  <c r="L327" i="1"/>
  <c r="K327" i="1"/>
  <c r="D327" i="1"/>
  <c r="L326" i="1"/>
  <c r="K326" i="1"/>
  <c r="D326" i="1"/>
  <c r="L325" i="1"/>
  <c r="K325" i="1"/>
  <c r="D325" i="1"/>
  <c r="L324" i="1"/>
  <c r="K324" i="1"/>
  <c r="D324" i="1"/>
  <c r="L323" i="1"/>
  <c r="K323" i="1"/>
  <c r="D323" i="1"/>
  <c r="L322" i="1"/>
  <c r="K322" i="1"/>
  <c r="E322" i="1"/>
  <c r="D322" i="1"/>
  <c r="L321" i="1"/>
  <c r="K321" i="1"/>
  <c r="E321" i="1"/>
  <c r="D321" i="1"/>
  <c r="L320" i="1"/>
  <c r="K320" i="1"/>
  <c r="D320" i="1"/>
  <c r="L319" i="1"/>
  <c r="K319" i="1"/>
  <c r="E319" i="1"/>
  <c r="D319" i="1"/>
  <c r="L318" i="1"/>
  <c r="K318" i="1"/>
  <c r="D318" i="1"/>
  <c r="L317" i="1"/>
  <c r="K317" i="1"/>
  <c r="E317" i="1"/>
  <c r="D317" i="1"/>
  <c r="L316" i="1"/>
  <c r="K316" i="1"/>
  <c r="D316" i="1"/>
  <c r="L315" i="1"/>
  <c r="K315" i="1"/>
  <c r="D315" i="1"/>
  <c r="L314" i="1"/>
  <c r="K314" i="1"/>
  <c r="D314" i="1"/>
  <c r="L313" i="1"/>
  <c r="K313" i="1"/>
  <c r="E313" i="1"/>
  <c r="D313" i="1"/>
  <c r="L312" i="1"/>
  <c r="K312" i="1"/>
  <c r="D312" i="1"/>
  <c r="L311" i="1"/>
  <c r="K311" i="1"/>
  <c r="E311" i="1"/>
  <c r="D311" i="1"/>
  <c r="L310" i="1"/>
  <c r="K310" i="1"/>
  <c r="E310" i="1"/>
  <c r="D310" i="1"/>
  <c r="L309" i="1"/>
  <c r="K309" i="1"/>
  <c r="E309" i="1"/>
  <c r="D309" i="1"/>
  <c r="L308" i="1"/>
  <c r="K308" i="1"/>
  <c r="D308" i="1"/>
  <c r="L307" i="1"/>
  <c r="K307" i="1"/>
  <c r="D307" i="1"/>
  <c r="L306" i="1"/>
  <c r="K306" i="1"/>
  <c r="D306" i="1"/>
  <c r="L303" i="1"/>
  <c r="K303" i="1"/>
  <c r="J303" i="1"/>
  <c r="I303" i="1"/>
  <c r="H303" i="1"/>
  <c r="G303" i="1"/>
  <c r="F303" i="1"/>
  <c r="E303" i="1"/>
  <c r="D303" i="1"/>
  <c r="C303" i="1"/>
  <c r="L302" i="1"/>
  <c r="K302" i="1"/>
  <c r="D302" i="1"/>
  <c r="L301" i="1"/>
  <c r="K301" i="1"/>
  <c r="D301" i="1"/>
  <c r="L300" i="1"/>
  <c r="K300" i="1"/>
  <c r="D300" i="1"/>
  <c r="L299" i="1"/>
  <c r="K299" i="1"/>
  <c r="D299" i="1"/>
  <c r="L298" i="1"/>
  <c r="K298" i="1"/>
  <c r="D298" i="1"/>
  <c r="L297" i="1"/>
  <c r="K297" i="1"/>
  <c r="D297" i="1"/>
  <c r="L296" i="1"/>
  <c r="K296" i="1"/>
  <c r="D296" i="1"/>
  <c r="L295" i="1"/>
  <c r="K295" i="1"/>
  <c r="D295" i="1"/>
  <c r="L292" i="1"/>
  <c r="K292" i="1"/>
  <c r="J292" i="1"/>
  <c r="I292" i="1"/>
  <c r="H292" i="1"/>
  <c r="G292" i="1"/>
  <c r="F292" i="1"/>
  <c r="E292" i="1"/>
  <c r="D292" i="1"/>
  <c r="C292" i="1"/>
  <c r="L291" i="1"/>
  <c r="K291" i="1"/>
  <c r="D291" i="1"/>
  <c r="L290" i="1"/>
  <c r="K290" i="1"/>
  <c r="D290" i="1"/>
  <c r="L289" i="1"/>
  <c r="K289" i="1"/>
  <c r="D289" i="1"/>
  <c r="L288" i="1"/>
  <c r="K288" i="1"/>
  <c r="D288" i="1"/>
  <c r="L287" i="1"/>
  <c r="K287" i="1"/>
  <c r="D287" i="1"/>
  <c r="L286" i="1"/>
  <c r="K286" i="1"/>
  <c r="D286" i="1"/>
  <c r="L285" i="1"/>
  <c r="K285" i="1"/>
  <c r="D285" i="1"/>
  <c r="L284" i="1"/>
  <c r="K284" i="1"/>
  <c r="D284" i="1"/>
  <c r="L283" i="1"/>
  <c r="K283" i="1"/>
  <c r="D283" i="1"/>
  <c r="L282" i="1"/>
  <c r="K282" i="1"/>
  <c r="D282" i="1"/>
  <c r="AL279" i="1"/>
  <c r="AK279" i="1"/>
  <c r="AJ279" i="1"/>
  <c r="AH279" i="1"/>
  <c r="AG279" i="1"/>
  <c r="AF279" i="1"/>
  <c r="L279" i="1"/>
  <c r="K279" i="1"/>
  <c r="J279" i="1"/>
  <c r="I279" i="1"/>
  <c r="H279" i="1"/>
  <c r="G279" i="1"/>
  <c r="F279" i="1"/>
  <c r="E279" i="1"/>
  <c r="D279" i="1"/>
  <c r="C279" i="1"/>
  <c r="AL278" i="1"/>
  <c r="AK278" i="1"/>
  <c r="AH278" i="1"/>
  <c r="AG278" i="1"/>
  <c r="L278" i="1"/>
  <c r="K278" i="1"/>
  <c r="G278" i="1"/>
  <c r="E278" i="1"/>
  <c r="D278" i="1"/>
  <c r="AL277" i="1"/>
  <c r="AK277" i="1"/>
  <c r="AH277" i="1"/>
  <c r="AG277" i="1"/>
  <c r="L277" i="1"/>
  <c r="K277" i="1"/>
  <c r="G277" i="1"/>
  <c r="E277" i="1"/>
  <c r="D277" i="1"/>
  <c r="AL276" i="1"/>
  <c r="AK276" i="1"/>
  <c r="AH276" i="1"/>
  <c r="AG276" i="1"/>
  <c r="L276" i="1"/>
  <c r="K276" i="1"/>
  <c r="G276" i="1"/>
  <c r="E276" i="1"/>
  <c r="D276" i="1"/>
  <c r="AL275" i="1"/>
  <c r="AK275" i="1"/>
  <c r="AH275" i="1"/>
  <c r="AG275" i="1"/>
  <c r="L275" i="1"/>
  <c r="K275" i="1"/>
  <c r="G275" i="1"/>
  <c r="E275" i="1"/>
  <c r="D275" i="1"/>
  <c r="AL274" i="1"/>
  <c r="AK274" i="1"/>
  <c r="AH274" i="1"/>
  <c r="AG274" i="1"/>
  <c r="L274" i="1"/>
  <c r="K274" i="1"/>
  <c r="G274" i="1"/>
  <c r="E274" i="1"/>
  <c r="D274" i="1"/>
  <c r="AL273" i="1"/>
  <c r="AK273" i="1"/>
  <c r="AH273" i="1"/>
  <c r="AG273" i="1"/>
  <c r="L273" i="1"/>
  <c r="K273" i="1"/>
  <c r="G273" i="1"/>
  <c r="E273" i="1"/>
  <c r="D273" i="1"/>
  <c r="AL272" i="1"/>
  <c r="AK272" i="1"/>
  <c r="AH272" i="1"/>
  <c r="AG272" i="1"/>
  <c r="L272" i="1"/>
  <c r="K272" i="1"/>
  <c r="G272" i="1"/>
  <c r="E272" i="1"/>
  <c r="D272" i="1"/>
  <c r="AL271" i="1"/>
  <c r="AK271" i="1"/>
  <c r="AH271" i="1"/>
  <c r="AG271" i="1"/>
  <c r="L271" i="1"/>
  <c r="K271" i="1"/>
  <c r="G271" i="1"/>
  <c r="E271" i="1"/>
  <c r="D271" i="1"/>
  <c r="AL270" i="1"/>
  <c r="AK270" i="1"/>
  <c r="AH270" i="1"/>
  <c r="AG270" i="1"/>
  <c r="L270" i="1"/>
  <c r="K270" i="1"/>
  <c r="G270" i="1"/>
  <c r="E270" i="1"/>
  <c r="D270" i="1"/>
  <c r="AL269" i="1"/>
  <c r="AK269" i="1"/>
  <c r="AH269" i="1"/>
  <c r="AG269" i="1"/>
  <c r="L269" i="1"/>
  <c r="K269" i="1"/>
  <c r="G269" i="1"/>
  <c r="E269" i="1"/>
  <c r="D269" i="1"/>
  <c r="AL268" i="1"/>
  <c r="AK268" i="1"/>
  <c r="AH268" i="1"/>
  <c r="AG268" i="1"/>
  <c r="L268" i="1"/>
  <c r="K268" i="1"/>
  <c r="G268" i="1"/>
  <c r="E268" i="1"/>
  <c r="D268" i="1"/>
  <c r="AL267" i="1"/>
  <c r="AK267" i="1"/>
  <c r="AH267" i="1"/>
  <c r="AG267" i="1"/>
  <c r="L267" i="1"/>
  <c r="K267" i="1"/>
  <c r="G267" i="1"/>
  <c r="E267" i="1"/>
  <c r="D267" i="1"/>
  <c r="AL266" i="1"/>
  <c r="AK266" i="1"/>
  <c r="AH266" i="1"/>
  <c r="AG266" i="1"/>
  <c r="L266" i="1"/>
  <c r="K266" i="1"/>
  <c r="G266" i="1"/>
  <c r="E266" i="1"/>
  <c r="D266" i="1"/>
  <c r="AL265" i="1"/>
  <c r="AK265" i="1"/>
  <c r="AH265" i="1"/>
  <c r="AG265" i="1"/>
  <c r="L265" i="1"/>
  <c r="K265" i="1"/>
  <c r="G265" i="1"/>
  <c r="E265" i="1"/>
  <c r="D265" i="1"/>
  <c r="AL264" i="1"/>
  <c r="AK264" i="1"/>
  <c r="AH264" i="1"/>
  <c r="AG264" i="1"/>
  <c r="L264" i="1"/>
  <c r="K264" i="1"/>
  <c r="G264" i="1"/>
  <c r="E264" i="1"/>
  <c r="D264" i="1"/>
  <c r="AL263" i="1"/>
  <c r="AK263" i="1"/>
  <c r="AH263" i="1"/>
  <c r="AG263" i="1"/>
  <c r="L263" i="1"/>
  <c r="K263" i="1"/>
  <c r="G263" i="1"/>
  <c r="E263" i="1"/>
  <c r="D263" i="1"/>
  <c r="AL262" i="1"/>
  <c r="AK262" i="1"/>
  <c r="AH262" i="1"/>
  <c r="AG262" i="1"/>
  <c r="L262" i="1"/>
  <c r="K262" i="1"/>
  <c r="G262" i="1"/>
  <c r="E262" i="1"/>
  <c r="D262" i="1"/>
  <c r="AL261" i="1"/>
  <c r="AK261" i="1"/>
  <c r="AH261" i="1"/>
  <c r="AG261" i="1"/>
  <c r="L261" i="1"/>
  <c r="K261" i="1"/>
  <c r="G261" i="1"/>
  <c r="E261" i="1"/>
  <c r="D261" i="1"/>
  <c r="AL260" i="1"/>
  <c r="AK260" i="1"/>
  <c r="AH260" i="1"/>
  <c r="AG260" i="1"/>
  <c r="L260" i="1"/>
  <c r="K260" i="1"/>
  <c r="G260" i="1"/>
  <c r="E260" i="1"/>
  <c r="D260" i="1"/>
  <c r="AL259" i="1"/>
  <c r="AK259" i="1"/>
  <c r="AH259" i="1"/>
  <c r="AG259" i="1"/>
  <c r="L259" i="1"/>
  <c r="K259" i="1"/>
  <c r="G259" i="1"/>
  <c r="E259" i="1"/>
  <c r="D259" i="1"/>
  <c r="L258" i="1"/>
  <c r="K258" i="1"/>
  <c r="G258" i="1"/>
  <c r="E258" i="1"/>
  <c r="D258" i="1"/>
  <c r="L255" i="1"/>
  <c r="K255" i="1"/>
  <c r="J255" i="1"/>
  <c r="I255" i="1"/>
  <c r="H255" i="1"/>
  <c r="G255" i="1"/>
  <c r="F255" i="1"/>
  <c r="E255" i="1"/>
  <c r="D255" i="1"/>
  <c r="C255" i="1"/>
  <c r="L253" i="1"/>
  <c r="K253" i="1"/>
  <c r="D253" i="1"/>
  <c r="L252" i="1"/>
  <c r="K252" i="1"/>
  <c r="D252" i="1"/>
  <c r="L251" i="1"/>
  <c r="K251" i="1"/>
  <c r="D251" i="1"/>
  <c r="L250" i="1"/>
  <c r="K250" i="1"/>
  <c r="D250" i="1"/>
  <c r="L249" i="1"/>
  <c r="K249" i="1"/>
  <c r="D249" i="1"/>
  <c r="L248" i="1"/>
  <c r="K248" i="1"/>
  <c r="D248" i="1"/>
  <c r="L247" i="1"/>
  <c r="K247" i="1"/>
  <c r="D247" i="1"/>
  <c r="L246" i="1"/>
  <c r="K246" i="1"/>
  <c r="D246" i="1"/>
  <c r="L243" i="1"/>
  <c r="K243" i="1"/>
  <c r="J243" i="1"/>
  <c r="I243" i="1"/>
  <c r="H243" i="1"/>
  <c r="G243" i="1"/>
  <c r="F243" i="1"/>
  <c r="E243" i="1"/>
  <c r="D243" i="1"/>
  <c r="C243" i="1"/>
  <c r="L242" i="1"/>
  <c r="K242" i="1"/>
  <c r="D242" i="1"/>
  <c r="L241" i="1"/>
  <c r="K241" i="1"/>
  <c r="D241" i="1"/>
  <c r="L240" i="1"/>
  <c r="K240" i="1"/>
  <c r="D240" i="1"/>
  <c r="L239" i="1"/>
  <c r="K239" i="1"/>
  <c r="D239" i="1"/>
  <c r="L238" i="1"/>
  <c r="K238" i="1"/>
  <c r="D238" i="1"/>
  <c r="L237" i="1"/>
  <c r="K237" i="1"/>
  <c r="D237" i="1"/>
  <c r="L236" i="1"/>
  <c r="K236" i="1"/>
  <c r="D236" i="1"/>
  <c r="L235" i="1"/>
  <c r="K235" i="1"/>
  <c r="D235" i="1"/>
  <c r="L234" i="1"/>
  <c r="K234" i="1"/>
  <c r="D234" i="1"/>
  <c r="L227" i="1"/>
  <c r="K227" i="1"/>
  <c r="J227" i="1"/>
  <c r="I227" i="1"/>
  <c r="H227" i="1"/>
  <c r="G227" i="1"/>
  <c r="F227" i="1"/>
  <c r="E227" i="1"/>
  <c r="D227" i="1"/>
  <c r="C227" i="1"/>
  <c r="L225" i="1"/>
  <c r="K225" i="1"/>
  <c r="J225" i="1"/>
  <c r="I225" i="1"/>
  <c r="H225" i="1"/>
  <c r="G225" i="1"/>
  <c r="F225" i="1"/>
  <c r="E225" i="1"/>
  <c r="D225" i="1"/>
  <c r="C225" i="1"/>
  <c r="L224" i="1"/>
  <c r="K224" i="1"/>
  <c r="E224" i="1"/>
  <c r="D224" i="1"/>
  <c r="L223" i="1"/>
  <c r="K223" i="1"/>
  <c r="G223" i="1"/>
  <c r="E223" i="1"/>
  <c r="D223" i="1"/>
  <c r="L222" i="1"/>
  <c r="K222" i="1"/>
  <c r="D222" i="1"/>
  <c r="L221" i="1"/>
  <c r="K221" i="1"/>
  <c r="D221" i="1"/>
  <c r="L220" i="1"/>
  <c r="K220" i="1"/>
  <c r="D220" i="1"/>
  <c r="L219" i="1"/>
  <c r="K219" i="1"/>
  <c r="D219" i="1"/>
  <c r="L214" i="1"/>
  <c r="K214" i="1"/>
  <c r="J214" i="1"/>
  <c r="I214" i="1"/>
  <c r="H214" i="1"/>
  <c r="G214" i="1"/>
  <c r="F214" i="1"/>
  <c r="E214" i="1"/>
  <c r="D214" i="1"/>
  <c r="C214" i="1"/>
  <c r="L212" i="1"/>
  <c r="K212" i="1"/>
  <c r="J212" i="1"/>
  <c r="I212" i="1"/>
  <c r="H212" i="1"/>
  <c r="G212" i="1"/>
  <c r="F212" i="1"/>
  <c r="E212" i="1"/>
  <c r="D212" i="1"/>
  <c r="C212" i="1"/>
  <c r="L211" i="1"/>
  <c r="K211" i="1"/>
  <c r="E211" i="1"/>
  <c r="D211" i="1"/>
  <c r="L210" i="1"/>
  <c r="K210" i="1"/>
  <c r="D210" i="1"/>
  <c r="L209" i="1"/>
  <c r="K209" i="1"/>
  <c r="D209" i="1"/>
  <c r="L208" i="1"/>
  <c r="K208" i="1"/>
  <c r="E208" i="1"/>
  <c r="D208" i="1"/>
  <c r="L207" i="1"/>
  <c r="K207" i="1"/>
  <c r="D207" i="1"/>
  <c r="L204" i="1"/>
  <c r="K204" i="1"/>
  <c r="J204" i="1"/>
  <c r="I204" i="1"/>
  <c r="H204" i="1"/>
  <c r="G204" i="1"/>
  <c r="F204" i="1"/>
  <c r="E204" i="1"/>
  <c r="D204" i="1"/>
  <c r="C204" i="1"/>
  <c r="L203" i="1"/>
  <c r="K203" i="1"/>
  <c r="D203" i="1"/>
  <c r="L202" i="1"/>
  <c r="K202" i="1"/>
  <c r="D202" i="1"/>
  <c r="L201" i="1"/>
  <c r="K201" i="1"/>
  <c r="D201" i="1"/>
  <c r="L200" i="1"/>
  <c r="K200" i="1"/>
  <c r="D200" i="1"/>
  <c r="L199" i="1"/>
  <c r="K199" i="1"/>
  <c r="D199" i="1"/>
  <c r="L196" i="1"/>
  <c r="K196" i="1"/>
  <c r="D196" i="1"/>
  <c r="L195" i="1"/>
  <c r="K195" i="1"/>
  <c r="D195" i="1"/>
  <c r="L192" i="1"/>
  <c r="K192" i="1"/>
  <c r="D192" i="1"/>
  <c r="L191" i="1"/>
  <c r="K191" i="1"/>
  <c r="D191" i="1"/>
  <c r="L190" i="1"/>
  <c r="K190" i="1"/>
  <c r="G190" i="1"/>
  <c r="D190" i="1"/>
  <c r="L189" i="1"/>
  <c r="K189" i="1"/>
  <c r="D189" i="1"/>
  <c r="L186" i="1"/>
  <c r="K186" i="1"/>
  <c r="J186" i="1"/>
  <c r="I186" i="1"/>
  <c r="H186" i="1"/>
  <c r="G186" i="1"/>
  <c r="F186" i="1"/>
  <c r="E186" i="1"/>
  <c r="D186" i="1"/>
  <c r="C186" i="1"/>
  <c r="L185" i="1"/>
  <c r="K185" i="1"/>
  <c r="D185" i="1"/>
  <c r="L184" i="1"/>
  <c r="K184" i="1"/>
  <c r="D184" i="1"/>
  <c r="L183" i="1"/>
  <c r="K183" i="1"/>
  <c r="D183" i="1"/>
  <c r="L182" i="1"/>
  <c r="K182" i="1"/>
  <c r="D182" i="1"/>
  <c r="L181" i="1"/>
  <c r="K181" i="1"/>
  <c r="D181" i="1"/>
  <c r="L180" i="1"/>
  <c r="K180" i="1"/>
  <c r="D180" i="1"/>
  <c r="L179" i="1"/>
  <c r="K179" i="1"/>
  <c r="D179" i="1"/>
  <c r="L178" i="1"/>
  <c r="K178" i="1"/>
  <c r="D178" i="1"/>
  <c r="L177" i="1"/>
  <c r="K177" i="1"/>
  <c r="D177" i="1"/>
  <c r="L176" i="1"/>
  <c r="K176" i="1"/>
  <c r="D176" i="1"/>
  <c r="L175" i="1"/>
  <c r="K175" i="1"/>
  <c r="D175" i="1"/>
  <c r="L174" i="1"/>
  <c r="K174" i="1"/>
  <c r="G174" i="1"/>
  <c r="E174" i="1"/>
  <c r="D174" i="1"/>
  <c r="L173" i="1"/>
  <c r="K173" i="1"/>
  <c r="G173" i="1"/>
  <c r="E173" i="1"/>
  <c r="D173" i="1"/>
  <c r="L172" i="1"/>
  <c r="K172" i="1"/>
  <c r="G172" i="1"/>
  <c r="E172" i="1"/>
  <c r="D172" i="1"/>
  <c r="L171" i="1"/>
  <c r="K171" i="1"/>
  <c r="D171" i="1"/>
  <c r="L170" i="1"/>
  <c r="K170" i="1"/>
  <c r="G170" i="1"/>
  <c r="E170" i="1"/>
  <c r="D170" i="1"/>
  <c r="L169" i="1"/>
  <c r="K169" i="1"/>
  <c r="G169" i="1"/>
  <c r="E169" i="1"/>
  <c r="D169" i="1"/>
  <c r="L168" i="1"/>
  <c r="K168" i="1"/>
  <c r="D168" i="1"/>
  <c r="L167" i="1"/>
  <c r="K167" i="1"/>
  <c r="D167" i="1"/>
  <c r="AG166" i="1"/>
  <c r="L166" i="1"/>
  <c r="K166" i="1"/>
  <c r="D166" i="1"/>
  <c r="L163" i="1"/>
  <c r="K163" i="1"/>
  <c r="J163" i="1"/>
  <c r="I163" i="1"/>
  <c r="H163" i="1"/>
  <c r="G163" i="1"/>
  <c r="F163" i="1"/>
  <c r="E163" i="1"/>
  <c r="D163" i="1"/>
  <c r="C163" i="1"/>
  <c r="L162" i="1"/>
  <c r="K162" i="1"/>
  <c r="D162" i="1"/>
  <c r="L161" i="1"/>
  <c r="K161" i="1"/>
  <c r="D161" i="1"/>
  <c r="L160" i="1"/>
  <c r="K160" i="1"/>
  <c r="D160" i="1"/>
  <c r="L159" i="1"/>
  <c r="K159" i="1"/>
  <c r="D159" i="1"/>
  <c r="L158" i="1"/>
  <c r="K158" i="1"/>
  <c r="D158" i="1"/>
  <c r="L157" i="1"/>
  <c r="K157" i="1"/>
  <c r="D157" i="1"/>
  <c r="L156" i="1"/>
  <c r="K156" i="1"/>
  <c r="D156" i="1"/>
  <c r="L155" i="1"/>
  <c r="K155" i="1"/>
  <c r="D155" i="1"/>
  <c r="L152" i="1"/>
  <c r="K152" i="1"/>
  <c r="J152" i="1"/>
  <c r="I152" i="1"/>
  <c r="H152" i="1"/>
  <c r="G152" i="1"/>
  <c r="F152" i="1"/>
  <c r="E152" i="1"/>
  <c r="D152" i="1"/>
  <c r="C152" i="1"/>
  <c r="L151" i="1"/>
  <c r="K151" i="1"/>
  <c r="D151" i="1"/>
  <c r="L150" i="1"/>
  <c r="K150" i="1"/>
  <c r="D150" i="1"/>
  <c r="L149" i="1"/>
  <c r="K149" i="1"/>
  <c r="D149" i="1"/>
  <c r="L148" i="1"/>
  <c r="K148" i="1"/>
  <c r="D148" i="1"/>
  <c r="L147" i="1"/>
  <c r="K147" i="1"/>
  <c r="D147" i="1"/>
  <c r="L146" i="1"/>
  <c r="K146" i="1"/>
  <c r="D146" i="1"/>
  <c r="L145" i="1"/>
  <c r="K145" i="1"/>
  <c r="D145" i="1"/>
  <c r="AK142" i="1"/>
  <c r="AJ142" i="1"/>
  <c r="AI142" i="1"/>
  <c r="AH142" i="1"/>
  <c r="AG142" i="1"/>
  <c r="AF142" i="1"/>
  <c r="L142" i="1"/>
  <c r="K142" i="1"/>
  <c r="J142" i="1"/>
  <c r="I142" i="1"/>
  <c r="H142" i="1"/>
  <c r="G142" i="1"/>
  <c r="F142" i="1"/>
  <c r="E142" i="1"/>
  <c r="D142" i="1"/>
  <c r="C142" i="1"/>
  <c r="AK141" i="1"/>
  <c r="AJ141" i="1"/>
  <c r="AH141" i="1"/>
  <c r="AG141" i="1"/>
  <c r="L141" i="1"/>
  <c r="K141" i="1"/>
  <c r="G141" i="1"/>
  <c r="E141" i="1"/>
  <c r="D141" i="1"/>
  <c r="AK140" i="1"/>
  <c r="AJ140" i="1"/>
  <c r="AH140" i="1"/>
  <c r="AG140" i="1"/>
  <c r="L140" i="1"/>
  <c r="K140" i="1"/>
  <c r="G140" i="1"/>
  <c r="E140" i="1"/>
  <c r="D140" i="1"/>
  <c r="AK139" i="1"/>
  <c r="AJ139" i="1"/>
  <c r="AH139" i="1"/>
  <c r="AG139" i="1"/>
  <c r="L139" i="1"/>
  <c r="K139" i="1"/>
  <c r="G139" i="1"/>
  <c r="E139" i="1"/>
  <c r="D139" i="1"/>
  <c r="AK138" i="1"/>
  <c r="AJ138" i="1"/>
  <c r="AH138" i="1"/>
  <c r="AG138" i="1"/>
  <c r="L138" i="1"/>
  <c r="K138" i="1"/>
  <c r="G138" i="1"/>
  <c r="E138" i="1"/>
  <c r="D138" i="1"/>
  <c r="AK137" i="1"/>
  <c r="AJ137" i="1"/>
  <c r="AH137" i="1"/>
  <c r="AG137" i="1"/>
  <c r="L137" i="1"/>
  <c r="K137" i="1"/>
  <c r="G137" i="1"/>
  <c r="E137" i="1"/>
  <c r="D137" i="1"/>
  <c r="AK136" i="1"/>
  <c r="AJ136" i="1"/>
  <c r="AH136" i="1"/>
  <c r="AG136" i="1"/>
  <c r="L136" i="1"/>
  <c r="K136" i="1"/>
  <c r="G136" i="1"/>
  <c r="E136" i="1"/>
  <c r="D136" i="1"/>
  <c r="AK135" i="1"/>
  <c r="AJ135" i="1"/>
  <c r="AH135" i="1"/>
  <c r="AG135" i="1"/>
  <c r="L135" i="1"/>
  <c r="K135" i="1"/>
  <c r="G135" i="1"/>
  <c r="E135" i="1"/>
  <c r="D135" i="1"/>
  <c r="AK134" i="1"/>
  <c r="AJ134" i="1"/>
  <c r="AH134" i="1"/>
  <c r="AG134" i="1"/>
  <c r="L134" i="1"/>
  <c r="K134" i="1"/>
  <c r="G134" i="1"/>
  <c r="E134" i="1"/>
  <c r="D134" i="1"/>
  <c r="L133" i="1"/>
  <c r="K133" i="1"/>
  <c r="G133" i="1"/>
  <c r="E133" i="1"/>
  <c r="D133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D129" i="1"/>
  <c r="L128" i="1"/>
  <c r="K128" i="1"/>
  <c r="D128" i="1"/>
  <c r="L127" i="1"/>
  <c r="K127" i="1"/>
  <c r="D127" i="1"/>
  <c r="L126" i="1"/>
  <c r="K126" i="1"/>
  <c r="D126" i="1"/>
  <c r="L125" i="1"/>
  <c r="K125" i="1"/>
  <c r="D125" i="1"/>
  <c r="L124" i="1"/>
  <c r="K124" i="1"/>
  <c r="D124" i="1"/>
  <c r="L123" i="1"/>
  <c r="K123" i="1"/>
  <c r="D123" i="1"/>
  <c r="L122" i="1"/>
  <c r="K122" i="1"/>
  <c r="D122" i="1"/>
  <c r="L121" i="1"/>
  <c r="K121" i="1"/>
  <c r="D121" i="1"/>
  <c r="L120" i="1"/>
  <c r="K120" i="1"/>
  <c r="D120" i="1"/>
  <c r="L119" i="1"/>
  <c r="K119" i="1"/>
  <c r="D119" i="1"/>
  <c r="L118" i="1"/>
  <c r="K118" i="1"/>
  <c r="D118" i="1"/>
  <c r="L115" i="1"/>
  <c r="K115" i="1"/>
  <c r="J115" i="1"/>
  <c r="I115" i="1"/>
  <c r="H115" i="1"/>
  <c r="G115" i="1"/>
  <c r="F115" i="1"/>
  <c r="E115" i="1"/>
  <c r="D115" i="1"/>
  <c r="C115" i="1"/>
  <c r="L114" i="1"/>
  <c r="K114" i="1"/>
  <c r="D114" i="1"/>
  <c r="L113" i="1"/>
  <c r="K113" i="1"/>
  <c r="D113" i="1"/>
  <c r="L112" i="1"/>
  <c r="K112" i="1"/>
  <c r="D112" i="1"/>
  <c r="L107" i="1"/>
  <c r="K107" i="1"/>
  <c r="J107" i="1"/>
  <c r="I107" i="1"/>
  <c r="H107" i="1"/>
  <c r="G107" i="1"/>
  <c r="F107" i="1"/>
  <c r="E107" i="1"/>
  <c r="D107" i="1"/>
  <c r="C107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D104" i="1"/>
  <c r="L103" i="1"/>
  <c r="K103" i="1"/>
  <c r="D103" i="1"/>
  <c r="L102" i="1"/>
  <c r="K102" i="1"/>
  <c r="D102" i="1"/>
  <c r="L99" i="1"/>
  <c r="K99" i="1"/>
  <c r="J99" i="1"/>
  <c r="I99" i="1"/>
  <c r="H99" i="1"/>
  <c r="G99" i="1"/>
  <c r="F99" i="1"/>
  <c r="E99" i="1"/>
  <c r="D99" i="1"/>
  <c r="C99" i="1"/>
  <c r="L98" i="1"/>
  <c r="K98" i="1"/>
  <c r="D98" i="1"/>
  <c r="L97" i="1"/>
  <c r="K97" i="1"/>
  <c r="D97" i="1"/>
  <c r="L96" i="1"/>
  <c r="K96" i="1"/>
  <c r="D96" i="1"/>
  <c r="L95" i="1"/>
  <c r="K95" i="1"/>
  <c r="D95" i="1"/>
  <c r="L94" i="1"/>
  <c r="K94" i="1"/>
  <c r="D94" i="1"/>
  <c r="L93" i="1"/>
  <c r="K93" i="1"/>
  <c r="D93" i="1"/>
  <c r="L92" i="1"/>
  <c r="K92" i="1"/>
  <c r="D92" i="1"/>
  <c r="L91" i="1"/>
  <c r="K91" i="1"/>
  <c r="D91" i="1"/>
  <c r="L90" i="1"/>
  <c r="K90" i="1"/>
  <c r="D90" i="1"/>
  <c r="L89" i="1"/>
  <c r="K89" i="1"/>
  <c r="D89" i="1"/>
  <c r="L88" i="1"/>
  <c r="K88" i="1"/>
  <c r="D88" i="1"/>
  <c r="L87" i="1"/>
  <c r="K87" i="1"/>
  <c r="D87" i="1"/>
  <c r="L86" i="1"/>
  <c r="K86" i="1"/>
  <c r="D86" i="1"/>
  <c r="L85" i="1"/>
  <c r="K85" i="1"/>
  <c r="D85" i="1"/>
  <c r="L84" i="1"/>
  <c r="K84" i="1"/>
  <c r="D84" i="1"/>
  <c r="L81" i="1"/>
  <c r="K81" i="1"/>
  <c r="J81" i="1"/>
  <c r="I81" i="1"/>
  <c r="H81" i="1"/>
  <c r="G81" i="1"/>
  <c r="F81" i="1"/>
  <c r="E81" i="1"/>
  <c r="D81" i="1"/>
  <c r="C81" i="1"/>
  <c r="L80" i="1"/>
  <c r="K80" i="1"/>
  <c r="D80" i="1"/>
  <c r="L79" i="1"/>
  <c r="K79" i="1"/>
  <c r="D79" i="1"/>
  <c r="L78" i="1"/>
  <c r="K78" i="1"/>
  <c r="D78" i="1"/>
  <c r="L77" i="1"/>
  <c r="K77" i="1"/>
  <c r="D77" i="1"/>
  <c r="L76" i="1"/>
  <c r="K76" i="1"/>
  <c r="D76" i="1"/>
  <c r="L75" i="1"/>
  <c r="K75" i="1"/>
  <c r="D75" i="1"/>
  <c r="L74" i="1"/>
  <c r="K74" i="1"/>
  <c r="D74" i="1"/>
  <c r="L73" i="1"/>
  <c r="K73" i="1"/>
  <c r="D73" i="1"/>
  <c r="L72" i="1"/>
  <c r="K72" i="1"/>
  <c r="D72" i="1"/>
  <c r="L71" i="1"/>
  <c r="K71" i="1"/>
  <c r="D71" i="1"/>
  <c r="L70" i="1"/>
  <c r="K70" i="1"/>
  <c r="D70" i="1"/>
  <c r="L69" i="1"/>
  <c r="K69" i="1"/>
  <c r="E69" i="1"/>
  <c r="D69" i="1"/>
  <c r="L68" i="1"/>
  <c r="K68" i="1"/>
  <c r="E68" i="1"/>
  <c r="D68" i="1"/>
  <c r="L67" i="1"/>
  <c r="K67" i="1"/>
  <c r="E67" i="1"/>
  <c r="D67" i="1"/>
  <c r="L66" i="1"/>
  <c r="K66" i="1"/>
  <c r="D66" i="1"/>
  <c r="L65" i="1"/>
  <c r="K65" i="1"/>
  <c r="G65" i="1"/>
  <c r="E65" i="1"/>
  <c r="D65" i="1"/>
  <c r="L64" i="1"/>
  <c r="K64" i="1"/>
  <c r="G64" i="1"/>
  <c r="E64" i="1"/>
  <c r="D64" i="1"/>
  <c r="L63" i="1"/>
  <c r="K63" i="1"/>
  <c r="D63" i="1"/>
  <c r="L62" i="1"/>
  <c r="K62" i="1"/>
  <c r="D62" i="1"/>
  <c r="L61" i="1"/>
  <c r="K61" i="1"/>
  <c r="D61" i="1"/>
  <c r="L58" i="1"/>
  <c r="K58" i="1"/>
  <c r="J58" i="1"/>
  <c r="I58" i="1"/>
  <c r="H58" i="1"/>
  <c r="G58" i="1"/>
  <c r="F58" i="1"/>
  <c r="E58" i="1"/>
  <c r="D58" i="1"/>
  <c r="C58" i="1"/>
  <c r="L57" i="1"/>
  <c r="K57" i="1"/>
  <c r="D57" i="1"/>
  <c r="L56" i="1"/>
  <c r="K56" i="1"/>
  <c r="D56" i="1"/>
  <c r="L55" i="1"/>
  <c r="K55" i="1"/>
  <c r="D55" i="1"/>
  <c r="L54" i="1"/>
  <c r="K54" i="1"/>
  <c r="D54" i="1"/>
  <c r="L53" i="1"/>
  <c r="K53" i="1"/>
  <c r="D53" i="1"/>
  <c r="L52" i="1"/>
  <c r="K52" i="1"/>
  <c r="D52" i="1"/>
  <c r="L51" i="1"/>
  <c r="K51" i="1"/>
  <c r="D51" i="1"/>
  <c r="L50" i="1"/>
  <c r="K50" i="1"/>
  <c r="D50" i="1"/>
  <c r="L47" i="1"/>
  <c r="K47" i="1"/>
  <c r="J47" i="1"/>
  <c r="I47" i="1"/>
  <c r="H47" i="1"/>
  <c r="G47" i="1"/>
  <c r="F47" i="1"/>
  <c r="E47" i="1"/>
  <c r="D47" i="1"/>
  <c r="C47" i="1"/>
  <c r="L46" i="1"/>
  <c r="K46" i="1"/>
  <c r="D46" i="1"/>
  <c r="L45" i="1"/>
  <c r="K45" i="1"/>
  <c r="D45" i="1"/>
  <c r="L44" i="1"/>
  <c r="K44" i="1"/>
  <c r="D44" i="1"/>
  <c r="L43" i="1"/>
  <c r="K43" i="1"/>
  <c r="D43" i="1"/>
  <c r="L42" i="1"/>
  <c r="K42" i="1"/>
  <c r="D42" i="1"/>
  <c r="L41" i="1"/>
  <c r="K41" i="1"/>
  <c r="D41" i="1"/>
  <c r="AH39" i="1"/>
  <c r="AG39" i="1"/>
  <c r="AH38" i="1"/>
  <c r="AG38" i="1"/>
  <c r="AF38" i="1"/>
  <c r="L38" i="1"/>
  <c r="K38" i="1"/>
  <c r="J38" i="1"/>
  <c r="I38" i="1"/>
  <c r="H38" i="1"/>
  <c r="G38" i="1"/>
  <c r="F38" i="1"/>
  <c r="E38" i="1"/>
  <c r="D38" i="1"/>
  <c r="C38" i="1"/>
  <c r="AH37" i="1"/>
  <c r="AG37" i="1"/>
  <c r="L37" i="1"/>
  <c r="K37" i="1"/>
  <c r="E37" i="1"/>
  <c r="D37" i="1"/>
  <c r="AH36" i="1"/>
  <c r="AG36" i="1"/>
  <c r="L36" i="1"/>
  <c r="K36" i="1"/>
  <c r="E36" i="1"/>
  <c r="D36" i="1"/>
  <c r="AH35" i="1"/>
  <c r="AG35" i="1"/>
  <c r="L35" i="1"/>
  <c r="K35" i="1"/>
  <c r="E35" i="1"/>
  <c r="D35" i="1"/>
  <c r="AH34" i="1"/>
  <c r="AG34" i="1"/>
  <c r="L34" i="1"/>
  <c r="K34" i="1"/>
  <c r="E34" i="1"/>
  <c r="D34" i="1"/>
  <c r="AH33" i="1"/>
  <c r="AG33" i="1"/>
  <c r="L33" i="1"/>
  <c r="K33" i="1"/>
  <c r="E33" i="1"/>
  <c r="D33" i="1"/>
  <c r="AH32" i="1"/>
  <c r="AG32" i="1"/>
  <c r="L32" i="1"/>
  <c r="K32" i="1"/>
  <c r="E32" i="1"/>
  <c r="D32" i="1"/>
  <c r="AH31" i="1"/>
  <c r="AG31" i="1"/>
  <c r="L31" i="1"/>
  <c r="K31" i="1"/>
  <c r="E31" i="1"/>
  <c r="D31" i="1"/>
  <c r="AH30" i="1"/>
  <c r="AG30" i="1"/>
  <c r="L30" i="1"/>
  <c r="K30" i="1"/>
  <c r="E30" i="1"/>
  <c r="D30" i="1"/>
  <c r="L29" i="1"/>
  <c r="K29" i="1"/>
  <c r="E29" i="1"/>
  <c r="D29" i="1"/>
  <c r="L26" i="1"/>
  <c r="K26" i="1"/>
  <c r="J26" i="1"/>
  <c r="I26" i="1"/>
  <c r="H26" i="1"/>
  <c r="G26" i="1"/>
  <c r="F26" i="1"/>
  <c r="E26" i="1"/>
  <c r="D26" i="1"/>
  <c r="C26" i="1"/>
  <c r="L25" i="1"/>
  <c r="K25" i="1"/>
  <c r="D25" i="1"/>
  <c r="L24" i="1"/>
  <c r="K24" i="1"/>
  <c r="D24" i="1"/>
  <c r="L23" i="1"/>
  <c r="K23" i="1"/>
  <c r="D23" i="1"/>
  <c r="L22" i="1"/>
  <c r="K22" i="1"/>
  <c r="D22" i="1"/>
  <c r="L21" i="1"/>
  <c r="K21" i="1"/>
  <c r="D21" i="1"/>
  <c r="L20" i="1"/>
  <c r="K20" i="1"/>
  <c r="D20" i="1"/>
  <c r="L19" i="1"/>
  <c r="K19" i="1"/>
  <c r="D19" i="1"/>
  <c r="L18" i="1"/>
  <c r="K18" i="1"/>
  <c r="D18" i="1"/>
  <c r="L17" i="1"/>
  <c r="K17" i="1"/>
  <c r="D17" i="1"/>
  <c r="L16" i="1"/>
  <c r="K16" i="1"/>
  <c r="D16" i="1"/>
  <c r="L15" i="1"/>
  <c r="K15" i="1"/>
  <c r="D15" i="1"/>
  <c r="L14" i="1"/>
  <c r="K14" i="1"/>
  <c r="D14" i="1"/>
  <c r="L11" i="1"/>
  <c r="K11" i="1"/>
  <c r="J11" i="1"/>
  <c r="I11" i="1"/>
  <c r="H11" i="1"/>
  <c r="G11" i="1"/>
  <c r="F11" i="1"/>
  <c r="E11" i="1"/>
  <c r="D11" i="1"/>
  <c r="C11" i="1"/>
  <c r="L10" i="1"/>
  <c r="K10" i="1"/>
  <c r="D10" i="1"/>
  <c r="L9" i="1"/>
  <c r="K9" i="1"/>
  <c r="D9" i="1"/>
  <c r="L8" i="1"/>
  <c r="K8" i="1"/>
  <c r="D8" i="1"/>
</calcChain>
</file>

<file path=xl/comments1.xml><?xml version="1.0" encoding="utf-8"?>
<comments xmlns="http://schemas.openxmlformats.org/spreadsheetml/2006/main">
  <authors>
    <author>Kelly Xu</author>
  </authors>
  <commentList>
    <comment ref="E384" author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Apply the ratio of other rev to total rev from Proforma rev. </t>
        </r>
      </text>
    </comment>
  </commentList>
</comments>
</file>

<file path=xl/sharedStrings.xml><?xml version="1.0" encoding="utf-8"?>
<sst xmlns="http://schemas.openxmlformats.org/spreadsheetml/2006/main" count="1401" uniqueCount="400">
  <si>
    <t xml:space="preserve">No. </t>
  </si>
  <si>
    <t>Account Description</t>
  </si>
  <si>
    <t>Historical Test Year - Margin</t>
  </si>
  <si>
    <t>Direct Input - Margin</t>
  </si>
  <si>
    <t>Common Allocation - Margin</t>
  </si>
  <si>
    <t>Pro Forma Adjustments - Margin Only</t>
  </si>
  <si>
    <t>Proforma Adjustments -  Gas Costs Only</t>
  </si>
  <si>
    <t>Revenue Change - Margin Only</t>
  </si>
  <si>
    <t xml:space="preserve">Revenue Change - Gas Only </t>
  </si>
  <si>
    <t>Total Revenue Change</t>
  </si>
  <si>
    <t>Adjusted Test Year</t>
  </si>
  <si>
    <t>Function</t>
  </si>
  <si>
    <t>Classifier</t>
  </si>
  <si>
    <t>Internal</t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</si>
  <si>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</si>
  <si>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</si>
  <si>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</si>
  <si>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</si>
  <si>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</si>
  <si>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</si>
  <si>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</si>
  <si>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</si>
  <si>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</si>
  <si>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</si>
  <si>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</si>
  <si>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</si>
  <si>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</si>
  <si>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</si>
  <si>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F_PRODU</t>
  </si>
  <si>
    <t>DEM</t>
  </si>
  <si>
    <t>PDAYXT</t>
  </si>
  <si>
    <t>Other Equipment</t>
  </si>
  <si>
    <t>~</t>
  </si>
  <si>
    <t>Natural Gas Underground Storage</t>
  </si>
  <si>
    <t>JP Storage Balancing - DIR</t>
  </si>
  <si>
    <t>F_STORG</t>
  </si>
  <si>
    <t>COM</t>
  </si>
  <si>
    <t>COM1</t>
  </si>
  <si>
    <t>JP Bal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</si>
  <si>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</si>
  <si>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</si>
  <si>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</si>
  <si>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</si>
  <si>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</si>
  <si>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</si>
  <si>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</si>
  <si>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</si>
  <si>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</si>
  <si>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</si>
  <si>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</si>
  <si>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</si>
  <si>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</si>
  <si>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</si>
  <si>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</si>
  <si>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</si>
  <si>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</si>
  <si>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F_DISTR</t>
  </si>
  <si>
    <t>A_MAINS</t>
  </si>
  <si>
    <t>Mains - Peak</t>
  </si>
  <si>
    <t>PDAY</t>
  </si>
  <si>
    <t>Meas. &amp; Reg. Station Equip.- Gen.</t>
  </si>
  <si>
    <t>Meas. &amp; Reg. Station Equip.- Peak</t>
  </si>
  <si>
    <t>Services</t>
  </si>
  <si>
    <t>CUS</t>
  </si>
  <si>
    <t>SERV</t>
  </si>
  <si>
    <t>Services - DIR</t>
  </si>
  <si>
    <t>DIR380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</si>
  <si>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</si>
  <si>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</si>
  <si>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</si>
  <si>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</si>
  <si>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</si>
  <si>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</si>
  <si>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</si>
  <si>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</si>
  <si>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</si>
  <si>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</si>
  <si>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</si>
  <si>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</si>
  <si>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</si>
  <si>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</si>
  <si>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</si>
  <si>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</si>
  <si>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</si>
  <si>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</si>
  <si>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</si>
  <si>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</si>
  <si>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</si>
  <si>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</si>
  <si>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</si>
  <si>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</si>
  <si>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</si>
  <si>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</si>
  <si>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</si>
  <si>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Load Factor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</si>
  <si>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</si>
  <si>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</si>
  <si>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</si>
  <si>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</si>
  <si>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</si>
  <si>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</si>
  <si>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</si>
  <si>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</si>
  <si>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</si>
  <si>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</si>
  <si>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</si>
  <si>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DIR252</t>
  </si>
  <si>
    <t>Gas Stored Underground - Non current</t>
  </si>
  <si>
    <t>CIAC - Accum. Def. FIT.</t>
  </si>
  <si>
    <t>Customer Deposit</t>
  </si>
  <si>
    <t>DIR235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</si>
  <si>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</si>
  <si>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</si>
  <si>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</si>
  <si>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</si>
  <si>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</si>
  <si>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</si>
  <si>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</si>
  <si>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</si>
  <si>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</si>
  <si>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</si>
  <si>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</si>
  <si>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</si>
  <si>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</si>
  <si>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</si>
  <si>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</si>
  <si>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</si>
  <si>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Natural Gas Purchases - City Gate</t>
  </si>
  <si>
    <t>GAS</t>
  </si>
  <si>
    <t>Other Gas Purchases</t>
  </si>
  <si>
    <t>Purchased Gas Cost Adjustment</t>
  </si>
  <si>
    <t>Oper.of Purch.Gas Measuring Sta.</t>
  </si>
  <si>
    <t>Purch.Gas Calculation Exp.</t>
  </si>
  <si>
    <t>COM1XT_COM</t>
  </si>
  <si>
    <t>Gas Withdrawn From Storage</t>
  </si>
  <si>
    <t>Gas Delivered to Storage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</si>
  <si>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</si>
  <si>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</si>
  <si>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</si>
  <si>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</si>
  <si>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</si>
  <si>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</si>
  <si>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</si>
  <si>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</si>
  <si>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</si>
  <si>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</si>
  <si>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</si>
  <si>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</si>
  <si>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</si>
  <si>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</si>
  <si>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</si>
  <si>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</si>
  <si>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</si>
  <si>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</si>
  <si>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</si>
  <si>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</si>
  <si>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</si>
  <si>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</si>
  <si>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</si>
  <si>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</si>
  <si>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</si>
  <si>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</si>
  <si>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</si>
  <si>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</si>
  <si>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</si>
  <si>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</si>
  <si>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</si>
  <si>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</si>
  <si>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Transmission</t>
  </si>
  <si>
    <t>Oper Supervision &amp; Engineering</t>
  </si>
  <si>
    <t>F_TRANS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</si>
  <si>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</si>
  <si>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</si>
  <si>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</si>
  <si>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</si>
  <si>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</si>
  <si>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</si>
  <si>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</si>
  <si>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</si>
  <si>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</si>
  <si>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</si>
  <si>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</si>
  <si>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</si>
  <si>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</si>
  <si>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</si>
  <si>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</si>
  <si>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</si>
  <si>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</si>
  <si>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</si>
  <si>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</si>
  <si>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</si>
  <si>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</si>
  <si>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</si>
  <si>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</si>
  <si>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</si>
  <si>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</si>
  <si>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</si>
  <si>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</si>
  <si>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</si>
  <si>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</si>
  <si>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</si>
  <si>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</si>
  <si>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F_SALES</t>
  </si>
  <si>
    <t>DIRS</t>
  </si>
  <si>
    <t>DIR_DSALES</t>
  </si>
  <si>
    <t>Direct Assignment to Transport</t>
  </si>
  <si>
    <t>F_TRNSP</t>
  </si>
  <si>
    <t>DIRT</t>
  </si>
  <si>
    <t>DIR_DTRNSP</t>
  </si>
  <si>
    <t>Customer Accounts Expense</t>
  </si>
  <si>
    <t>Supervision - Customer Accounting</t>
  </si>
  <si>
    <t>CUSTACC</t>
  </si>
  <si>
    <t>Meter Reading Expense SALES</t>
  </si>
  <si>
    <t>SALES_902</t>
  </si>
  <si>
    <t>Meter Reading Expense TRANSPORT</t>
  </si>
  <si>
    <t>TRANS_902</t>
  </si>
  <si>
    <t>Cust. Records &amp; Collection Exp.</t>
  </si>
  <si>
    <t>CUST</t>
  </si>
  <si>
    <t>Uncollectible Accounts</t>
  </si>
  <si>
    <t>DIR904</t>
  </si>
  <si>
    <t>Uncollectible Accounts - Gas Cost Rel</t>
  </si>
  <si>
    <t>Uncollectible Accounts  - Rate Inc Rel</t>
  </si>
  <si>
    <t>Misc. Customer Accounts Expense</t>
  </si>
  <si>
    <t>DIR_CASALES</t>
  </si>
  <si>
    <t>DIR_CATRNSP</t>
  </si>
  <si>
    <t>Customer Service &amp; Information Expenses</t>
  </si>
  <si>
    <t>Direct Assignment to Sales</t>
  </si>
  <si>
    <t>DIR_CSISALES_908</t>
  </si>
  <si>
    <t>DIR_CSITRNSP_908</t>
  </si>
  <si>
    <t>Customer Assistance Expenses</t>
  </si>
  <si>
    <t>Information, Instructional Advertising</t>
  </si>
  <si>
    <t>CUSTXT</t>
  </si>
  <si>
    <t>Misc. Cust. Serv. &amp; Infor. Expenses</t>
  </si>
  <si>
    <t>DIR_CSI_910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</si>
  <si>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</si>
  <si>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</si>
  <si>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</si>
  <si>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</si>
  <si>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</si>
  <si>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</si>
  <si>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</si>
  <si>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DIR_CUSTXT</t>
  </si>
  <si>
    <t>A &amp; G Salaries - DIR Transport</t>
  </si>
  <si>
    <t>DIR920_TRNSPT</t>
  </si>
  <si>
    <t>A &amp; G Salaries</t>
  </si>
  <si>
    <t>Office Supplies and Expenses- DIR Sales Procurement</t>
  </si>
  <si>
    <t>Office Supplies and Expenses- Transport</t>
  </si>
  <si>
    <t>DIR921_TRNSPT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</si>
  <si>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</si>
  <si>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</si>
  <si>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</si>
  <si>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</si>
  <si>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</si>
  <si>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</si>
  <si>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DIR926_SALES</t>
  </si>
  <si>
    <t>Benefits - DIR Transport</t>
  </si>
  <si>
    <t>DIR926_TRNSPT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</si>
  <si>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</si>
  <si>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</si>
  <si>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</si>
  <si>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</si>
  <si>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</si>
  <si>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</si>
  <si>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</si>
  <si>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Regulatory Commission Expense - Gas Cost Rel</t>
  </si>
  <si>
    <t>GASREV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</si>
  <si>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</si>
  <si>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</si>
  <si>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</si>
  <si>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</si>
  <si>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</si>
  <si>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</si>
  <si>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</si>
  <si>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</si>
  <si>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</si>
  <si>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</si>
  <si>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</si>
  <si>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</si>
  <si>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</si>
  <si>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</si>
  <si>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</si>
  <si>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</si>
  <si>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</si>
  <si>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</si>
  <si>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</si>
  <si>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</si>
  <si>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</si>
  <si>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</si>
  <si>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</si>
  <si>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</si>
  <si>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EXP903</t>
  </si>
  <si>
    <t>Customer Service &amp; Information Expenses - Labor</t>
  </si>
  <si>
    <t>EXP908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</si>
  <si>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</si>
  <si>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</si>
  <si>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</si>
  <si>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</si>
  <si>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</si>
  <si>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</si>
  <si>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</si>
  <si>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</si>
  <si>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</si>
  <si>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</si>
  <si>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</si>
  <si>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</si>
  <si>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</si>
  <si>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</si>
  <si>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</si>
  <si>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</si>
  <si>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</si>
  <si>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</si>
  <si>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</si>
  <si>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SGTREV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</si>
  <si>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</si>
  <si>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</si>
  <si>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</si>
  <si>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</si>
  <si>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</si>
  <si>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</si>
  <si>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DIR408_SALES</t>
  </si>
  <si>
    <t>Taxes other than Income Taxes - DIR Transport</t>
  </si>
  <si>
    <t>DIR408_TRNSPT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</si>
  <si>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</si>
  <si>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</si>
  <si>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</si>
  <si>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</si>
  <si>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</si>
  <si>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</si>
  <si>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Other Taxes - Gas Cost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</si>
  <si>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</si>
  <si>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</si>
  <si>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</si>
  <si>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</si>
  <si>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</si>
  <si>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</si>
  <si>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</si>
  <si>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</si>
  <si>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</si>
  <si>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</si>
  <si>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GAS COSTS</t>
  </si>
  <si>
    <t>Demand Costs</t>
  </si>
  <si>
    <t>Supply Costs</t>
  </si>
  <si>
    <t>Winter Firm</t>
  </si>
  <si>
    <t>F_GASSP</t>
  </si>
  <si>
    <t>SEAS2_DEM</t>
  </si>
  <si>
    <t>Peaking Firm</t>
  </si>
  <si>
    <t>Sub-total Supply</t>
  </si>
  <si>
    <t>Storage Costs</t>
  </si>
  <si>
    <t>Clay Basin Demand</t>
  </si>
  <si>
    <t>Clay Basin Capacity</t>
  </si>
  <si>
    <t>NW P/L SGS-2 Jackson Prairie Del.</t>
  </si>
  <si>
    <t>JPTF2_DEM</t>
  </si>
  <si>
    <t>NW P/L SGS-2 Jackson Prairie Deliv. Bal.</t>
  </si>
  <si>
    <t>COM1GS</t>
  </si>
  <si>
    <t>NW P/L SGS-2 Jackson Prairie Capacity</t>
  </si>
  <si>
    <t>NW P/L SGS-2 Jackson Prairie Cap. Bal.</t>
  </si>
  <si>
    <t>Sub-total Storage</t>
  </si>
  <si>
    <t>Pipeline Costs</t>
  </si>
  <si>
    <t>NWP TF-1 (Annual Firm&amp;Dlvry Upgrd)</t>
  </si>
  <si>
    <t>TF1_DEM</t>
  </si>
  <si>
    <t>City of Enumclaw (for Buckley)</t>
  </si>
  <si>
    <t>Gas Transmission Northwest (GTN)</t>
  </si>
  <si>
    <t>Westcoast</t>
  </si>
  <si>
    <t>NGTL &amp; Foothills</t>
  </si>
  <si>
    <t xml:space="preserve">TF-1 &amp; TF-2 Winter Only Related to Jackson Prairie </t>
  </si>
  <si>
    <t>TF-1 &amp; TF-2 Winter Only Related to Jackson Prairie  Bal.</t>
  </si>
  <si>
    <t>Sub-total Transportation Costs</t>
  </si>
  <si>
    <t>Capacity Release</t>
  </si>
  <si>
    <t>Sub-total Other</t>
  </si>
  <si>
    <t>TOTAL DEMAND COSTS</t>
  </si>
  <si>
    <t>Variable Costs</t>
  </si>
  <si>
    <t>Annual Contracts &amp; Spot Purchases</t>
  </si>
  <si>
    <t>PDAYXT_COM</t>
  </si>
  <si>
    <t>Withdrawals</t>
  </si>
  <si>
    <t>SEAS2_COM</t>
  </si>
  <si>
    <t>Injections</t>
  </si>
  <si>
    <t>Gas Financials</t>
  </si>
  <si>
    <t>Adjust for Rate Case Volumes</t>
  </si>
  <si>
    <t>Adjust for Rate Case Costs</t>
  </si>
  <si>
    <t>Sub-total Variable Supply Costs</t>
  </si>
  <si>
    <t>JPTF2_COM</t>
  </si>
  <si>
    <t>Clay Basin</t>
  </si>
  <si>
    <t>Sub-total Variable Storage Costs</t>
  </si>
  <si>
    <t>TF-1 Commodity Costs</t>
  </si>
  <si>
    <t>TF1_COM</t>
  </si>
  <si>
    <t>Sub-total Variable Pipeline Costs</t>
  </si>
  <si>
    <t>TOTAL VARIABLE COSTS</t>
  </si>
  <si>
    <t>TOTAL GAS COSTS</t>
  </si>
  <si>
    <t>REVENUE</t>
  </si>
  <si>
    <t>480,481</t>
  </si>
  <si>
    <t>Gas Revenues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</si>
  <si>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</si>
  <si>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</si>
  <si>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</si>
  <si>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</si>
  <si>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</si>
  <si>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</si>
  <si>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Gas Revenues from Storing Gas of Others</t>
  </si>
  <si>
    <t>TOTAL REVENUE</t>
  </si>
  <si>
    <t>Proposed Test Year Without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</si>
</sst>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0.0%"/>
    <numFmt numFmtId="168" formatCode="_(* #,##0_);_(* \(#,##0\);_(* &quot;-&quot;??_);_(@_)"/>
    <numFmt numFmtId="169" formatCode="0.00000"/>
    <numFmt numFmtId="170" formatCode="_(* #,##0.0000_);_(* \(#,##0.0000\);_(* &quot;-&quot;??_);_(@_)"/>
    <numFmt numFmtId="171" formatCode="_(* #,##0.00000_);_(* \(#,##0.00000\);_(* &quot;-&quot;??_);_(@_)"/>
    <numFmt numFmtId="172" formatCode="0.0000000"/>
    <numFmt numFmtId="173" formatCode="d\.mmm\.yy"/>
    <numFmt numFmtId="174" formatCode="#."/>
    <numFmt numFmtId="175" formatCode="_(* ###0_);_(* \(###0\);_(* &quot;-&quot;_);_(@_)"/>
    <numFmt numFmtId="176" formatCode="&quot;$&quot;#,##0\ ;\(&quot;$&quot;#,##0\)"/>
    <numFmt numFmtId="177" formatCode="mmmm\ d\,\ yyyy"/>
    <numFmt numFmtId="178" formatCode="00000"/>
    <numFmt numFmtId="179" formatCode="_([$€-2]* #,##0.00_);_([$€-2]* \(#,##0.00\);_([$€-2]* &quot;-&quot;??_)"/>
    <numFmt numFmtId="180" formatCode="0.00_)"/>
    <numFmt numFmtId="181" formatCode="&quot;$&quot;#,##0;\-&quot;$&quot;#,##0"/>
    <numFmt numFmtId="182" formatCode="#,##0.00\ ;\(#,##0.00\)"/>
    <numFmt numFmtId="183" formatCode="#,##0.00000000000;[Red]\-#,##0.00000000000"/>
    <numFmt numFmtId="184" formatCode="_(&quot;$&quot;* #,##0.0000_);_(&quot;$&quot;* \(#,##0.0000\);_(&quot;$&quot;* &quot;-&quot;????_);_(@_)"/>
    <numFmt numFmtId="185" formatCode="_(* #,##0.0_);_(* \(#,##0.0\);_(* &quot;-&quot;_);_(@_)"/>
  </numFmts>
  <fonts count="7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6">
    <xf numFmtId="165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41" fontId="19" fillId="33" borderId="0"/>
    <xf numFmtId="41" fontId="21" fillId="33" borderId="0">
      <alignment horizontal="left"/>
    </xf>
    <xf numFmtId="0" fontId="18" fillId="0" borderId="0">
      <alignment horizontal="left" vertical="center"/>
    </xf>
    <xf numFmtId="3" fontId="19" fillId="0" borderId="0"/>
    <xf numFmtId="0" fontId="21" fillId="33" borderId="0">
      <alignment horizontal="left" wrapText="1"/>
    </xf>
    <xf numFmtId="166" fontId="23" fillId="33" borderId="0">
      <alignment horizontal="left" vertical="center"/>
    </xf>
    <xf numFmtId="41" fontId="24" fillId="34" borderId="10">
      <alignment horizontal="left"/>
      <protection locked="0"/>
    </xf>
    <xf numFmtId="41" fontId="25" fillId="34" borderId="10">
      <alignment horizontal="left"/>
      <protection locked="0"/>
    </xf>
    <xf numFmtId="41" fontId="26" fillId="33" borderId="0">
      <alignment horizontal="left"/>
    </xf>
    <xf numFmtId="0" fontId="20" fillId="0" borderId="0"/>
    <xf numFmtId="171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65" fontId="20" fillId="0" borderId="0">
      <alignment horizontal="left" wrapText="1"/>
    </xf>
    <xf numFmtId="172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19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19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30" fillId="0" borderId="0"/>
    <xf numFmtId="0" fontId="30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19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19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65" fontId="20" fillId="0" borderId="0">
      <alignment horizontal="left" wrapText="1"/>
    </xf>
    <xf numFmtId="0" fontId="30" fillId="0" borderId="0"/>
    <xf numFmtId="0" fontId="3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2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19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0" fillId="0" borderId="0"/>
    <xf numFmtId="0" fontId="30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19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19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19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19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30" fillId="0" borderId="0"/>
    <xf numFmtId="0" fontId="31" fillId="35" borderId="0" applyNumberFormat="0" applyBorder="0" applyAlignment="0" applyProtection="0"/>
    <xf numFmtId="0" fontId="1" fillId="10" borderId="0" applyNumberFormat="0" applyBorder="0" applyAlignment="0" applyProtection="0"/>
    <xf numFmtId="0" fontId="31" fillId="35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1" fillId="14" borderId="0" applyNumberFormat="0" applyBorder="0" applyAlignment="0" applyProtection="0"/>
    <xf numFmtId="0" fontId="31" fillId="36" borderId="0" applyNumberFormat="0" applyBorder="0" applyAlignment="0" applyProtection="0"/>
    <xf numFmtId="0" fontId="1" fillId="36" borderId="0" applyNumberFormat="0" applyBorder="0" applyAlignment="0" applyProtection="0"/>
    <xf numFmtId="0" fontId="31" fillId="37" borderId="0" applyNumberFormat="0" applyBorder="0" applyAlignment="0" applyProtection="0"/>
    <xf numFmtId="0" fontId="1" fillId="18" borderId="0" applyNumberFormat="0" applyBorder="0" applyAlignment="0" applyProtection="0"/>
    <xf numFmtId="0" fontId="31" fillId="37" borderId="0" applyNumberFormat="0" applyBorder="0" applyAlignment="0" applyProtection="0"/>
    <xf numFmtId="0" fontId="1" fillId="37" borderId="0" applyNumberFormat="0" applyBorder="0" applyAlignment="0" applyProtection="0"/>
    <xf numFmtId="0" fontId="31" fillId="38" borderId="0" applyNumberFormat="0" applyBorder="0" applyAlignment="0" applyProtection="0"/>
    <xf numFmtId="0" fontId="1" fillId="22" borderId="0" applyNumberFormat="0" applyBorder="0" applyAlignment="0" applyProtection="0"/>
    <xf numFmtId="0" fontId="31" fillId="38" borderId="0" applyNumberFormat="0" applyBorder="0" applyAlignment="0" applyProtection="0"/>
    <xf numFmtId="0" fontId="1" fillId="38" borderId="0" applyNumberFormat="0" applyBorder="0" applyAlignment="0" applyProtection="0"/>
    <xf numFmtId="0" fontId="31" fillId="39" borderId="0" applyNumberFormat="0" applyBorder="0" applyAlignment="0" applyProtection="0"/>
    <xf numFmtId="0" fontId="1" fillId="26" borderId="0" applyNumberFormat="0" applyBorder="0" applyAlignment="0" applyProtection="0"/>
    <xf numFmtId="0" fontId="31" fillId="39" borderId="0" applyNumberFormat="0" applyBorder="0" applyAlignment="0" applyProtection="0"/>
    <xf numFmtId="0" fontId="1" fillId="26" borderId="0" applyNumberFormat="0" applyBorder="0" applyAlignment="0" applyProtection="0"/>
    <xf numFmtId="0" fontId="31" fillId="40" borderId="0" applyNumberFormat="0" applyBorder="0" applyAlignment="0" applyProtection="0"/>
    <xf numFmtId="0" fontId="1" fillId="30" borderId="0" applyNumberFormat="0" applyBorder="0" applyAlignment="0" applyProtection="0"/>
    <xf numFmtId="0" fontId="31" fillId="40" borderId="0" applyNumberFormat="0" applyBorder="0" applyAlignment="0" applyProtection="0"/>
    <xf numFmtId="0" fontId="1" fillId="30" borderId="0" applyNumberFormat="0" applyBorder="0" applyAlignment="0" applyProtection="0"/>
    <xf numFmtId="0" fontId="31" fillId="41" borderId="0" applyNumberFormat="0" applyBorder="0" applyAlignment="0" applyProtection="0"/>
    <xf numFmtId="0" fontId="1" fillId="11" borderId="0" applyNumberFormat="0" applyBorder="0" applyAlignment="0" applyProtection="0"/>
    <xf numFmtId="0" fontId="31" fillId="41" borderId="0" applyNumberFormat="0" applyBorder="0" applyAlignment="0" applyProtection="0"/>
    <xf numFmtId="0" fontId="1" fillId="11" borderId="0" applyNumberFormat="0" applyBorder="0" applyAlignment="0" applyProtection="0"/>
    <xf numFmtId="0" fontId="31" fillId="42" borderId="0" applyNumberFormat="0" applyBorder="0" applyAlignment="0" applyProtection="0"/>
    <xf numFmtId="0" fontId="1" fillId="15" borderId="0" applyNumberFormat="0" applyBorder="0" applyAlignment="0" applyProtection="0"/>
    <xf numFmtId="0" fontId="31" fillId="42" borderId="0" applyNumberFormat="0" applyBorder="0" applyAlignment="0" applyProtection="0"/>
    <xf numFmtId="0" fontId="1" fillId="15" borderId="0" applyNumberFormat="0" applyBorder="0" applyAlignment="0" applyProtection="0"/>
    <xf numFmtId="0" fontId="31" fillId="43" borderId="0" applyNumberFormat="0" applyBorder="0" applyAlignment="0" applyProtection="0"/>
    <xf numFmtId="0" fontId="1" fillId="19" borderId="0" applyNumberFormat="0" applyBorder="0" applyAlignment="0" applyProtection="0"/>
    <xf numFmtId="0" fontId="31" fillId="43" borderId="0" applyNumberFormat="0" applyBorder="0" applyAlignment="0" applyProtection="0"/>
    <xf numFmtId="0" fontId="1" fillId="43" borderId="0" applyNumberFormat="0" applyBorder="0" applyAlignment="0" applyProtection="0"/>
    <xf numFmtId="0" fontId="31" fillId="38" borderId="0" applyNumberFormat="0" applyBorder="0" applyAlignment="0" applyProtection="0"/>
    <xf numFmtId="0" fontId="1" fillId="23" borderId="0" applyNumberFormat="0" applyBorder="0" applyAlignment="0" applyProtection="0"/>
    <xf numFmtId="0" fontId="31" fillId="38" borderId="0" applyNumberFormat="0" applyBorder="0" applyAlignment="0" applyProtection="0"/>
    <xf numFmtId="0" fontId="1" fillId="23" borderId="0" applyNumberFormat="0" applyBorder="0" applyAlignment="0" applyProtection="0"/>
    <xf numFmtId="0" fontId="31" fillId="41" borderId="0" applyNumberFormat="0" applyBorder="0" applyAlignment="0" applyProtection="0"/>
    <xf numFmtId="0" fontId="1" fillId="27" borderId="0" applyNumberFormat="0" applyBorder="0" applyAlignment="0" applyProtection="0"/>
    <xf numFmtId="0" fontId="31" fillId="41" borderId="0" applyNumberFormat="0" applyBorder="0" applyAlignment="0" applyProtection="0"/>
    <xf numFmtId="0" fontId="1" fillId="27" borderId="0" applyNumberFormat="0" applyBorder="0" applyAlignment="0" applyProtection="0"/>
    <xf numFmtId="0" fontId="31" fillId="44" borderId="0" applyNumberFormat="0" applyBorder="0" applyAlignment="0" applyProtection="0"/>
    <xf numFmtId="0" fontId="1" fillId="31" borderId="0" applyNumberFormat="0" applyBorder="0" applyAlignment="0" applyProtection="0"/>
    <xf numFmtId="0" fontId="31" fillId="44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3" fontId="32" fillId="0" borderId="0" applyFill="0" applyBorder="0" applyAlignment="0"/>
    <xf numFmtId="173" fontId="32" fillId="0" borderId="0" applyFill="0" applyBorder="0" applyAlignment="0"/>
    <xf numFmtId="173" fontId="32" fillId="0" borderId="0" applyFill="0" applyBorder="0" applyAlignment="0"/>
    <xf numFmtId="0" fontId="11" fillId="6" borderId="4" applyNumberFormat="0" applyAlignment="0" applyProtection="0"/>
    <xf numFmtId="0" fontId="33" fillId="47" borderId="12" applyNumberFormat="0" applyAlignment="0" applyProtection="0"/>
    <xf numFmtId="0" fontId="13" fillId="7" borderId="7" applyNumberFormat="0" applyAlignment="0" applyProtection="0"/>
    <xf numFmtId="41" fontId="20" fillId="48" borderId="0"/>
    <xf numFmtId="41" fontId="20" fillId="48" borderId="0"/>
    <xf numFmtId="41" fontId="20" fillId="48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6" fillId="0" borderId="0" applyFill="0" applyBorder="0" applyAlignment="0" applyProtection="0"/>
    <xf numFmtId="0" fontId="37" fillId="0" borderId="0"/>
    <xf numFmtId="0" fontId="37" fillId="0" borderId="0"/>
    <xf numFmtId="0" fontId="38" fillId="0" borderId="0"/>
    <xf numFmtId="0" fontId="38" fillId="0" borderId="0"/>
    <xf numFmtId="0" fontId="39" fillId="0" borderId="0"/>
    <xf numFmtId="0" fontId="40" fillId="0" borderId="0"/>
    <xf numFmtId="0" fontId="40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74" fontId="43" fillId="0" borderId="0">
      <protection locked="0"/>
    </xf>
    <xf numFmtId="0" fontId="39" fillId="0" borderId="0"/>
    <xf numFmtId="0" fontId="40" fillId="0" borderId="0"/>
    <xf numFmtId="0" fontId="38" fillId="0" borderId="0"/>
    <xf numFmtId="0" fontId="38" fillId="0" borderId="0"/>
    <xf numFmtId="0" fontId="40" fillId="0" borderId="0"/>
    <xf numFmtId="0" fontId="44" fillId="0" borderId="0" applyNumberFormat="0" applyAlignment="0">
      <alignment horizontal="left"/>
    </xf>
    <xf numFmtId="0" fontId="44" fillId="0" borderId="0" applyNumberFormat="0" applyAlignment="0">
      <alignment horizontal="left"/>
    </xf>
    <xf numFmtId="0" fontId="44" fillId="0" borderId="0" applyNumberFormat="0" applyAlignment="0">
      <alignment horizontal="left"/>
    </xf>
    <xf numFmtId="0" fontId="45" fillId="0" borderId="0" applyNumberFormat="0" applyAlignment="0"/>
    <xf numFmtId="0" fontId="45" fillId="0" borderId="0" applyNumberFormat="0" applyAlignment="0"/>
    <xf numFmtId="0" fontId="45" fillId="0" borderId="0" applyNumberFormat="0" applyAlignment="0"/>
    <xf numFmtId="0" fontId="37" fillId="0" borderId="0"/>
    <xf numFmtId="0" fontId="39" fillId="0" borderId="0"/>
    <xf numFmtId="0" fontId="40" fillId="0" borderId="0"/>
    <xf numFmtId="0" fontId="38" fillId="0" borderId="0"/>
    <xf numFmtId="0" fontId="38" fillId="0" borderId="0"/>
    <xf numFmtId="0" fontId="40" fillId="0" borderId="0"/>
    <xf numFmtId="0" fontId="37" fillId="0" borderId="0"/>
    <xf numFmtId="0" fontId="39" fillId="0" borderId="0"/>
    <xf numFmtId="0" fontId="40" fillId="0" borderId="0"/>
    <xf numFmtId="0" fontId="40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5" fontId="36" fillId="0" borderId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5" fontId="36" fillId="0" borderId="0" applyFill="0" applyBorder="0" applyAlignment="0" applyProtection="0"/>
    <xf numFmtId="176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36" fillId="0" borderId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2" fillId="0" borderId="0" applyFont="0" applyFill="0" applyBorder="0" applyAlignment="0" applyProtection="0"/>
    <xf numFmtId="165" fontId="20" fillId="0" borderId="0"/>
    <xf numFmtId="178" fontId="20" fillId="0" borderId="0"/>
    <xf numFmtId="178" fontId="20" fillId="0" borderId="0"/>
    <xf numFmtId="178" fontId="20" fillId="0" borderId="0"/>
    <xf numFmtId="179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6" fillId="0" borderId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36" fillId="0" borderId="0" applyFill="0" applyBorder="0" applyAlignment="0" applyProtection="0"/>
    <xf numFmtId="2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42" fillId="0" borderId="0" applyFont="0" applyFill="0" applyBorder="0" applyAlignment="0" applyProtection="0"/>
    <xf numFmtId="0" fontId="37" fillId="0" borderId="0"/>
    <xf numFmtId="0" fontId="6" fillId="2" borderId="0" applyNumberFormat="0" applyBorder="0" applyAlignment="0" applyProtection="0"/>
    <xf numFmtId="38" fontId="46" fillId="48" borderId="0" applyNumberFormat="0" applyBorder="0" applyAlignment="0" applyProtection="0"/>
    <xf numFmtId="38" fontId="46" fillId="48" borderId="0" applyNumberFormat="0" applyBorder="0" applyAlignment="0" applyProtection="0"/>
    <xf numFmtId="38" fontId="46" fillId="48" borderId="0" applyNumberFormat="0" applyBorder="0" applyAlignment="0" applyProtection="0"/>
    <xf numFmtId="38" fontId="46" fillId="48" borderId="0" applyNumberFormat="0" applyBorder="0" applyAlignment="0" applyProtection="0"/>
    <xf numFmtId="38" fontId="46" fillId="48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3" fillId="0" borderId="1" applyNumberFormat="0" applyFill="0" applyAlignment="0" applyProtection="0"/>
    <xf numFmtId="0" fontId="47" fillId="0" borderId="15" applyNumberFormat="0" applyFill="0" applyAlignment="0" applyProtection="0"/>
    <xf numFmtId="0" fontId="4" fillId="0" borderId="2" applyNumberFormat="0" applyFill="0" applyAlignment="0" applyProtection="0"/>
    <xf numFmtId="0" fontId="48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9" fillId="0" borderId="0"/>
    <xf numFmtId="38" fontId="49" fillId="0" borderId="0"/>
    <xf numFmtId="38" fontId="49" fillId="0" borderId="0"/>
    <xf numFmtId="40" fontId="49" fillId="0" borderId="0"/>
    <xf numFmtId="40" fontId="49" fillId="0" borderId="0"/>
    <xf numFmtId="40" fontId="49" fillId="0" borderId="0"/>
    <xf numFmtId="10" fontId="46" fillId="33" borderId="17" applyNumberFormat="0" applyBorder="0" applyAlignment="0" applyProtection="0"/>
    <xf numFmtId="10" fontId="46" fillId="33" borderId="17" applyNumberFormat="0" applyBorder="0" applyAlignment="0" applyProtection="0"/>
    <xf numFmtId="10" fontId="46" fillId="33" borderId="17" applyNumberFormat="0" applyBorder="0" applyAlignment="0" applyProtection="0"/>
    <xf numFmtId="10" fontId="46" fillId="33" borderId="17" applyNumberFormat="0" applyBorder="0" applyAlignment="0" applyProtection="0"/>
    <xf numFmtId="10" fontId="46" fillId="33" borderId="17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0" fontId="25" fillId="34" borderId="10">
      <alignment horizontal="right"/>
      <protection locked="0"/>
    </xf>
    <xf numFmtId="41" fontId="24" fillId="34" borderId="10">
      <alignment horizontal="left"/>
      <protection locked="0"/>
    </xf>
    <xf numFmtId="0" fontId="46" fillId="48" borderId="0"/>
    <xf numFmtId="0" fontId="46" fillId="48" borderId="0"/>
    <xf numFmtId="0" fontId="46" fillId="48" borderId="0"/>
    <xf numFmtId="3" fontId="50" fillId="0" borderId="0" applyFill="0" applyBorder="0" applyAlignment="0" applyProtection="0"/>
    <xf numFmtId="0" fontId="12" fillId="0" borderId="6" applyNumberFormat="0" applyFill="0" applyAlignment="0" applyProtection="0"/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0" fontId="8" fillId="4" borderId="0" applyNumberFormat="0" applyBorder="0" applyAlignment="0" applyProtection="0"/>
    <xf numFmtId="37" fontId="51" fillId="0" borderId="0"/>
    <xf numFmtId="37" fontId="51" fillId="0" borderId="0"/>
    <xf numFmtId="37" fontId="51" fillId="0" borderId="0"/>
    <xf numFmtId="180" fontId="52" fillId="0" borderId="0"/>
    <xf numFmtId="181" fontId="20" fillId="0" borderId="0"/>
    <xf numFmtId="181" fontId="20" fillId="0" borderId="0"/>
    <xf numFmtId="181" fontId="20" fillId="0" borderId="0"/>
    <xf numFmtId="182" fontId="20" fillId="0" borderId="0"/>
    <xf numFmtId="183" fontId="20" fillId="0" borderId="0"/>
    <xf numFmtId="183" fontId="20" fillId="0" borderId="0"/>
    <xf numFmtId="183" fontId="20" fillId="0" borderId="0"/>
    <xf numFmtId="183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5" fontId="20" fillId="0" borderId="0">
      <alignment horizontal="left" wrapText="1"/>
    </xf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31" fillId="0" borderId="0"/>
    <xf numFmtId="0" fontId="34" fillId="0" borderId="0"/>
    <xf numFmtId="0" fontId="1" fillId="0" borderId="0"/>
    <xf numFmtId="0" fontId="35" fillId="0" borderId="0"/>
    <xf numFmtId="177" fontId="20" fillId="0" borderId="0">
      <alignment horizontal="left" wrapText="1"/>
    </xf>
    <xf numFmtId="0" fontId="1" fillId="0" borderId="0"/>
    <xf numFmtId="0" fontId="20" fillId="0" borderId="0"/>
    <xf numFmtId="0" fontId="31" fillId="8" borderId="8" applyNumberFormat="0" applyFont="0" applyAlignment="0" applyProtection="0"/>
    <xf numFmtId="0" fontId="1" fillId="8" borderId="8" applyNumberFormat="0" applyFont="0" applyAlignment="0" applyProtection="0"/>
    <xf numFmtId="0" fontId="31" fillId="49" borderId="20" applyNumberFormat="0" applyFont="0" applyAlignment="0" applyProtection="0"/>
    <xf numFmtId="0" fontId="31" fillId="49" borderId="20" applyNumberFormat="0" applyFont="0" applyAlignment="0" applyProtection="0"/>
    <xf numFmtId="0" fontId="31" fillId="49" borderId="20" applyNumberFormat="0" applyFont="0" applyAlignment="0" applyProtection="0"/>
    <xf numFmtId="0" fontId="31" fillId="49" borderId="20" applyNumberFormat="0" applyFont="0" applyAlignment="0" applyProtection="0"/>
    <xf numFmtId="0" fontId="10" fillId="6" borderId="5" applyNumberFormat="0" applyAlignment="0" applyProtection="0"/>
    <xf numFmtId="0" fontId="37" fillId="0" borderId="0"/>
    <xf numFmtId="0" fontId="37" fillId="0" borderId="0"/>
    <xf numFmtId="0" fontId="38" fillId="0" borderId="0"/>
    <xf numFmtId="0" fontId="38" fillId="0" borderId="0"/>
    <xf numFmtId="0" fontId="39" fillId="0" borderId="0"/>
    <xf numFmtId="0" fontId="40" fillId="0" borderId="0"/>
    <xf numFmtId="0" fontId="38" fillId="0" borderId="0"/>
    <xf numFmtId="0" fontId="38" fillId="0" borderId="0"/>
    <xf numFmtId="0" fontId="40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20" fillId="50" borderId="10"/>
    <xf numFmtId="41" fontId="20" fillId="50" borderId="10"/>
    <xf numFmtId="41" fontId="20" fillId="50" borderId="10"/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54" fillId="0" borderId="21">
      <alignment horizontal="center"/>
    </xf>
    <xf numFmtId="0" fontId="54" fillId="0" borderId="21">
      <alignment horizontal="center"/>
    </xf>
    <xf numFmtId="0" fontId="54" fillId="0" borderId="21">
      <alignment horizontal="center"/>
    </xf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3" fillId="51" borderId="0" applyNumberFormat="0" applyFont="0" applyBorder="0" applyAlignment="0" applyProtection="0"/>
    <xf numFmtId="0" fontId="53" fillId="51" borderId="0" applyNumberFormat="0" applyFont="0" applyBorder="0" applyAlignment="0" applyProtection="0"/>
    <xf numFmtId="0" fontId="53" fillId="51" borderId="0" applyNumberFormat="0" applyFont="0" applyBorder="0" applyAlignment="0" applyProtection="0"/>
    <xf numFmtId="0" fontId="39" fillId="0" borderId="0"/>
    <xf numFmtId="0" fontId="40" fillId="0" borderId="0"/>
    <xf numFmtId="0" fontId="40" fillId="0" borderId="0"/>
    <xf numFmtId="3" fontId="55" fillId="0" borderId="0" applyFill="0" applyBorder="0" applyAlignment="0" applyProtection="0"/>
    <xf numFmtId="0" fontId="56" fillId="0" borderId="0"/>
    <xf numFmtId="0" fontId="57" fillId="0" borderId="0"/>
    <xf numFmtId="0" fontId="57" fillId="0" borderId="0"/>
    <xf numFmtId="3" fontId="55" fillId="0" borderId="0" applyFill="0" applyBorder="0" applyAlignment="0" applyProtection="0"/>
    <xf numFmtId="42" fontId="20" fillId="33" borderId="0"/>
    <xf numFmtId="0" fontId="38" fillId="52" borderId="0"/>
    <xf numFmtId="0" fontId="58" fillId="52" borderId="22"/>
    <xf numFmtId="0" fontId="59" fillId="53" borderId="23"/>
    <xf numFmtId="0" fontId="60" fillId="52" borderId="24"/>
    <xf numFmtId="42" fontId="20" fillId="33" borderId="0"/>
    <xf numFmtId="42" fontId="20" fillId="33" borderId="25">
      <alignment vertical="center"/>
    </xf>
    <xf numFmtId="42" fontId="20" fillId="33" borderId="25">
      <alignment vertical="center"/>
    </xf>
    <xf numFmtId="42" fontId="26" fillId="34" borderId="14">
      <alignment vertical="center"/>
    </xf>
    <xf numFmtId="42" fontId="26" fillId="34" borderId="14">
      <alignment vertical="center"/>
    </xf>
    <xf numFmtId="42" fontId="20" fillId="33" borderId="25">
      <alignment vertical="center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10" fontId="19" fillId="33" borderId="0"/>
    <xf numFmtId="10" fontId="20" fillId="33" borderId="0"/>
    <xf numFmtId="10" fontId="20" fillId="33" borderId="0"/>
    <xf numFmtId="184" fontId="19" fillId="33" borderId="0"/>
    <xf numFmtId="184" fontId="20" fillId="33" borderId="0"/>
    <xf numFmtId="184" fontId="20" fillId="33" borderId="0"/>
    <xf numFmtId="184" fontId="20" fillId="33" borderId="0"/>
    <xf numFmtId="184" fontId="20" fillId="33" borderId="0"/>
    <xf numFmtId="42" fontId="20" fillId="33" borderId="0"/>
    <xf numFmtId="168" fontId="49" fillId="0" borderId="0" applyBorder="0" applyAlignment="0"/>
    <xf numFmtId="42" fontId="20" fillId="33" borderId="27">
      <alignment horizontal="left"/>
    </xf>
    <xf numFmtId="42" fontId="20" fillId="33" borderId="27">
      <alignment horizontal="left"/>
    </xf>
    <xf numFmtId="42" fontId="61" fillId="33" borderId="27">
      <alignment horizontal="left"/>
    </xf>
    <xf numFmtId="42" fontId="61" fillId="33" borderId="27">
      <alignment horizontal="left"/>
    </xf>
    <xf numFmtId="42" fontId="20" fillId="33" borderId="27">
      <alignment horizontal="left"/>
    </xf>
    <xf numFmtId="184" fontId="61" fillId="33" borderId="27">
      <alignment horizontal="left"/>
    </xf>
    <xf numFmtId="168" fontId="49" fillId="0" borderId="0" applyBorder="0" applyAlignment="0"/>
    <xf numFmtId="14" fontId="34" fillId="0" borderId="0" applyNumberFormat="0" applyFill="0" applyBorder="0" applyAlignment="0" applyProtection="0">
      <alignment horizontal="left"/>
    </xf>
    <xf numFmtId="185" fontId="20" fillId="0" borderId="0" applyFont="0" applyFill="0" applyAlignment="0">
      <alignment horizontal="right"/>
    </xf>
    <xf numFmtId="185" fontId="20" fillId="0" borderId="0" applyFont="0" applyFill="0" applyAlignment="0">
      <alignment horizontal="right"/>
    </xf>
    <xf numFmtId="185" fontId="20" fillId="0" borderId="0" applyFont="0" applyFill="0" applyAlignment="0">
      <alignment horizontal="right"/>
    </xf>
    <xf numFmtId="4" fontId="62" fillId="34" borderId="28" applyNumberFormat="0" applyProtection="0">
      <alignment vertical="center"/>
    </xf>
    <xf numFmtId="4" fontId="63" fillId="34" borderId="28" applyNumberFormat="0" applyProtection="0">
      <alignment vertical="center"/>
    </xf>
    <xf numFmtId="4" fontId="62" fillId="34" borderId="28" applyNumberFormat="0" applyProtection="0">
      <alignment horizontal="left" vertical="center" indent="1"/>
    </xf>
    <xf numFmtId="4" fontId="62" fillId="3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2" fillId="55" borderId="28" applyNumberFormat="0" applyProtection="0">
      <alignment horizontal="right" vertical="center"/>
    </xf>
    <xf numFmtId="4" fontId="62" fillId="56" borderId="28" applyNumberFormat="0" applyProtection="0">
      <alignment horizontal="right" vertical="center"/>
    </xf>
    <xf numFmtId="4" fontId="62" fillId="57" borderId="28" applyNumberFormat="0" applyProtection="0">
      <alignment horizontal="right" vertical="center"/>
    </xf>
    <xf numFmtId="4" fontId="62" fillId="58" borderId="28" applyNumberFormat="0" applyProtection="0">
      <alignment horizontal="right" vertical="center"/>
    </xf>
    <xf numFmtId="4" fontId="62" fillId="59" borderId="28" applyNumberFormat="0" applyProtection="0">
      <alignment horizontal="right" vertical="center"/>
    </xf>
    <xf numFmtId="4" fontId="62" fillId="60" borderId="28" applyNumberFormat="0" applyProtection="0">
      <alignment horizontal="right" vertical="center"/>
    </xf>
    <xf numFmtId="4" fontId="62" fillId="61" borderId="28" applyNumberFormat="0" applyProtection="0">
      <alignment horizontal="right" vertical="center"/>
    </xf>
    <xf numFmtId="4" fontId="62" fillId="62" borderId="28" applyNumberFormat="0" applyProtection="0">
      <alignment horizontal="right" vertical="center"/>
    </xf>
    <xf numFmtId="4" fontId="62" fillId="63" borderId="28" applyNumberFormat="0" applyProtection="0">
      <alignment horizontal="right" vertical="center"/>
    </xf>
    <xf numFmtId="4" fontId="64" fillId="64" borderId="28" applyNumberFormat="0" applyProtection="0">
      <alignment horizontal="left" vertical="center" indent="1"/>
    </xf>
    <xf numFmtId="4" fontId="62" fillId="65" borderId="29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2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2" fillId="69" borderId="28" applyNumberFormat="0" applyProtection="0">
      <alignment vertical="center"/>
    </xf>
    <xf numFmtId="4" fontId="63" fillId="69" borderId="28" applyNumberFormat="0" applyProtection="0">
      <alignment vertical="center"/>
    </xf>
    <xf numFmtId="4" fontId="62" fillId="69" borderId="28" applyNumberFormat="0" applyProtection="0">
      <alignment horizontal="left" vertical="center" indent="1"/>
    </xf>
    <xf numFmtId="4" fontId="62" fillId="69" borderId="28" applyNumberFormat="0" applyProtection="0">
      <alignment horizontal="left" vertical="center" indent="1"/>
    </xf>
    <xf numFmtId="4" fontId="62" fillId="65" borderId="28" applyNumberFormat="0" applyProtection="0">
      <alignment horizontal="right" vertical="center"/>
    </xf>
    <xf numFmtId="4" fontId="63" fillId="65" borderId="28" applyNumberFormat="0" applyProtection="0">
      <alignment horizontal="right" vertical="center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66" fillId="0" borderId="0"/>
    <xf numFmtId="4" fontId="27" fillId="65" borderId="28" applyNumberFormat="0" applyProtection="0">
      <alignment horizontal="right" vertical="center"/>
    </xf>
    <xf numFmtId="39" fontId="20" fillId="70" borderId="0"/>
    <xf numFmtId="39" fontId="20" fillId="70" borderId="0"/>
    <xf numFmtId="39" fontId="20" fillId="70" borderId="0"/>
    <xf numFmtId="39" fontId="19" fillId="70" borderId="0"/>
    <xf numFmtId="38" fontId="46" fillId="0" borderId="30"/>
    <xf numFmtId="38" fontId="46" fillId="0" borderId="30"/>
    <xf numFmtId="38" fontId="46" fillId="0" borderId="30"/>
    <xf numFmtId="38" fontId="46" fillId="0" borderId="30"/>
    <xf numFmtId="38" fontId="46" fillId="0" borderId="30"/>
    <xf numFmtId="38" fontId="49" fillId="0" borderId="27"/>
    <xf numFmtId="38" fontId="49" fillId="0" borderId="27"/>
    <xf numFmtId="38" fontId="49" fillId="0" borderId="27"/>
    <xf numFmtId="39" fontId="34" fillId="71" borderId="0"/>
    <xf numFmtId="165" fontId="20" fillId="0" borderId="0">
      <alignment horizontal="left" wrapText="1"/>
    </xf>
    <xf numFmtId="171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40" fontId="67" fillId="0" borderId="0" applyBorder="0">
      <alignment horizontal="right"/>
    </xf>
    <xf numFmtId="0" fontId="20" fillId="0" borderId="0" applyNumberFormat="0" applyBorder="0" applyAlignment="0"/>
    <xf numFmtId="0" fontId="2" fillId="0" borderId="0" applyNumberFormat="0" applyFill="0" applyBorder="0" applyAlignment="0" applyProtection="0"/>
    <xf numFmtId="0" fontId="38" fillId="0" borderId="0"/>
    <xf numFmtId="0" fontId="58" fillId="52" borderId="0"/>
    <xf numFmtId="166" fontId="68" fillId="0" borderId="0">
      <alignment horizontal="left" vertical="center"/>
    </xf>
    <xf numFmtId="166" fontId="68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6" fillId="0" borderId="9" applyNumberFormat="0" applyFill="0" applyAlignment="0" applyProtection="0"/>
    <xf numFmtId="0" fontId="69" fillId="0" borderId="31" applyNumberFormat="0" applyFill="0" applyAlignment="0" applyProtection="0"/>
    <xf numFmtId="0" fontId="39" fillId="0" borderId="32"/>
    <xf numFmtId="0" fontId="40" fillId="0" borderId="32"/>
    <xf numFmtId="0" fontId="40" fillId="0" borderId="32"/>
    <xf numFmtId="0" fontId="14" fillId="0" borderId="0" applyNumberFormat="0" applyFill="0" applyBorder="0" applyAlignment="0" applyProtection="0"/>
  </cellStyleXfs>
  <cellXfs count="48">
    <xf numFmtId="165" fontId="0" fillId="0" borderId="0" xfId="0">
      <alignment horizontal="left" wrapText="1"/>
    </xf>
    <xf numFmtId="0" fontId="21" fillId="0" borderId="0" xfId="7" applyFont="1" applyFill="1">
      <alignment horizontal="left" wrapText="1"/>
    </xf>
    <xf numFmtId="41" fontId="21" fillId="0" borderId="0" xfId="7" applyNumberFormat="1" applyFont="1" applyFill="1" applyAlignment="1">
      <alignment horizontal="center" wrapText="1"/>
    </xf>
    <xf numFmtId="41" fontId="21" fillId="0" borderId="0" xfId="7" quotePrefix="1" applyNumberFormat="1" applyFont="1" applyFill="1" applyAlignment="1">
      <alignment horizontal="center" wrapText="1"/>
    </xf>
    <xf numFmtId="0" fontId="20" fillId="0" borderId="0" xfId="0" applyNumberFormat="1" applyFont="1" applyFill="1" applyAlignment="1"/>
    <xf numFmtId="41" fontId="20" fillId="0" borderId="0" xfId="3" applyFont="1" applyFill="1"/>
    <xf numFmtId="41" fontId="20" fillId="0" borderId="10" xfId="9" applyFont="1" applyFill="1">
      <alignment horizontal="left"/>
      <protection locked="0"/>
    </xf>
    <xf numFmtId="41" fontId="20" fillId="0" borderId="10" xfId="10" applyFont="1" applyFill="1">
      <alignment horizontal="left"/>
      <protection locked="0"/>
    </xf>
    <xf numFmtId="41" fontId="26" fillId="0" borderId="0" xfId="11" applyFont="1" applyFill="1">
      <alignment horizontal="left"/>
    </xf>
    <xf numFmtId="41" fontId="20" fillId="0" borderId="0" xfId="0" applyNumberFormat="1" applyFont="1" applyFill="1" applyAlignment="1"/>
    <xf numFmtId="164" fontId="26" fillId="0" borderId="0" xfId="11" applyNumberFormat="1" applyFont="1" applyFill="1" applyBorder="1" applyAlignment="1">
      <alignment horizontal="left"/>
    </xf>
    <xf numFmtId="41" fontId="26" fillId="0" borderId="0" xfId="11" applyFont="1" applyFill="1" applyBorder="1">
      <alignment horizontal="left"/>
    </xf>
    <xf numFmtId="41" fontId="21" fillId="0" borderId="0" xfId="4" applyFont="1" applyFill="1">
      <alignment horizontal="left"/>
    </xf>
    <xf numFmtId="41" fontId="21" fillId="0" borderId="0" xfId="4" applyFont="1" applyFill="1" applyBorder="1">
      <alignment horizontal="left"/>
    </xf>
    <xf numFmtId="41" fontId="20" fillId="0" borderId="0" xfId="9" applyFont="1" applyFill="1" applyBorder="1">
      <alignment horizontal="left"/>
      <protection locked="0"/>
    </xf>
    <xf numFmtId="168" fontId="20" fillId="0" borderId="0" xfId="1" applyNumberFormat="1" applyFont="1" applyFill="1"/>
    <xf numFmtId="41" fontId="20" fillId="0" borderId="0" xfId="10" applyFont="1" applyFill="1" applyBorder="1">
      <alignment horizontal="left"/>
      <protection locked="0"/>
    </xf>
    <xf numFmtId="168" fontId="26" fillId="0" borderId="0" xfId="1" applyNumberFormat="1" applyFont="1" applyFill="1" applyAlignment="1">
      <alignment horizontal="left"/>
    </xf>
    <xf numFmtId="0" fontId="20" fillId="0" borderId="0" xfId="0" applyNumberFormat="1" applyFont="1" applyFill="1" applyBorder="1" applyAlignment="1"/>
    <xf numFmtId="41" fontId="21" fillId="0" borderId="0" xfId="0" applyNumberFormat="1" applyFont="1" applyFill="1" applyAlignment="1"/>
    <xf numFmtId="164" fontId="20" fillId="0" borderId="0" xfId="0" applyNumberFormat="1" applyFont="1" applyFill="1" applyAlignment="1">
      <alignment horizontal="left"/>
    </xf>
    <xf numFmtId="0" fontId="21" fillId="0" borderId="0" xfId="7" quotePrefix="1" applyFont="1" applyFill="1" applyAlignment="1">
      <alignment horizontal="left" wrapText="1"/>
    </xf>
    <xf numFmtId="3" fontId="20" fillId="0" borderId="0" xfId="6" applyFont="1" applyFill="1" applyAlignment="1"/>
    <xf numFmtId="164" fontId="20" fillId="0" borderId="0" xfId="0" applyNumberFormat="1" applyFont="1" applyFill="1" applyAlignment="1"/>
    <xf numFmtId="164" fontId="21" fillId="0" borderId="0" xfId="4" applyNumberFormat="1" applyFont="1" applyFill="1" applyAlignment="1">
      <alignment horizontal="left"/>
    </xf>
    <xf numFmtId="164" fontId="26" fillId="0" borderId="0" xfId="11" applyNumberFormat="1" applyFont="1" applyFill="1" applyAlignment="1">
      <alignment horizontal="left"/>
    </xf>
    <xf numFmtId="164" fontId="21" fillId="0" borderId="0" xfId="7" applyNumberFormat="1" applyFont="1" applyFill="1" applyAlignment="1">
      <alignment horizontal="left" wrapText="1"/>
    </xf>
    <xf numFmtId="0" fontId="21" fillId="0" borderId="0" xfId="7" applyFont="1" applyFill="1" applyAlignment="1">
      <alignment horizontal="center" wrapText="1"/>
    </xf>
    <xf numFmtId="164" fontId="22" fillId="0" borderId="0" xfId="8" applyNumberFormat="1" applyFont="1" applyFill="1" applyAlignment="1">
      <alignment horizontal="left" vertical="center"/>
    </xf>
    <xf numFmtId="164" fontId="20" fillId="0" borderId="0" xfId="0" applyNumberFormat="1" applyFont="1" applyFill="1" applyBorder="1" applyAlignment="1">
      <alignment horizontal="left"/>
    </xf>
    <xf numFmtId="164" fontId="20" fillId="0" borderId="10" xfId="9" applyNumberFormat="1" applyFont="1" applyFill="1">
      <alignment horizontal="left"/>
      <protection locked="0"/>
    </xf>
    <xf numFmtId="164" fontId="20" fillId="0" borderId="10" xfId="10" applyNumberFormat="1" applyFont="1" applyFill="1">
      <alignment horizontal="left"/>
      <protection locked="0"/>
    </xf>
    <xf numFmtId="41" fontId="20" fillId="0" borderId="11" xfId="10" applyFont="1" applyFill="1" applyBorder="1">
      <alignment horizontal="left"/>
      <protection locked="0"/>
    </xf>
    <xf numFmtId="167" fontId="20" fillId="0" borderId="0" xfId="2" applyNumberFormat="1" applyFont="1" applyFill="1" applyBorder="1"/>
    <xf numFmtId="168" fontId="20" fillId="0" borderId="0" xfId="0" applyNumberFormat="1" applyFont="1" applyFill="1" applyAlignment="1"/>
    <xf numFmtId="43" fontId="20" fillId="0" borderId="0" xfId="0" applyNumberFormat="1" applyFont="1" applyFill="1" applyAlignment="1"/>
    <xf numFmtId="164" fontId="20" fillId="0" borderId="10" xfId="9" applyNumberFormat="1" applyFont="1" applyFill="1" applyAlignment="1">
      <alignment horizontal="right"/>
      <protection locked="0"/>
    </xf>
    <xf numFmtId="169" fontId="20" fillId="0" borderId="0" xfId="0" applyNumberFormat="1" applyFont="1" applyFill="1" applyAlignment="1"/>
    <xf numFmtId="170" fontId="20" fillId="0" borderId="0" xfId="0" applyNumberFormat="1" applyFont="1" applyFill="1" applyAlignment="1"/>
    <xf numFmtId="41" fontId="20" fillId="0" borderId="10" xfId="9" quotePrefix="1" applyFont="1" applyFill="1" applyAlignment="1">
      <alignment horizontal="left"/>
      <protection locked="0"/>
    </xf>
    <xf numFmtId="10" fontId="20" fillId="0" borderId="10" xfId="2" applyFont="1" applyFill="1"/>
    <xf numFmtId="0" fontId="20" fillId="0" borderId="0" xfId="0" quotePrefix="1" applyNumberFormat="1" applyFont="1" applyFill="1" applyAlignment="1">
      <alignment horizontal="left"/>
    </xf>
    <xf numFmtId="41" fontId="20" fillId="0" borderId="0" xfId="9" quotePrefix="1" applyFont="1" applyFill="1" applyBorder="1" applyAlignment="1">
      <alignment horizontal="left"/>
      <protection locked="0"/>
    </xf>
    <xf numFmtId="166" fontId="22" fillId="0" borderId="0" xfId="8" applyFont="1" applyFill="1">
      <alignment horizontal="left" vertical="center"/>
    </xf>
    <xf numFmtId="0" fontId="21" fillId="0" borderId="0" xfId="7" applyFont="1" applyFill="1" applyBorder="1">
      <alignment horizontal="left" wrapText="1"/>
    </xf>
    <xf numFmtId="10" fontId="20" fillId="0" borderId="0" xfId="2" applyFont="1" applyFill="1" applyBorder="1"/>
    <xf numFmtId="42" fontId="20" fillId="0" borderId="0" xfId="0" applyNumberFormat="1" applyFont="1" applyFill="1" applyBorder="1" applyAlignment="1"/>
    <xf numFmtId="164" fontId="20" fillId="0" borderId="10" xfId="9" quotePrefix="1" applyNumberFormat="1" applyFont="1" applyFill="1">
      <alignment horizontal="left"/>
      <protection locked="0"/>
    </xf>
  </cellXfs>
  <cellStyles count="636">
    <cellStyle name="_x0013_" xfId="12"/>
    <cellStyle name="_09GRC Gas Transport For Review" xfId="13"/>
    <cellStyle name="_4.06E Pass Throughs" xfId="14"/>
    <cellStyle name="_4.06E Pass Throughs 2" xfId="15"/>
    <cellStyle name="_4.06E Pass Throughs 3" xfId="16"/>
    <cellStyle name="_4.06E Pass Throughs_04 07E Wild Horse Wind Expansion (C) (2)" xfId="17"/>
    <cellStyle name="_4.06E Pass Throughs_4 31 Regulatory Assets and Liabilities  7 06- Exhibit D" xfId="18"/>
    <cellStyle name="_4.06E Pass Throughs_4 32 Regulatory Assets and Liabilities  7 06- Exhibit D" xfId="19"/>
    <cellStyle name="_4.06E Pass Throughs_Book9" xfId="20"/>
    <cellStyle name="_4.13E Montana Energy Tax" xfId="21"/>
    <cellStyle name="_4.13E Montana Energy Tax 2" xfId="22"/>
    <cellStyle name="_4.13E Montana Energy Tax 3" xfId="23"/>
    <cellStyle name="_4.13E Montana Energy Tax_04 07E Wild Horse Wind Expansion (C) (2)" xfId="24"/>
    <cellStyle name="_4.13E Montana Energy Tax_4 31 Regulatory Assets and Liabilities  7 06- Exhibit D" xfId="25"/>
    <cellStyle name="_4.13E Montana Energy Tax_4 32 Regulatory Assets and Liabilities  7 06- Exhibit D" xfId="26"/>
    <cellStyle name="_4.13E Montana Energy Tax_Book9" xfId="27"/>
    <cellStyle name="_AURORA WIP" xfId="28"/>
    <cellStyle name="_Book1" xfId="29"/>
    <cellStyle name="_Book1 (2)" xfId="30"/>
    <cellStyle name="_Book1 (2) 2" xfId="31"/>
    <cellStyle name="_Book1 (2) 3" xfId="32"/>
    <cellStyle name="_Book1 (2)_04 07E Wild Horse Wind Expansion (C) (2)" xfId="33"/>
    <cellStyle name="_Book1 (2)_4 31 Regulatory Assets and Liabilities  7 06- Exhibit D" xfId="34"/>
    <cellStyle name="_Book1 (2)_4 32 Regulatory Assets and Liabilities  7 06- Exhibit D" xfId="35"/>
    <cellStyle name="_Book1 (2)_ACCOUNTS" xfId="36"/>
    <cellStyle name="_Book1 (2)_Book9" xfId="37"/>
    <cellStyle name="_Book1 (2)_Gas Rev Req Model (2010 GRC)" xfId="38"/>
    <cellStyle name="_Book1 2" xfId="39"/>
    <cellStyle name="_Book1 3" xfId="40"/>
    <cellStyle name="_Book1_4 31 Regulatory Assets and Liabilities  7 06- Exhibit D" xfId="41"/>
    <cellStyle name="_Book1_4 32 Regulatory Assets and Liabilities  7 06- Exhibit D" xfId="42"/>
    <cellStyle name="_Book1_Book9" xfId="43"/>
    <cellStyle name="_Book2" xfId="44"/>
    <cellStyle name="_Book2 2" xfId="45"/>
    <cellStyle name="_Book2 3" xfId="46"/>
    <cellStyle name="_Book2_04 07E Wild Horse Wind Expansion (C) (2)" xfId="47"/>
    <cellStyle name="_Book2_4 31 Regulatory Assets and Liabilities  7 06- Exhibit D" xfId="48"/>
    <cellStyle name="_Book2_4 32 Regulatory Assets and Liabilities  7 06- Exhibit D" xfId="49"/>
    <cellStyle name="_Book2_ACCOUNTS" xfId="50"/>
    <cellStyle name="_Book2_Book9" xfId="51"/>
    <cellStyle name="_Book2_Gas Rev Req Model (2010 GRC)" xfId="52"/>
    <cellStyle name="_Book3" xfId="53"/>
    <cellStyle name="_Book5" xfId="54"/>
    <cellStyle name="_Chelan Debt Forecast 12.19.05" xfId="55"/>
    <cellStyle name="_Chelan Debt Forecast 12.19.05 2" xfId="56"/>
    <cellStyle name="_Chelan Debt Forecast 12.19.05 3" xfId="57"/>
    <cellStyle name="_Chelan Debt Forecast 12.19.05_4 31 Regulatory Assets and Liabilities  7 06- Exhibit D" xfId="58"/>
    <cellStyle name="_Chelan Debt Forecast 12.19.05_4 32 Regulatory Assets and Liabilities  7 06- Exhibit D" xfId="59"/>
    <cellStyle name="_Chelan Debt Forecast 12.19.05_ACCOUNTS" xfId="60"/>
    <cellStyle name="_Chelan Debt Forecast 12.19.05_Book9" xfId="61"/>
    <cellStyle name="_Chelan Debt Forecast 12.19.05_Gas Rev Req Model (2010 GRC)" xfId="62"/>
    <cellStyle name="_Copy 11-9 Sumas Proforma - Current" xfId="63"/>
    <cellStyle name="_Costs not in AURORA 06GRC" xfId="64"/>
    <cellStyle name="_Costs not in AURORA 06GRC 2" xfId="65"/>
    <cellStyle name="_Costs not in AURORA 06GRC 3" xfId="66"/>
    <cellStyle name="_Costs not in AURORA 06GRC_04 07E Wild Horse Wind Expansion (C) (2)" xfId="67"/>
    <cellStyle name="_Costs not in AURORA 06GRC_4 31 Regulatory Assets and Liabilities  7 06- Exhibit D" xfId="68"/>
    <cellStyle name="_Costs not in AURORA 06GRC_4 32 Regulatory Assets and Liabilities  7 06- Exhibit D" xfId="69"/>
    <cellStyle name="_Costs not in AURORA 06GRC_ACCOUNTS" xfId="70"/>
    <cellStyle name="_Costs not in AURORA 06GRC_Book9" xfId="71"/>
    <cellStyle name="_Costs not in AURORA 06GRC_Gas Rev Req Model (2010 GRC)" xfId="72"/>
    <cellStyle name="_Costs not in AURORA 2006GRC 6.15.06" xfId="73"/>
    <cellStyle name="_Costs not in AURORA 2006GRC 6.15.06 2" xfId="74"/>
    <cellStyle name="_Costs not in AURORA 2006GRC 6.15.06 3" xfId="75"/>
    <cellStyle name="_Costs not in AURORA 2006GRC 6.15.06_04 07E Wild Horse Wind Expansion (C) (2)" xfId="76"/>
    <cellStyle name="_Costs not in AURORA 2006GRC 6.15.06_4 31 Regulatory Assets and Liabilities  7 06- Exhibit D" xfId="77"/>
    <cellStyle name="_Costs not in AURORA 2006GRC 6.15.06_4 32 Regulatory Assets and Liabilities  7 06- Exhibit D" xfId="78"/>
    <cellStyle name="_Costs not in AURORA 2006GRC 6.15.06_ACCOUNTS" xfId="79"/>
    <cellStyle name="_Costs not in AURORA 2006GRC 6.15.06_Book9" xfId="80"/>
    <cellStyle name="_Costs not in AURORA 2006GRC 6.15.06_Gas Rev Req Model (2010 GRC)" xfId="81"/>
    <cellStyle name="_Costs not in AURORA 2006GRC w gas price updated" xfId="82"/>
    <cellStyle name="_Costs not in AURORA 2007 Rate Case" xfId="83"/>
    <cellStyle name="_Costs not in AURORA 2007 Rate Case 2" xfId="84"/>
    <cellStyle name="_Costs not in AURORA 2007 Rate Case 3" xfId="85"/>
    <cellStyle name="_Costs not in AURORA 2007 Rate Case_4 31 Regulatory Assets and Liabilities  7 06- Exhibit D" xfId="86"/>
    <cellStyle name="_Costs not in AURORA 2007 Rate Case_4 32 Regulatory Assets and Liabilities  7 06- Exhibit D" xfId="87"/>
    <cellStyle name="_Costs not in AURORA 2007 Rate Case_Book9" xfId="88"/>
    <cellStyle name="_Costs not in KWI3000 '06Budget" xfId="89"/>
    <cellStyle name="_Costs not in KWI3000 '06Budget 2" xfId="90"/>
    <cellStyle name="_Costs not in KWI3000 '06Budget 3" xfId="91"/>
    <cellStyle name="_Costs not in KWI3000 '06Budget_4 31 Regulatory Assets and Liabilities  7 06- Exhibit D" xfId="92"/>
    <cellStyle name="_Costs not in KWI3000 '06Budget_4 32 Regulatory Assets and Liabilities  7 06- Exhibit D" xfId="93"/>
    <cellStyle name="_Costs not in KWI3000 '06Budget_ACCOUNTS" xfId="94"/>
    <cellStyle name="_Costs not in KWI3000 '06Budget_Book9" xfId="95"/>
    <cellStyle name="_Costs not in KWI3000 '06Budget_Gas Rev Req Model (2010 GRC)" xfId="96"/>
    <cellStyle name="_DEM-WP (C) Power Cost 2006GRC Order" xfId="97"/>
    <cellStyle name="_DEM-WP (C) Power Cost 2006GRC Order 2" xfId="98"/>
    <cellStyle name="_DEM-WP (C) Power Cost 2006GRC Order 3" xfId="99"/>
    <cellStyle name="_DEM-WP (C) Power Cost 2006GRC Order_04 07E Wild Horse Wind Expansion (C) (2)" xfId="100"/>
    <cellStyle name="_DEM-WP (C) Power Cost 2006GRC Order_4 31 Regulatory Assets and Liabilities  7 06- Exhibit D" xfId="101"/>
    <cellStyle name="_DEM-WP (C) Power Cost 2006GRC Order_4 32 Regulatory Assets and Liabilities  7 06- Exhibit D" xfId="102"/>
    <cellStyle name="_DEM-WP (C) Power Cost 2006GRC Order_Book9" xfId="103"/>
    <cellStyle name="_DEM-WP Revised (HC) Wild Horse 2006GRC" xfId="104"/>
    <cellStyle name="_DEM-WP Revised (HC) Wild Horse 2006GRC_Electric Rev Req Model (2009 GRC) Rebuttal" xfId="105"/>
    <cellStyle name="_DEM-WP(C) Colstrip FOR" xfId="106"/>
    <cellStyle name="_DEM-WP(C) Costs not in AURORA 2006GRC" xfId="107"/>
    <cellStyle name="_DEM-WP(C) Costs not in AURORA 2006GRC 2" xfId="108"/>
    <cellStyle name="_DEM-WP(C) Costs not in AURORA 2006GRC 3" xfId="109"/>
    <cellStyle name="_DEM-WP(C) Costs not in AURORA 2006GRC_4 31 Regulatory Assets and Liabilities  7 06- Exhibit D" xfId="110"/>
    <cellStyle name="_DEM-WP(C) Costs not in AURORA 2006GRC_4 32 Regulatory Assets and Liabilities  7 06- Exhibit D" xfId="111"/>
    <cellStyle name="_DEM-WP(C) Costs not in AURORA 2006GRC_Book9" xfId="112"/>
    <cellStyle name="_DEM-WP(C) Costs not in AURORA 2007GRC" xfId="113"/>
    <cellStyle name="_DEM-WP(C) Costs not in AURORA 2007GRC_Electric Rev Req Model (2009 GRC) Rebuttal" xfId="114"/>
    <cellStyle name="_DEM-WP(C) Costs not in AURORA 2007PCORC-5.07Update" xfId="115"/>
    <cellStyle name="_DEM-WP(C) Costs not in AURORA 2007PCORC-5.07Update_DEM-WP(C) Production O&amp;M 2009GRC Rebuttal" xfId="116"/>
    <cellStyle name="_DEM-WP(C) Costs not in AURORA 2007PCORC-5.07Update_Electric Rev Req Model (2009 GRC) Rebuttal" xfId="117"/>
    <cellStyle name="_DEM-WP(C) Prod O&amp;M 2007GRC" xfId="118"/>
    <cellStyle name="_DEM-WP(C) Rate Year Sumas by Month Update Corrected" xfId="119"/>
    <cellStyle name="_DEM-WP(C) Sumas Proforma 11.5.07" xfId="120"/>
    <cellStyle name="_DEM-WP(C) Westside Hydro Data_051007" xfId="121"/>
    <cellStyle name="_DEM-WP(C) Westside Hydro Data_051007_Electric Rev Req Model (2009 GRC) Rebuttal" xfId="122"/>
    <cellStyle name="_Fixed Gas Transport 1 19 09" xfId="123"/>
    <cellStyle name="_Fuel Prices 4-14" xfId="124"/>
    <cellStyle name="_Fuel Prices 4-14 2" xfId="125"/>
    <cellStyle name="_Fuel Prices 4-14 3" xfId="126"/>
    <cellStyle name="_Fuel Prices 4-14_04 07E Wild Horse Wind Expansion (C) (2)" xfId="127"/>
    <cellStyle name="_Fuel Prices 4-14_4 31 Regulatory Assets and Liabilities  7 06- Exhibit D" xfId="128"/>
    <cellStyle name="_Fuel Prices 4-14_4 32 Regulatory Assets and Liabilities  7 06- Exhibit D" xfId="129"/>
    <cellStyle name="_Fuel Prices 4-14_Book9" xfId="130"/>
    <cellStyle name="_Gas Transportation Charges_2009GRC_120308" xfId="131"/>
    <cellStyle name="_NIM 06 Base Case Current Trends" xfId="132"/>
    <cellStyle name="_Portfolio SPlan Base Case.xls Chart 1" xfId="133"/>
    <cellStyle name="_Portfolio SPlan Base Case.xls Chart 2" xfId="134"/>
    <cellStyle name="_Portfolio SPlan Base Case.xls Chart 3" xfId="135"/>
    <cellStyle name="_Power Cost Value Copy 11.30.05 gas 1.09.06 AURORA at 1.10.06" xfId="136"/>
    <cellStyle name="_Power Cost Value Copy 11.30.05 gas 1.09.06 AURORA at 1.10.06 2" xfId="137"/>
    <cellStyle name="_Power Cost Value Copy 11.30.05 gas 1.09.06 AURORA at 1.10.06 3" xfId="138"/>
    <cellStyle name="_Power Cost Value Copy 11.30.05 gas 1.09.06 AURORA at 1.10.06_04 07E Wild Horse Wind Expansion (C) (2)" xfId="139"/>
    <cellStyle name="_Power Cost Value Copy 11.30.05 gas 1.09.06 AURORA at 1.10.06_4 31 Regulatory Assets and Liabilities  7 06- Exhibit D" xfId="140"/>
    <cellStyle name="_Power Cost Value Copy 11.30.05 gas 1.09.06 AURORA at 1.10.06_4 32 Regulatory Assets and Liabilities  7 06- Exhibit D" xfId="141"/>
    <cellStyle name="_Power Cost Value Copy 11.30.05 gas 1.09.06 AURORA at 1.10.06_ACCOUNTS" xfId="142"/>
    <cellStyle name="_Power Cost Value Copy 11.30.05 gas 1.09.06 AURORA at 1.10.06_Book9" xfId="143"/>
    <cellStyle name="_Power Cost Value Copy 11.30.05 gas 1.09.06 AURORA at 1.10.06_Gas Rev Req Model (2010 GRC)" xfId="144"/>
    <cellStyle name="_Pro Forma Rev 07 GRC" xfId="145"/>
    <cellStyle name="_Recon to Darrin's 5.11.05 proforma" xfId="146"/>
    <cellStyle name="_Recon to Darrin's 5.11.05 proforma 2" xfId="147"/>
    <cellStyle name="_Recon to Darrin's 5.11.05 proforma 3" xfId="148"/>
    <cellStyle name="_Recon to Darrin's 5.11.05 proforma_4 31 Regulatory Assets and Liabilities  7 06- Exhibit D" xfId="149"/>
    <cellStyle name="_Recon to Darrin's 5.11.05 proforma_4 32 Regulatory Assets and Liabilities  7 06- Exhibit D" xfId="150"/>
    <cellStyle name="_Recon to Darrin's 5.11.05 proforma_ACCOUNTS" xfId="151"/>
    <cellStyle name="_Recon to Darrin's 5.11.05 proforma_Book9" xfId="152"/>
    <cellStyle name="_Recon to Darrin's 5.11.05 proforma_Gas Rev Req Model (2010 GRC)" xfId="153"/>
    <cellStyle name="_Revenue" xfId="154"/>
    <cellStyle name="_Revenue_Data" xfId="155"/>
    <cellStyle name="_Revenue_Data_1" xfId="156"/>
    <cellStyle name="_Revenue_Data_Pro Forma Rev 09 GRC" xfId="157"/>
    <cellStyle name="_Revenue_Mins" xfId="158"/>
    <cellStyle name="_Revenue_Pro Forma Rev 07 GRC" xfId="159"/>
    <cellStyle name="_Revenue_Pro Forma Rev 08 GRC" xfId="160"/>
    <cellStyle name="_Revenue_Pro Forma Rev 09 GRC" xfId="161"/>
    <cellStyle name="_Revenue_Sheet2" xfId="162"/>
    <cellStyle name="_Revenue_Therms Data" xfId="163"/>
    <cellStyle name="_Revenue_Therms Data Rerun" xfId="164"/>
    <cellStyle name="_Sumas Proforma - 11-09-07" xfId="165"/>
    <cellStyle name="_Sumas Property Taxes v1" xfId="166"/>
    <cellStyle name="_Tenaska Comparison" xfId="167"/>
    <cellStyle name="_Tenaska Comparison 2" xfId="168"/>
    <cellStyle name="_Tenaska Comparison 3" xfId="169"/>
    <cellStyle name="_Tenaska Comparison_4 31 Regulatory Assets and Liabilities  7 06- Exhibit D" xfId="170"/>
    <cellStyle name="_Tenaska Comparison_4 32 Regulatory Assets and Liabilities  7 06- Exhibit D" xfId="171"/>
    <cellStyle name="_Tenaska Comparison_Book9" xfId="172"/>
    <cellStyle name="_Therms Data" xfId="173"/>
    <cellStyle name="_Therms Data_Pro Forma Rev 09 GRC" xfId="174"/>
    <cellStyle name="_Value Copy 11 30 05 gas 12 09 05 AURORA at 12 14 05" xfId="175"/>
    <cellStyle name="_Value Copy 11 30 05 gas 12 09 05 AURORA at 12 14 05 2" xfId="176"/>
    <cellStyle name="_Value Copy 11 30 05 gas 12 09 05 AURORA at 12 14 05 3" xfId="177"/>
    <cellStyle name="_Value Copy 11 30 05 gas 12 09 05 AURORA at 12 14 05_04 07E Wild Horse Wind Expansion (C) (2)" xfId="178"/>
    <cellStyle name="_Value Copy 11 30 05 gas 12 09 05 AURORA at 12 14 05_4 31 Regulatory Assets and Liabilities  7 06- Exhibit D" xfId="179"/>
    <cellStyle name="_Value Copy 11 30 05 gas 12 09 05 AURORA at 12 14 05_4 32 Regulatory Assets and Liabilities  7 06- Exhibit D" xfId="180"/>
    <cellStyle name="_Value Copy 11 30 05 gas 12 09 05 AURORA at 12 14 05_ACCOUNTS" xfId="181"/>
    <cellStyle name="_Value Copy 11 30 05 gas 12 09 05 AURORA at 12 14 05_Book9" xfId="182"/>
    <cellStyle name="_Value Copy 11 30 05 gas 12 09 05 AURORA at 12 14 05_Gas Rev Req Model (2010 GRC)" xfId="183"/>
    <cellStyle name="_VC 6.15.06 update on 06GRC power costs.xls Chart 1" xfId="184"/>
    <cellStyle name="_VC 6.15.06 update on 06GRC power costs.xls Chart 1 2" xfId="185"/>
    <cellStyle name="_VC 6.15.06 update on 06GRC power costs.xls Chart 1 3" xfId="186"/>
    <cellStyle name="_VC 6.15.06 update on 06GRC power costs.xls Chart 1_04 07E Wild Horse Wind Expansion (C) (2)" xfId="187"/>
    <cellStyle name="_VC 6.15.06 update on 06GRC power costs.xls Chart 1_4 31 Regulatory Assets and Liabilities  7 06- Exhibit D" xfId="188"/>
    <cellStyle name="_VC 6.15.06 update on 06GRC power costs.xls Chart 1_4 32 Regulatory Assets and Liabilities  7 06- Exhibit D" xfId="189"/>
    <cellStyle name="_VC 6.15.06 update on 06GRC power costs.xls Chart 1_ACCOUNTS" xfId="190"/>
    <cellStyle name="_VC 6.15.06 update on 06GRC power costs.xls Chart 1_Book9" xfId="191"/>
    <cellStyle name="_VC 6.15.06 update on 06GRC power costs.xls Chart 1_Gas Rev Req Model (2010 GRC)" xfId="192"/>
    <cellStyle name="_VC 6.15.06 update on 06GRC power costs.xls Chart 2" xfId="193"/>
    <cellStyle name="_VC 6.15.06 update on 06GRC power costs.xls Chart 2 2" xfId="194"/>
    <cellStyle name="_VC 6.15.06 update on 06GRC power costs.xls Chart 2 3" xfId="195"/>
    <cellStyle name="_VC 6.15.06 update on 06GRC power costs.xls Chart 2_04 07E Wild Horse Wind Expansion (C) (2)" xfId="196"/>
    <cellStyle name="_VC 6.15.06 update on 06GRC power costs.xls Chart 2_4 31 Regulatory Assets and Liabilities  7 06- Exhibit D" xfId="197"/>
    <cellStyle name="_VC 6.15.06 update on 06GRC power costs.xls Chart 2_4 32 Regulatory Assets and Liabilities  7 06- Exhibit D" xfId="198"/>
    <cellStyle name="_VC 6.15.06 update on 06GRC power costs.xls Chart 2_ACCOUNTS" xfId="199"/>
    <cellStyle name="_VC 6.15.06 update on 06GRC power costs.xls Chart 2_Book9" xfId="200"/>
    <cellStyle name="_VC 6.15.06 update on 06GRC power costs.xls Chart 2_Gas Rev Req Model (2010 GRC)" xfId="201"/>
    <cellStyle name="_VC 6.15.06 update on 06GRC power costs.xls Chart 3" xfId="202"/>
    <cellStyle name="_VC 6.15.06 update on 06GRC power costs.xls Chart 3 2" xfId="203"/>
    <cellStyle name="_VC 6.15.06 update on 06GRC power costs.xls Chart 3 3" xfId="204"/>
    <cellStyle name="_VC 6.15.06 update on 06GRC power costs.xls Chart 3_04 07E Wild Horse Wind Expansion (C) (2)" xfId="205"/>
    <cellStyle name="_VC 6.15.06 update on 06GRC power costs.xls Chart 3_4 31 Regulatory Assets and Liabilities  7 06- Exhibit D" xfId="206"/>
    <cellStyle name="_VC 6.15.06 update on 06GRC power costs.xls Chart 3_4 32 Regulatory Assets and Liabilities  7 06- Exhibit D" xfId="207"/>
    <cellStyle name="_VC 6.15.06 update on 06GRC power costs.xls Chart 3_ACCOUNTS" xfId="208"/>
    <cellStyle name="_VC 6.15.06 update on 06GRC power costs.xls Chart 3_Book9" xfId="209"/>
    <cellStyle name="_VC 6.15.06 update on 06GRC power costs.xls Chart 3_Gas Rev Req Model (2010 GRC)" xfId="210"/>
    <cellStyle name="0,0_x000d__x000a_NA_x000d__x000a_" xfId="211"/>
    <cellStyle name="20% - Accent1 2" xfId="212"/>
    <cellStyle name="20% - Accent1 2 2" xfId="213"/>
    <cellStyle name="20% - Accent1 3" xfId="214"/>
    <cellStyle name="20% - Accent1 4" xfId="215"/>
    <cellStyle name="20% - Accent2 2" xfId="216"/>
    <cellStyle name="20% - Accent2 2 2" xfId="217"/>
    <cellStyle name="20% - Accent2 3" xfId="218"/>
    <cellStyle name="20% - Accent2 4" xfId="219"/>
    <cellStyle name="20% - Accent3 2" xfId="220"/>
    <cellStyle name="20% - Accent3 2 2" xfId="221"/>
    <cellStyle name="20% - Accent3 3" xfId="222"/>
    <cellStyle name="20% - Accent3 4" xfId="223"/>
    <cellStyle name="20% - Accent4 2" xfId="224"/>
    <cellStyle name="20% - Accent4 2 2" xfId="225"/>
    <cellStyle name="20% - Accent4 3" xfId="226"/>
    <cellStyle name="20% - Accent4 4" xfId="227"/>
    <cellStyle name="20% - Accent5 2" xfId="228"/>
    <cellStyle name="20% - Accent5 2 2" xfId="229"/>
    <cellStyle name="20% - Accent5 3" xfId="230"/>
    <cellStyle name="20% - Accent5 4" xfId="231"/>
    <cellStyle name="20% - Accent6 2" xfId="232"/>
    <cellStyle name="20% - Accent6 2 2" xfId="233"/>
    <cellStyle name="20% - Accent6 3" xfId="234"/>
    <cellStyle name="20% - Accent6 4" xfId="235"/>
    <cellStyle name="40% - Accent1 2" xfId="236"/>
    <cellStyle name="40% - Accent1 2 2" xfId="237"/>
    <cellStyle name="40% - Accent1 3" xfId="238"/>
    <cellStyle name="40% - Accent1 4" xfId="239"/>
    <cellStyle name="40% - Accent2 2" xfId="240"/>
    <cellStyle name="40% - Accent2 2 2" xfId="241"/>
    <cellStyle name="40% - Accent2 3" xfId="242"/>
    <cellStyle name="40% - Accent2 4" xfId="243"/>
    <cellStyle name="40% - Accent3 2" xfId="244"/>
    <cellStyle name="40% - Accent3 2 2" xfId="245"/>
    <cellStyle name="40% - Accent3 3" xfId="246"/>
    <cellStyle name="40% - Accent3 4" xfId="247"/>
    <cellStyle name="40% - Accent4 2" xfId="248"/>
    <cellStyle name="40% - Accent4 2 2" xfId="249"/>
    <cellStyle name="40% - Accent4 3" xfId="250"/>
    <cellStyle name="40% - Accent4 4" xfId="251"/>
    <cellStyle name="40% - Accent5 2" xfId="252"/>
    <cellStyle name="40% - Accent5 2 2" xfId="253"/>
    <cellStyle name="40% - Accent5 3" xfId="254"/>
    <cellStyle name="40% - Accent5 4" xfId="255"/>
    <cellStyle name="40% - Accent6 2" xfId="256"/>
    <cellStyle name="40% - Accent6 2 2" xfId="257"/>
    <cellStyle name="40% - Accent6 3" xfId="258"/>
    <cellStyle name="40% - Accent6 4" xfId="259"/>
    <cellStyle name="60% - Accent1 2" xfId="260"/>
    <cellStyle name="60% - Accent2 2" xfId="261"/>
    <cellStyle name="60% - Accent3 2" xfId="262"/>
    <cellStyle name="60% - Accent3 2 2" xfId="263"/>
    <cellStyle name="60% - Accent4 2" xfId="264"/>
    <cellStyle name="60% - Accent4 2 2" xfId="265"/>
    <cellStyle name="60% - Accent5 2" xfId="266"/>
    <cellStyle name="60% - Accent6 2" xfId="267"/>
    <cellStyle name="60% - Accent6 2 2" xfId="268"/>
    <cellStyle name="Accent1 2" xfId="269"/>
    <cellStyle name="Accent2 2" xfId="270"/>
    <cellStyle name="Accent3 2" xfId="271"/>
    <cellStyle name="Accent4 2" xfId="272"/>
    <cellStyle name="Accent5 2" xfId="273"/>
    <cellStyle name="Accent6 2" xfId="274"/>
    <cellStyle name="Bad 2" xfId="275"/>
    <cellStyle name="Calc Currency (0)" xfId="276"/>
    <cellStyle name="Calc Currency (0) 2" xfId="277"/>
    <cellStyle name="Calc Currency (0) 3" xfId="278"/>
    <cellStyle name="Calculation" xfId="3" builtinId="22"/>
    <cellStyle name="Calculation 2" xfId="279"/>
    <cellStyle name="Calculation 3" xfId="280"/>
    <cellStyle name="Check Cell 2" xfId="281"/>
    <cellStyle name="CheckCell" xfId="282"/>
    <cellStyle name="CheckCell 2" xfId="283"/>
    <cellStyle name="CheckCell_Electric Rev Req Model (2009 GRC) Rebuttal" xfId="284"/>
    <cellStyle name="Comma" xfId="1" builtinId="3"/>
    <cellStyle name="Comma 10" xfId="285"/>
    <cellStyle name="Comma 11" xfId="286"/>
    <cellStyle name="Comma 12" xfId="287"/>
    <cellStyle name="Comma 13" xfId="288"/>
    <cellStyle name="Comma 2" xfId="289"/>
    <cellStyle name="Comma 2 2" xfId="290"/>
    <cellStyle name="Comma 2 3" xfId="291"/>
    <cellStyle name="Comma 2 4" xfId="292"/>
    <cellStyle name="Comma 3" xfId="293"/>
    <cellStyle name="Comma 3 2" xfId="294"/>
    <cellStyle name="Comma 4" xfId="295"/>
    <cellStyle name="Comma 4 2" xfId="296"/>
    <cellStyle name="Comma 5" xfId="297"/>
    <cellStyle name="Comma 6" xfId="298"/>
    <cellStyle name="Comma 7" xfId="299"/>
    <cellStyle name="Comma 8" xfId="300"/>
    <cellStyle name="Comma 8 2" xfId="301"/>
    <cellStyle name="Comma 9" xfId="302"/>
    <cellStyle name="Comma0" xfId="303"/>
    <cellStyle name="Comma0 - Style2" xfId="304"/>
    <cellStyle name="Comma0 - Style4" xfId="305"/>
    <cellStyle name="Comma0 - Style4 2" xfId="306"/>
    <cellStyle name="Comma0 - Style4 3" xfId="307"/>
    <cellStyle name="Comma0 - Style5" xfId="308"/>
    <cellStyle name="Comma0 - Style5 2" xfId="309"/>
    <cellStyle name="Comma0 - Style5_ACCOUNTS" xfId="310"/>
    <cellStyle name="Comma0 2" xfId="311"/>
    <cellStyle name="Comma0 3" xfId="312"/>
    <cellStyle name="Comma0 4" xfId="313"/>
    <cellStyle name="Comma0 5" xfId="314"/>
    <cellStyle name="Comma0 6" xfId="315"/>
    <cellStyle name="Comma0 7" xfId="316"/>
    <cellStyle name="Comma0 8" xfId="317"/>
    <cellStyle name="Comma0_00COS Ind Allocators" xfId="318"/>
    <cellStyle name="Comma1 - Style1" xfId="319"/>
    <cellStyle name="Comma1 - Style1 2" xfId="320"/>
    <cellStyle name="Comma1 - Style1 3" xfId="321"/>
    <cellStyle name="Comma1 - Style1 4" xfId="322"/>
    <cellStyle name="Comma1 - Style1_ACCOUNTS" xfId="323"/>
    <cellStyle name="Copied" xfId="324"/>
    <cellStyle name="Copied 2" xfId="325"/>
    <cellStyle name="Copied 3" xfId="326"/>
    <cellStyle name="COST1" xfId="327"/>
    <cellStyle name="COST1 2" xfId="328"/>
    <cellStyle name="COST1 3" xfId="329"/>
    <cellStyle name="Curren - Style1" xfId="330"/>
    <cellStyle name="Curren - Style2" xfId="331"/>
    <cellStyle name="Curren - Style2 2" xfId="332"/>
    <cellStyle name="Curren - Style2 3" xfId="333"/>
    <cellStyle name="Curren - Style2 4" xfId="334"/>
    <cellStyle name="Curren - Style2_ACCOUNTS" xfId="335"/>
    <cellStyle name="Curren - Style5" xfId="336"/>
    <cellStyle name="Curren - Style6" xfId="337"/>
    <cellStyle name="Curren - Style6 2" xfId="338"/>
    <cellStyle name="Curren - Style6_ACCOUNTS" xfId="339"/>
    <cellStyle name="Currency 10" xfId="340"/>
    <cellStyle name="Currency 11" xfId="341"/>
    <cellStyle name="Currency 2" xfId="342"/>
    <cellStyle name="Currency 2 2" xfId="343"/>
    <cellStyle name="Currency 2 3" xfId="344"/>
    <cellStyle name="Currency 2 4" xfId="345"/>
    <cellStyle name="Currency 3" xfId="346"/>
    <cellStyle name="Currency 3 2" xfId="347"/>
    <cellStyle name="Currency 4" xfId="348"/>
    <cellStyle name="Currency 5" xfId="349"/>
    <cellStyle name="Currency 6" xfId="350"/>
    <cellStyle name="Currency 7" xfId="351"/>
    <cellStyle name="Currency 8" xfId="352"/>
    <cellStyle name="Currency 9" xfId="353"/>
    <cellStyle name="Currency0" xfId="354"/>
    <cellStyle name="Currency0 2" xfId="355"/>
    <cellStyle name="Currency0 3" xfId="356"/>
    <cellStyle name="Currency0 4" xfId="357"/>
    <cellStyle name="Currency0 5" xfId="358"/>
    <cellStyle name="Currency0 6" xfId="359"/>
    <cellStyle name="Currency0_ACCOUNTS" xfId="360"/>
    <cellStyle name="Date" xfId="361"/>
    <cellStyle name="Date 2" xfId="362"/>
    <cellStyle name="Date 3" xfId="363"/>
    <cellStyle name="Date 4" xfId="364"/>
    <cellStyle name="Date 5" xfId="365"/>
    <cellStyle name="Date 6" xfId="366"/>
    <cellStyle name="Date 7" xfId="367"/>
    <cellStyle name="Date_ACCOUNTS" xfId="368"/>
    <cellStyle name="Entered" xfId="369"/>
    <cellStyle name="Entered 2" xfId="370"/>
    <cellStyle name="Entered 3" xfId="371"/>
    <cellStyle name="Entered 4" xfId="372"/>
    <cellStyle name="Euro" xfId="373"/>
    <cellStyle name="Explanatory Text 2" xfId="374"/>
    <cellStyle name="Fixed" xfId="375"/>
    <cellStyle name="Fixed 2" xfId="376"/>
    <cellStyle name="Fixed 3" xfId="377"/>
    <cellStyle name="Fixed 4" xfId="378"/>
    <cellStyle name="Fixed 5" xfId="379"/>
    <cellStyle name="Fixed 6" xfId="380"/>
    <cellStyle name="Fixed_ACCOUNTS" xfId="381"/>
    <cellStyle name="Fixed3 - Style3" xfId="382"/>
    <cellStyle name="Good 2" xfId="383"/>
    <cellStyle name="Grey" xfId="384"/>
    <cellStyle name="Grey 2" xfId="385"/>
    <cellStyle name="Grey 3" xfId="386"/>
    <cellStyle name="Grey 4" xfId="387"/>
    <cellStyle name="Grey_Gas Rev Req Model (2010 GRC)" xfId="388"/>
    <cellStyle name="Header1" xfId="389"/>
    <cellStyle name="Header1 2" xfId="390"/>
    <cellStyle name="Header1 3" xfId="391"/>
    <cellStyle name="Header2" xfId="392"/>
    <cellStyle name="Header2 2" xfId="393"/>
    <cellStyle name="Header2 3" xfId="394"/>
    <cellStyle name="Heading 1 2" xfId="395"/>
    <cellStyle name="Heading 1 3" xfId="396"/>
    <cellStyle name="Heading 2 2" xfId="397"/>
    <cellStyle name="Heading 2 3" xfId="398"/>
    <cellStyle name="Heading 3 2 2" xfId="399"/>
    <cellStyle name="Heading 4 2 2" xfId="400"/>
    <cellStyle name="Heading1" xfId="401"/>
    <cellStyle name="Heading1 2" xfId="402"/>
    <cellStyle name="Heading1 3" xfId="403"/>
    <cellStyle name="Heading2" xfId="404"/>
    <cellStyle name="Heading2 2" xfId="405"/>
    <cellStyle name="Heading2 3" xfId="406"/>
    <cellStyle name="Input [yellow]" xfId="407"/>
    <cellStyle name="Input [yellow] 2" xfId="408"/>
    <cellStyle name="Input [yellow] 3" xfId="409"/>
    <cellStyle name="Input [yellow] 4" xfId="410"/>
    <cellStyle name="Input [yellow]_Gas Rev Req Model (2010 GRC)" xfId="411"/>
    <cellStyle name="Input 2" xfId="412"/>
    <cellStyle name="Input 3" xfId="413"/>
    <cellStyle name="Input Cells" xfId="10"/>
    <cellStyle name="Input Cells Percent" xfId="414"/>
    <cellStyle name="Input Cells_ACCOUNTALLOC" xfId="415"/>
    <cellStyle name="Input Cells_ACCOUNTS" xfId="9"/>
    <cellStyle name="Lines" xfId="416"/>
    <cellStyle name="Lines 2" xfId="417"/>
    <cellStyle name="Lines_Electric Rev Req Model (2009 GRC) Rebuttal" xfId="418"/>
    <cellStyle name="LINKED" xfId="419"/>
    <cellStyle name="Linked Cell 2" xfId="420"/>
    <cellStyle name="modified border" xfId="421"/>
    <cellStyle name="modified border 2" xfId="422"/>
    <cellStyle name="modified border 3" xfId="423"/>
    <cellStyle name="modified border 4" xfId="424"/>
    <cellStyle name="modified border1" xfId="425"/>
    <cellStyle name="modified border1 2" xfId="426"/>
    <cellStyle name="modified border1 3" xfId="427"/>
    <cellStyle name="modified border1 4" xfId="428"/>
    <cellStyle name="Neutral 2" xfId="429"/>
    <cellStyle name="no dec" xfId="430"/>
    <cellStyle name="no dec 2" xfId="431"/>
    <cellStyle name="no dec 3" xfId="432"/>
    <cellStyle name="Normal" xfId="0" builtinId="0"/>
    <cellStyle name="Normal - Style1" xfId="433"/>
    <cellStyle name="Normal - Style1 2" xfId="434"/>
    <cellStyle name="Normal - Style1 3" xfId="435"/>
    <cellStyle name="Normal - Style1 4" xfId="436"/>
    <cellStyle name="Normal - Style1 5" xfId="437"/>
    <cellStyle name="Normal - Style1 6" xfId="438"/>
    <cellStyle name="Normal - Style1 7" xfId="439"/>
    <cellStyle name="Normal - Style1 8" xfId="440"/>
    <cellStyle name="Normal - Style1_Book2" xfId="441"/>
    <cellStyle name="Normal 10" xfId="442"/>
    <cellStyle name="Normal 10 2" xfId="443"/>
    <cellStyle name="Normal 11" xfId="444"/>
    <cellStyle name="Normal 12" xfId="445"/>
    <cellStyle name="Normal 13" xfId="446"/>
    <cellStyle name="Normal 14" xfId="447"/>
    <cellStyle name="Normal 2" xfId="448"/>
    <cellStyle name="Normal 2 2" xfId="449"/>
    <cellStyle name="Normal 2 2 2" xfId="450"/>
    <cellStyle name="Normal 2 2 3" xfId="451"/>
    <cellStyle name="Normal 2 2_ACCOUNTS" xfId="452"/>
    <cellStyle name="Normal 2 3" xfId="453"/>
    <cellStyle name="Normal 2 4" xfId="454"/>
    <cellStyle name="Normal 2 5" xfId="455"/>
    <cellStyle name="Normal 2 6" xfId="456"/>
    <cellStyle name="Normal 2_ACCOUNTS" xfId="457"/>
    <cellStyle name="Normal 3" xfId="458"/>
    <cellStyle name="Normal 3 2" xfId="459"/>
    <cellStyle name="Normal 3 3" xfId="460"/>
    <cellStyle name="Normal 3_Electric Rev Req Model (2009 GRC) Rebuttal" xfId="461"/>
    <cellStyle name="Normal 4" xfId="462"/>
    <cellStyle name="Normal 4 2" xfId="463"/>
    <cellStyle name="Normal 4_ACCOUNTS" xfId="464"/>
    <cellStyle name="Normal 5" xfId="465"/>
    <cellStyle name="Normal 6" xfId="466"/>
    <cellStyle name="Normal 7" xfId="467"/>
    <cellStyle name="Normal 8" xfId="468"/>
    <cellStyle name="Normal 9" xfId="469"/>
    <cellStyle name="Normal_B-3 061803" xfId="6"/>
    <cellStyle name="Note 2" xfId="470"/>
    <cellStyle name="Note 2 2" xfId="471"/>
    <cellStyle name="Note 3" xfId="472"/>
    <cellStyle name="Note 4" xfId="473"/>
    <cellStyle name="Note 8" xfId="474"/>
    <cellStyle name="Note 9" xfId="475"/>
    <cellStyle name="Output 2" xfId="476"/>
    <cellStyle name="Percen - Style1" xfId="477"/>
    <cellStyle name="Percen - Style2" xfId="478"/>
    <cellStyle name="Percen - Style2 2" xfId="479"/>
    <cellStyle name="Percen - Style2 3" xfId="480"/>
    <cellStyle name="Percen - Style3" xfId="481"/>
    <cellStyle name="Percen - Style3 2" xfId="482"/>
    <cellStyle name="Percen - Style3 3" xfId="483"/>
    <cellStyle name="Percen - Style3 4" xfId="484"/>
    <cellStyle name="Percen - Style3_ACCOUNTS" xfId="485"/>
    <cellStyle name="Percent" xfId="2" builtinId="5"/>
    <cellStyle name="Percent [2]" xfId="486"/>
    <cellStyle name="Percent [2] 2" xfId="487"/>
    <cellStyle name="Percent [2] 3" xfId="488"/>
    <cellStyle name="Percent [2] 4" xfId="489"/>
    <cellStyle name="Percent 2" xfId="490"/>
    <cellStyle name="Percent 2 2" xfId="491"/>
    <cellStyle name="Percent 2 3" xfId="492"/>
    <cellStyle name="Percent 2 4" xfId="493"/>
    <cellStyle name="Percent 3" xfId="494"/>
    <cellStyle name="Percent 4" xfId="495"/>
    <cellStyle name="Percent 4 2" xfId="496"/>
    <cellStyle name="Percent 5" xfId="497"/>
    <cellStyle name="Percent 6" xfId="498"/>
    <cellStyle name="Processing" xfId="499"/>
    <cellStyle name="Processing 2" xfId="500"/>
    <cellStyle name="Processing_Electric Rev Req Model (2009 GRC) Rebuttal" xfId="501"/>
    <cellStyle name="PSChar" xfId="502"/>
    <cellStyle name="PSChar 2" xfId="503"/>
    <cellStyle name="PSChar 3" xfId="504"/>
    <cellStyle name="PSDate" xfId="505"/>
    <cellStyle name="PSDate 2" xfId="506"/>
    <cellStyle name="PSDate 3" xfId="507"/>
    <cellStyle name="PSDec" xfId="508"/>
    <cellStyle name="PSDec 2" xfId="509"/>
    <cellStyle name="PSDec 3" xfId="510"/>
    <cellStyle name="PSHeading" xfId="511"/>
    <cellStyle name="PSHeading 2" xfId="512"/>
    <cellStyle name="PSHeading 3" xfId="513"/>
    <cellStyle name="PSInt" xfId="514"/>
    <cellStyle name="PSInt 2" xfId="515"/>
    <cellStyle name="PSInt 3" xfId="516"/>
    <cellStyle name="PSSpacer" xfId="517"/>
    <cellStyle name="PSSpacer 2" xfId="518"/>
    <cellStyle name="PSSpacer 3" xfId="519"/>
    <cellStyle name="purple - Style8" xfId="520"/>
    <cellStyle name="purple - Style8 2" xfId="521"/>
    <cellStyle name="purple - Style8_ACCOUNTS" xfId="522"/>
    <cellStyle name="RED" xfId="523"/>
    <cellStyle name="Red - Style7" xfId="524"/>
    <cellStyle name="Red - Style7 2" xfId="525"/>
    <cellStyle name="Red - Style7_ACCOUNTS" xfId="526"/>
    <cellStyle name="RED_04 07E Wild Horse Wind Expansion (C) (2)" xfId="527"/>
    <cellStyle name="Report" xfId="528"/>
    <cellStyle name="Report - Style5" xfId="529"/>
    <cellStyle name="Report - Style6" xfId="530"/>
    <cellStyle name="Report - Style7" xfId="531"/>
    <cellStyle name="Report - Style8" xfId="532"/>
    <cellStyle name="Report 2" xfId="533"/>
    <cellStyle name="Report Bar" xfId="534"/>
    <cellStyle name="Report Bar 2" xfId="535"/>
    <cellStyle name="Report Bar 3" xfId="536"/>
    <cellStyle name="Report Bar 4" xfId="537"/>
    <cellStyle name="Report Bar_Electric Rev Req Model (2009 GRC) Rebuttal" xfId="538"/>
    <cellStyle name="Report Heading" xfId="539"/>
    <cellStyle name="Report Heading 2" xfId="540"/>
    <cellStyle name="Report Heading_Electric Rev Req Model (2009 GRC) Rebuttal" xfId="541"/>
    <cellStyle name="Report Percent" xfId="542"/>
    <cellStyle name="Report Percent 2" xfId="543"/>
    <cellStyle name="Report Percent_ACCOUNTS" xfId="544"/>
    <cellStyle name="Report Unit Cost" xfId="545"/>
    <cellStyle name="Report Unit Cost 2" xfId="546"/>
    <cellStyle name="Report Unit Cost 3" xfId="547"/>
    <cellStyle name="Report Unit Cost 4" xfId="548"/>
    <cellStyle name="Report Unit Cost_ACCOUNTS" xfId="549"/>
    <cellStyle name="Report_Electric Rev Req Model (2009 GRC) Rebuttal" xfId="550"/>
    <cellStyle name="Reports" xfId="551"/>
    <cellStyle name="Reports Total" xfId="552"/>
    <cellStyle name="Reports Total 2" xfId="553"/>
    <cellStyle name="Reports Total 3" xfId="554"/>
    <cellStyle name="Reports Total 4" xfId="555"/>
    <cellStyle name="Reports Total_Electric Rev Req Model (2009 GRC) Rebuttal" xfId="556"/>
    <cellStyle name="Reports Unit Cost Total" xfId="557"/>
    <cellStyle name="Reports_Book9" xfId="558"/>
    <cellStyle name="RevList" xfId="559"/>
    <cellStyle name="round100" xfId="560"/>
    <cellStyle name="round100 2" xfId="561"/>
    <cellStyle name="round100 3" xfId="562"/>
    <cellStyle name="SAPBEXaggData" xfId="563"/>
    <cellStyle name="SAPBEXaggDataEmph" xfId="564"/>
    <cellStyle name="SAPBEXaggItem" xfId="565"/>
    <cellStyle name="SAPBEXaggItemX" xfId="566"/>
    <cellStyle name="SAPBEXchaText" xfId="567"/>
    <cellStyle name="SAPBEXexcBad7" xfId="568"/>
    <cellStyle name="SAPBEXexcBad8" xfId="569"/>
    <cellStyle name="SAPBEXexcBad9" xfId="570"/>
    <cellStyle name="SAPBEXexcCritical4" xfId="571"/>
    <cellStyle name="SAPBEXexcCritical5" xfId="572"/>
    <cellStyle name="SAPBEXexcCritical6" xfId="573"/>
    <cellStyle name="SAPBEXexcGood1" xfId="574"/>
    <cellStyle name="SAPBEXexcGood2" xfId="575"/>
    <cellStyle name="SAPBEXexcGood3" xfId="576"/>
    <cellStyle name="SAPBEXfilterDrill" xfId="577"/>
    <cellStyle name="SAPBEXfilterItem" xfId="578"/>
    <cellStyle name="SAPBEXfilterText" xfId="579"/>
    <cellStyle name="SAPBEXformats" xfId="580"/>
    <cellStyle name="SAPBEXheaderItem" xfId="581"/>
    <cellStyle name="SAPBEXheaderText" xfId="582"/>
    <cellStyle name="SAPBEXHLevel0" xfId="583"/>
    <cellStyle name="SAPBEXHLevel0X" xfId="584"/>
    <cellStyle name="SAPBEXHLevel1" xfId="585"/>
    <cellStyle name="SAPBEXHLevel1X" xfId="586"/>
    <cellStyle name="SAPBEXHLevel2" xfId="587"/>
    <cellStyle name="SAPBEXHLevel2X" xfId="588"/>
    <cellStyle name="SAPBEXHLevel3" xfId="589"/>
    <cellStyle name="SAPBEXHLevel3X" xfId="590"/>
    <cellStyle name="SAPBEXresData" xfId="591"/>
    <cellStyle name="SAPBEXresDataEmph" xfId="592"/>
    <cellStyle name="SAPBEXresItem" xfId="593"/>
    <cellStyle name="SAPBEXresItemX" xfId="594"/>
    <cellStyle name="SAPBEXstdData" xfId="595"/>
    <cellStyle name="SAPBEXstdDataEmph" xfId="596"/>
    <cellStyle name="SAPBEXstdItem" xfId="597"/>
    <cellStyle name="SAPBEXstdItemX" xfId="598"/>
    <cellStyle name="SAPBEXtitle" xfId="599"/>
    <cellStyle name="SAPBEXundefined" xfId="600"/>
    <cellStyle name="shade" xfId="601"/>
    <cellStyle name="shade 2" xfId="602"/>
    <cellStyle name="shade 3" xfId="603"/>
    <cellStyle name="shade_ACCOUNTS" xfId="604"/>
    <cellStyle name="StmtTtl1" xfId="605"/>
    <cellStyle name="StmtTtl1 2" xfId="606"/>
    <cellStyle name="StmtTtl1 3" xfId="607"/>
    <cellStyle name="StmtTtl1 4" xfId="608"/>
    <cellStyle name="StmtTtl1_Gas Rev Req Model (2010 GRC)" xfId="609"/>
    <cellStyle name="StmtTtl2" xfId="610"/>
    <cellStyle name="StmtTtl2 2" xfId="611"/>
    <cellStyle name="StmtTtl2 3" xfId="612"/>
    <cellStyle name="STYL1 - Style1" xfId="613"/>
    <cellStyle name="Style 1" xfId="614"/>
    <cellStyle name="Style 1 2" xfId="615"/>
    <cellStyle name="Style 1 3" xfId="616"/>
    <cellStyle name="Style 1 4" xfId="617"/>
    <cellStyle name="Style 1 5" xfId="618"/>
    <cellStyle name="Style 1 6" xfId="619"/>
    <cellStyle name="Style 1_4 31 Regulatory Assets and Liabilities  7 06- Exhibit D" xfId="620"/>
    <cellStyle name="Subtotal" xfId="621"/>
    <cellStyle name="Sub-total" xfId="11"/>
    <cellStyle name="Test" xfId="622"/>
    <cellStyle name="Title 2 2" xfId="623"/>
    <cellStyle name="Title: - Style3" xfId="624"/>
    <cellStyle name="Title: - Style4" xfId="625"/>
    <cellStyle name="Title: Major" xfId="8"/>
    <cellStyle name="Title: Major 2" xfId="626"/>
    <cellStyle name="Title: Major 3" xfId="627"/>
    <cellStyle name="Title: Minor" xfId="7"/>
    <cellStyle name="Title: Minor 2" xfId="628"/>
    <cellStyle name="Title: Minor_Electric Rev Req Model (2009 GRC) Rebuttal" xfId="629"/>
    <cellStyle name="Title: Worksheet" xfId="5"/>
    <cellStyle name="Total" xfId="4" builtinId="25"/>
    <cellStyle name="Total 2" xfId="630"/>
    <cellStyle name="Total 3" xfId="631"/>
    <cellStyle name="Total4 - Style4" xfId="632"/>
    <cellStyle name="Total4 - Style4 2" xfId="633"/>
    <cellStyle name="Total4 - Style4_ACCOUNTS" xfId="634"/>
    <cellStyle name="Warning Text 2" xfId="6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V730"/>
  <sheetViews>
    <sheetView showGridLines="0" tabSelected="1" zoomScaleNormal="100" workbookViewId="0">
      <selection activeCell="B38" sqref="B38"/>
    </sheetView>
  </sheetViews>
  <sheetFormatPr defaultColWidth="9.109375" defaultRowHeight="13.2" outlineLevelRow="1"/>
  <cols>
    <col min="1" max="1" width="11.5546875" style="20" customWidth="1"/>
    <col min="2" max="2" width="48.109375" style="4" customWidth="1"/>
    <col min="3" max="3" width="18.88671875" style="4" bestFit="1" customWidth="1"/>
    <col min="4" max="4" width="19" style="4" customWidth="1"/>
    <col min="5" max="5" width="19.88671875" style="4" bestFit="1" customWidth="1"/>
    <col min="6" max="6" width="17.6640625" style="4" bestFit="1" customWidth="1"/>
    <col min="7" max="7" width="18.33203125" style="4" bestFit="1" customWidth="1"/>
    <col min="8" max="8" width="18" style="4" bestFit="1" customWidth="1"/>
    <col min="9" max="9" width="14.44140625" style="4" bestFit="1" customWidth="1"/>
    <col min="10" max="10" width="13.33203125" style="4" customWidth="1"/>
    <col min="11" max="11" width="14.44140625" style="4" bestFit="1" customWidth="1"/>
    <col min="12" max="12" width="19.88671875" style="4" bestFit="1" customWidth="1"/>
    <col min="13" max="13" width="5.109375" style="4" customWidth="1"/>
    <col min="14" max="14" width="12.5546875" style="4" bestFit="1" customWidth="1"/>
    <col min="15" max="15" width="11.88671875" style="4" customWidth="1"/>
    <col min="16" max="16" width="15.44140625" style="4" bestFit="1" customWidth="1"/>
    <col min="17" max="17" width="15" style="4" customWidth="1"/>
    <col min="18" max="18" width="15.6640625" style="4" customWidth="1"/>
    <col min="19" max="19" width="19.6640625" style="4" customWidth="1"/>
    <col min="20" max="20" width="20.5546875" style="4" customWidth="1"/>
    <col min="21" max="21" width="0.5546875" style="4" customWidth="1"/>
    <col min="22" max="22" width="3.5546875" style="4" customWidth="1"/>
    <col min="23" max="23" width="15.88671875" style="4" bestFit="1" customWidth="1"/>
    <col min="24" max="24" width="9.109375" style="4"/>
    <col min="25" max="26" width="13.88671875" style="4" customWidth="1"/>
    <col min="27" max="28" width="9.109375" style="4"/>
    <col min="29" max="29" width="6.6640625" style="4" bestFit="1" customWidth="1"/>
    <col min="30" max="30" width="15.44140625" style="4" bestFit="1" customWidth="1"/>
    <col min="31" max="31" width="15" style="4" bestFit="1" customWidth="1"/>
    <col min="32" max="32" width="16" style="4" bestFit="1" customWidth="1"/>
    <col min="33" max="33" width="14.5546875" style="4" bestFit="1" customWidth="1"/>
    <col min="34" max="34" width="16" style="4" customWidth="1"/>
    <col min="35" max="35" width="10.88671875" style="4" bestFit="1" customWidth="1"/>
    <col min="36" max="36" width="13.5546875" style="4" bestFit="1" customWidth="1"/>
    <col min="37" max="37" width="13.88671875" style="4" bestFit="1" customWidth="1"/>
    <col min="38" max="16384" width="9.109375" style="4"/>
  </cols>
  <sheetData>
    <row r="1" spans="1:30" s="1" customFormat="1" ht="39.6">
      <c r="A1" s="26" t="s">
        <v>0</v>
      </c>
      <c r="B1" s="1" t="s">
        <v>1</v>
      </c>
      <c r="C1" s="2" t="s">
        <v>399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N1" s="27" t="s">
        <v>11</v>
      </c>
      <c r="O1" s="27" t="s">
        <v>12</v>
      </c>
      <c r="P1" s="27" t="s">
        <v>29</v>
      </c>
      <c r="Q1" s="27" t="s">
        <v>36</v>
      </c>
      <c r="R1" s="27" t="s">
        <v>63</v>
      </c>
      <c r="S1" s="2" t="s">
        <v>203</v>
      </c>
      <c r="T1" s="27" t="s">
        <v>207</v>
      </c>
      <c r="U1" s="27" t="s">
        <v>32</v>
      </c>
      <c r="V1" s="27"/>
      <c r="W1" s="27" t="s">
        <v>13</v>
      </c>
      <c r="Z1" s="21"/>
      <c r="AA1" s="22"/>
    </row>
    <row r="2" spans="1:30">
      <c r="Z2" s="22"/>
      <c r="AA2" s="22"/>
    </row>
    <row r="3" spans="1:30">
      <c r="Z3" s="22"/>
      <c r="AA3" s="22"/>
    </row>
    <row r="4" spans="1:30" ht="15.6">
      <c r="A4" s="28" t="s">
        <v>14</v>
      </c>
      <c r="Z4" s="22"/>
      <c r="AA4" s="22"/>
    </row>
    <row r="5" spans="1:30" ht="15.6">
      <c r="A5" s="28" t="s">
        <v>15</v>
      </c>
      <c r="Z5" s="22"/>
      <c r="AA5" s="22"/>
    </row>
    <row r="6" spans="1:30" ht="15.6" outlineLevel="1">
      <c r="A6" s="28"/>
      <c r="D6" s="9"/>
      <c r="E6" s="9"/>
      <c r="F6" s="9"/>
      <c r="Z6" s="22"/>
      <c r="AA6" s="22"/>
    </row>
    <row r="7" spans="1:30" outlineLevel="1">
      <c r="A7" s="29"/>
      <c r="B7" s="1" t="s">
        <v>16</v>
      </c>
      <c r="Z7" s="22"/>
      <c r="AA7" s="22"/>
    </row>
    <row r="8" spans="1:30" outlineLevel="1">
      <c r="A8" s="30">
        <v>301</v>
      </c>
      <c r="B8" s="6" t="s">
        <v>17</v>
      </c>
      <c r="C8" s="5">
        <v>158691.96</v>
      </c>
      <c r="D8" s="6">
        <f ca="1">E8+F8</f>
        <v>158691.96</v>
      </c>
      <c r="E8" s="6">
        <v>158691.96</v>
      </c>
      <c r="F8" s="6"/>
      <c r="G8" s="6"/>
      <c r="H8" s="6"/>
      <c r="I8" s="6"/>
      <c r="J8" s="6"/>
      <c r="K8" s="6">
        <f ca="1">+I8+J8</f>
        <v>0</v>
      </c>
      <c r="L8" s="7">
        <f ca="1">D8+G8+H8+K8</f>
        <v>158691.96</v>
      </c>
      <c r="N8" s="6"/>
      <c r="O8" s="6"/>
      <c r="P8" s="6"/>
      <c r="Q8" s="7"/>
      <c r="R8" s="7"/>
      <c r="S8" s="7"/>
      <c r="T8" s="7"/>
      <c r="U8" s="7"/>
      <c r="W8" s="7" t="s">
        <v>18</v>
      </c>
      <c r="Z8" s="22"/>
      <c r="AA8" s="22"/>
    </row>
    <row r="9" spans="1:30" outlineLevel="1">
      <c r="A9" s="30">
        <v>302</v>
      </c>
      <c r="B9" s="6" t="s">
        <v>19</v>
      </c>
      <c r="C9" s="5">
        <v>391855.456006333</v>
      </c>
      <c r="D9" s="6">
        <f ca="1">E9+F9</f>
        <v>391855.456006333</v>
      </c>
      <c r="E9" s="6">
        <v>391855.456006333</v>
      </c>
      <c r="F9" s="6"/>
      <c r="G9" s="6"/>
      <c r="H9" s="6"/>
      <c r="I9" s="6"/>
      <c r="J9" s="6"/>
      <c r="K9" s="6">
        <f ca="1">+I9+J9</f>
        <v>0</v>
      </c>
      <c r="L9" s="7">
        <f ca="1">D9+G9+H9+K9</f>
        <v>391855.456006333</v>
      </c>
      <c r="N9" s="6"/>
      <c r="O9" s="6"/>
      <c r="P9" s="6"/>
      <c r="Q9" s="7"/>
      <c r="R9" s="7"/>
      <c r="S9" s="7"/>
      <c r="T9" s="7"/>
      <c r="U9" s="7"/>
      <c r="W9" s="7" t="s">
        <v>18</v>
      </c>
      <c r="Z9" s="22"/>
      <c r="AA9" s="22"/>
    </row>
    <row r="10" spans="1:30" outlineLevel="1">
      <c r="A10" s="30">
        <v>303</v>
      </c>
      <c r="B10" s="6" t="s">
        <v>20</v>
      </c>
      <c r="C10" s="5">
        <v>67284595.950986207</v>
      </c>
      <c r="D10" s="6">
        <f ca="1">E10+F10</f>
        <v>67284595.950986207</v>
      </c>
      <c r="E10" s="6">
        <v>67284595.950986207</v>
      </c>
      <c r="F10" s="6"/>
      <c r="G10" s="6"/>
      <c r="H10" s="6"/>
      <c r="I10" s="6"/>
      <c r="J10" s="6"/>
      <c r="K10" s="6">
        <f ca="1">+I10+J10</f>
        <v>0</v>
      </c>
      <c r="L10" s="7">
        <f ca="1">D10+G10+H10+K10</f>
        <v>67284595.950986207</v>
      </c>
      <c r="N10" s="6"/>
      <c r="O10" s="6"/>
      <c r="P10" s="6"/>
      <c r="Q10" s="7"/>
      <c r="R10" s="7"/>
      <c r="S10" s="7"/>
      <c r="T10" s="7"/>
      <c r="U10" s="7"/>
      <c r="W10" s="7" t="s">
        <v>21</v>
      </c>
      <c r="Z10" s="22"/>
      <c r="AA10" s="22"/>
      <c r="AD10" s="16"/>
    </row>
    <row r="11" spans="1:30" s="8" customFormat="1" outlineLevel="1">
      <c r="A11" s="23"/>
      <c r="B11" s="8" t="s">
        <v>22</v>
      </c>
      <c r="C11" s="8">
        <f t="shared" ref="C11:L11" ca="1" si="0">SUM(C8:C10)</f>
        <v>67835143.366992533</v>
      </c>
      <c r="D11" s="8">
        <f t="shared" ca="1" si="0"/>
        <v>67835143.366992533</v>
      </c>
      <c r="E11" s="8">
        <f t="shared" ca="1" si="0"/>
        <v>67835143.366992533</v>
      </c>
      <c r="F11" s="8">
        <f t="shared" ca="1" si="0"/>
        <v>0</v>
      </c>
      <c r="G11" s="8">
        <f t="shared" ca="1" si="0"/>
        <v>0</v>
      </c>
      <c r="H11" s="8">
        <f t="shared" ca="1" si="0"/>
        <v>0</v>
      </c>
      <c r="I11" s="8">
        <f t="shared" ca="1" si="0"/>
        <v>0</v>
      </c>
      <c r="J11" s="8">
        <f t="shared" ca="1" si="0"/>
        <v>0</v>
      </c>
      <c r="K11" s="8">
        <f t="shared" ca="1" si="0"/>
        <v>0</v>
      </c>
      <c r="L11" s="8">
        <f t="shared" ca="1" si="0"/>
        <v>67835143.366992533</v>
      </c>
      <c r="M11" s="4"/>
      <c r="V11" s="4"/>
      <c r="Z11" s="22"/>
      <c r="AA11" s="22"/>
    </row>
    <row r="12" spans="1:30" outlineLevel="1">
      <c r="A12" s="23"/>
      <c r="Z12" s="22"/>
      <c r="AA12" s="22"/>
    </row>
    <row r="13" spans="1:30" outlineLevel="1">
      <c r="A13" s="23"/>
      <c r="B13" s="1" t="s">
        <v>23</v>
      </c>
      <c r="Z13" s="22"/>
      <c r="AA13" s="22"/>
    </row>
    <row r="14" spans="1:30" outlineLevel="1">
      <c r="A14" s="30">
        <v>304</v>
      </c>
      <c r="B14" s="6" t="s">
        <v>24</v>
      </c>
      <c r="C14" s="5">
        <v>153210.76999999999</v>
      </c>
      <c r="D14" s="6">
        <f t="shared" ref="D14:D25" ca="1" si="1">E14+F14</f>
        <v>153210.76999999999</v>
      </c>
      <c r="E14" s="6">
        <v>153210.76999999999</v>
      </c>
      <c r="F14" s="6"/>
      <c r="G14" s="7"/>
      <c r="H14" s="7"/>
      <c r="I14" s="7"/>
      <c r="J14" s="7"/>
      <c r="K14" s="6">
        <f t="shared" ref="K14:K25" ca="1" si="2">+I14+J14</f>
        <v>0</v>
      </c>
      <c r="L14" s="7">
        <f t="shared" ref="L14:L25" ca="1" si="3">D14+G14+H14+K14</f>
        <v>153210.76999999999</v>
      </c>
      <c r="N14" s="6"/>
      <c r="O14" s="6"/>
      <c r="P14" s="6"/>
      <c r="Q14" s="7"/>
      <c r="R14" s="7"/>
      <c r="S14" s="7"/>
      <c r="T14" s="7"/>
      <c r="U14" s="7"/>
      <c r="W14" s="7" t="s">
        <v>25</v>
      </c>
      <c r="Z14" s="22"/>
      <c r="AA14" s="22"/>
    </row>
    <row r="15" spans="1:30" outlineLevel="1">
      <c r="A15" s="30">
        <v>305</v>
      </c>
      <c r="B15" s="6" t="s">
        <v>26</v>
      </c>
      <c r="C15" s="5">
        <v>508737.32</v>
      </c>
      <c r="D15" s="6">
        <f t="shared" ca="1" si="1"/>
        <v>508737.32</v>
      </c>
      <c r="E15" s="6">
        <v>508737.32</v>
      </c>
      <c r="F15" s="6"/>
      <c r="G15" s="7"/>
      <c r="H15" s="7"/>
      <c r="I15" s="7"/>
      <c r="J15" s="7"/>
      <c r="K15" s="6">
        <f t="shared" ca="1" si="2"/>
        <v>0</v>
      </c>
      <c r="L15" s="7">
        <f t="shared" ca="1" si="3"/>
        <v>508737.32</v>
      </c>
      <c r="N15" s="6"/>
      <c r="O15" s="6"/>
      <c r="P15" s="6"/>
      <c r="Q15" s="7"/>
      <c r="R15" s="7"/>
      <c r="S15" s="7"/>
      <c r="T15" s="7"/>
      <c r="U15" s="7"/>
      <c r="W15" s="7" t="s">
        <v>25</v>
      </c>
      <c r="Z15" s="22"/>
      <c r="AA15" s="22"/>
    </row>
    <row r="16" spans="1:30" outlineLevel="1">
      <c r="A16" s="30">
        <v>311</v>
      </c>
      <c r="B16" s="6" t="s">
        <v>27</v>
      </c>
      <c r="C16" s="5">
        <v>6070282.0300000003</v>
      </c>
      <c r="D16" s="6">
        <f t="shared" ca="1" si="1"/>
        <v>6070282.0300000003</v>
      </c>
      <c r="E16" s="6">
        <v>6070282.0300000003</v>
      </c>
      <c r="F16" s="6"/>
      <c r="G16" s="7"/>
      <c r="H16" s="7"/>
      <c r="I16" s="7"/>
      <c r="J16" s="7"/>
      <c r="K16" s="6">
        <f t="shared" ca="1" si="2"/>
        <v>0</v>
      </c>
      <c r="L16" s="7">
        <f t="shared" ca="1" si="3"/>
        <v>6070282.0300000003</v>
      </c>
      <c r="N16" s="6" t="s">
        <v>28</v>
      </c>
      <c r="O16" s="6" t="s">
        <v>29</v>
      </c>
      <c r="P16" s="6" t="s">
        <v>30</v>
      </c>
      <c r="Q16" s="7"/>
      <c r="R16" s="7"/>
      <c r="S16" s="7"/>
      <c r="T16" s="7"/>
      <c r="U16" s="7"/>
      <c r="W16" s="7"/>
      <c r="Z16" s="22"/>
      <c r="AA16" s="22"/>
    </row>
    <row r="17" spans="1:37" outlineLevel="1">
      <c r="A17" s="30">
        <v>320</v>
      </c>
      <c r="B17" s="6" t="s">
        <v>31</v>
      </c>
      <c r="C17" s="5">
        <v>4852.88</v>
      </c>
      <c r="D17" s="6">
        <f t="shared" ca="1" si="1"/>
        <v>4852.88</v>
      </c>
      <c r="E17" s="6">
        <v>4852.88</v>
      </c>
      <c r="F17" s="6"/>
      <c r="G17" s="7"/>
      <c r="H17" s="7"/>
      <c r="I17" s="7"/>
      <c r="J17" s="7"/>
      <c r="K17" s="6">
        <f t="shared" ca="1" si="2"/>
        <v>0</v>
      </c>
      <c r="L17" s="7">
        <f t="shared" ca="1" si="3"/>
        <v>4852.88</v>
      </c>
      <c r="N17" s="6" t="s">
        <v>28</v>
      </c>
      <c r="O17" s="6" t="s">
        <v>29</v>
      </c>
      <c r="P17" s="6" t="s">
        <v>30</v>
      </c>
      <c r="Q17" s="7"/>
      <c r="R17" s="7"/>
      <c r="S17" s="7"/>
      <c r="T17" s="7"/>
      <c r="U17" s="7"/>
      <c r="W17" s="7"/>
      <c r="Z17" s="22"/>
      <c r="AA17" s="22"/>
    </row>
    <row r="18" spans="1:37" hidden="1" outlineLevel="1">
      <c r="A18" s="31" t="s">
        <v>32</v>
      </c>
      <c r="B18" s="32" t="s">
        <v>32</v>
      </c>
      <c r="C18" s="5">
        <v>0</v>
      </c>
      <c r="D18" s="6">
        <f t="shared" ca="1" si="1"/>
        <v>0</v>
      </c>
      <c r="E18" s="7"/>
      <c r="F18" s="7"/>
      <c r="G18" s="7"/>
      <c r="H18" s="7"/>
      <c r="I18" s="7"/>
      <c r="J18" s="7"/>
      <c r="K18" s="6">
        <f t="shared" ca="1" si="2"/>
        <v>0</v>
      </c>
      <c r="L18" s="7">
        <f t="shared" ca="1" si="3"/>
        <v>0</v>
      </c>
      <c r="N18" s="7"/>
      <c r="O18" s="7"/>
      <c r="P18" s="7"/>
      <c r="Q18" s="7"/>
      <c r="R18" s="7"/>
      <c r="S18" s="7"/>
      <c r="T18" s="7"/>
      <c r="U18" s="7"/>
      <c r="W18" s="7"/>
      <c r="Z18" s="22"/>
      <c r="AA18" s="22"/>
    </row>
    <row r="19" spans="1:37" hidden="1" outlineLevel="1">
      <c r="A19" s="31" t="s">
        <v>32</v>
      </c>
      <c r="B19" s="32" t="s">
        <v>32</v>
      </c>
      <c r="C19" s="5">
        <v>0</v>
      </c>
      <c r="D19" s="6">
        <f t="shared" ca="1" si="1"/>
        <v>0</v>
      </c>
      <c r="E19" s="7"/>
      <c r="F19" s="7"/>
      <c r="G19" s="7"/>
      <c r="H19" s="7"/>
      <c r="I19" s="7"/>
      <c r="J19" s="7"/>
      <c r="K19" s="6">
        <f t="shared" ca="1" si="2"/>
        <v>0</v>
      </c>
      <c r="L19" s="7">
        <f t="shared" ca="1" si="3"/>
        <v>0</v>
      </c>
      <c r="N19" s="7"/>
      <c r="O19" s="7"/>
      <c r="P19" s="7"/>
      <c r="Q19" s="7"/>
      <c r="R19" s="7"/>
      <c r="S19" s="7"/>
      <c r="T19" s="7"/>
      <c r="U19" s="7"/>
      <c r="W19" s="7"/>
      <c r="Z19" s="22"/>
      <c r="AA19" s="22"/>
    </row>
    <row r="20" spans="1:37" hidden="1" outlineLevel="1">
      <c r="A20" s="31" t="s">
        <v>32</v>
      </c>
      <c r="B20" s="32" t="s">
        <v>32</v>
      </c>
      <c r="C20" s="5">
        <v>0</v>
      </c>
      <c r="D20" s="6">
        <f t="shared" ca="1" si="1"/>
        <v>0</v>
      </c>
      <c r="E20" s="7"/>
      <c r="F20" s="7"/>
      <c r="G20" s="7"/>
      <c r="H20" s="7"/>
      <c r="I20" s="7"/>
      <c r="J20" s="7"/>
      <c r="K20" s="6">
        <f t="shared" ca="1" si="2"/>
        <v>0</v>
      </c>
      <c r="L20" s="7">
        <f t="shared" ca="1" si="3"/>
        <v>0</v>
      </c>
      <c r="N20" s="7"/>
      <c r="O20" s="7"/>
      <c r="P20" s="7"/>
      <c r="Q20" s="7"/>
      <c r="R20" s="7"/>
      <c r="S20" s="7"/>
      <c r="T20" s="7"/>
      <c r="U20" s="7"/>
      <c r="W20" s="7"/>
      <c r="Z20" s="22"/>
      <c r="AA20" s="22"/>
    </row>
    <row r="21" spans="1:37" hidden="1" outlineLevel="1">
      <c r="A21" s="31" t="s">
        <v>32</v>
      </c>
      <c r="B21" s="32" t="s">
        <v>32</v>
      </c>
      <c r="C21" s="5">
        <v>0</v>
      </c>
      <c r="D21" s="6">
        <f t="shared" ca="1" si="1"/>
        <v>0</v>
      </c>
      <c r="E21" s="7"/>
      <c r="F21" s="7"/>
      <c r="G21" s="7"/>
      <c r="H21" s="7"/>
      <c r="I21" s="7"/>
      <c r="J21" s="7"/>
      <c r="K21" s="6">
        <f t="shared" ca="1" si="2"/>
        <v>0</v>
      </c>
      <c r="L21" s="7">
        <f t="shared" ca="1" si="3"/>
        <v>0</v>
      </c>
      <c r="N21" s="7"/>
      <c r="O21" s="7"/>
      <c r="P21" s="7"/>
      <c r="Q21" s="7"/>
      <c r="R21" s="7"/>
      <c r="S21" s="7"/>
      <c r="T21" s="7"/>
      <c r="U21" s="7"/>
      <c r="W21" s="7"/>
      <c r="Z21" s="22"/>
      <c r="AA21" s="22"/>
    </row>
    <row r="22" spans="1:37" hidden="1" outlineLevel="1">
      <c r="A22" s="31" t="s">
        <v>32</v>
      </c>
      <c r="B22" s="32" t="s">
        <v>32</v>
      </c>
      <c r="C22" s="5">
        <v>0</v>
      </c>
      <c r="D22" s="6">
        <f t="shared" ca="1" si="1"/>
        <v>0</v>
      </c>
      <c r="E22" s="7"/>
      <c r="F22" s="7"/>
      <c r="G22" s="7"/>
      <c r="H22" s="7"/>
      <c r="I22" s="7"/>
      <c r="J22" s="7"/>
      <c r="K22" s="6">
        <f t="shared" ca="1" si="2"/>
        <v>0</v>
      </c>
      <c r="L22" s="7">
        <f t="shared" ca="1" si="3"/>
        <v>0</v>
      </c>
      <c r="N22" s="7"/>
      <c r="O22" s="7"/>
      <c r="P22" s="7"/>
      <c r="Q22" s="7"/>
      <c r="R22" s="7"/>
      <c r="S22" s="7"/>
      <c r="T22" s="7"/>
      <c r="U22" s="7"/>
      <c r="W22" s="7"/>
      <c r="Z22" s="22"/>
      <c r="AA22" s="22"/>
    </row>
    <row r="23" spans="1:37" ht="13.5" hidden="1" customHeight="1" outlineLevel="1">
      <c r="A23" s="31" t="s">
        <v>32</v>
      </c>
      <c r="B23" s="32" t="s">
        <v>32</v>
      </c>
      <c r="C23" s="5">
        <v>0</v>
      </c>
      <c r="D23" s="6">
        <f t="shared" ca="1" si="1"/>
        <v>0</v>
      </c>
      <c r="E23" s="7"/>
      <c r="F23" s="7"/>
      <c r="G23" s="7"/>
      <c r="H23" s="7"/>
      <c r="I23" s="7"/>
      <c r="J23" s="7"/>
      <c r="K23" s="6">
        <f t="shared" ca="1" si="2"/>
        <v>0</v>
      </c>
      <c r="L23" s="7">
        <f t="shared" ca="1" si="3"/>
        <v>0</v>
      </c>
      <c r="N23" s="7"/>
      <c r="O23" s="7"/>
      <c r="P23" s="7"/>
      <c r="Q23" s="7"/>
      <c r="R23" s="7"/>
      <c r="S23" s="7"/>
      <c r="T23" s="7"/>
      <c r="U23" s="7"/>
      <c r="W23" s="7"/>
      <c r="Z23" s="22"/>
      <c r="AA23" s="22"/>
    </row>
    <row r="24" spans="1:37" hidden="1" outlineLevel="1">
      <c r="A24" s="31" t="s">
        <v>32</v>
      </c>
      <c r="B24" s="32" t="s">
        <v>32</v>
      </c>
      <c r="C24" s="5">
        <v>0</v>
      </c>
      <c r="D24" s="6">
        <f t="shared" ca="1" si="1"/>
        <v>0</v>
      </c>
      <c r="E24" s="7"/>
      <c r="F24" s="7"/>
      <c r="G24" s="7"/>
      <c r="H24" s="7"/>
      <c r="I24" s="7"/>
      <c r="J24" s="7"/>
      <c r="K24" s="6">
        <f t="shared" ca="1" si="2"/>
        <v>0</v>
      </c>
      <c r="L24" s="7">
        <f t="shared" ca="1" si="3"/>
        <v>0</v>
      </c>
      <c r="N24" s="7"/>
      <c r="O24" s="7"/>
      <c r="P24" s="7"/>
      <c r="Q24" s="7"/>
      <c r="R24" s="7"/>
      <c r="S24" s="7"/>
      <c r="T24" s="7"/>
      <c r="U24" s="7"/>
      <c r="W24" s="7"/>
      <c r="Z24" s="22"/>
      <c r="AA24" s="22"/>
    </row>
    <row r="25" spans="1:37" hidden="1" outlineLevel="1">
      <c r="A25" s="31" t="s">
        <v>32</v>
      </c>
      <c r="B25" s="32" t="s">
        <v>32</v>
      </c>
      <c r="C25" s="5">
        <v>0</v>
      </c>
      <c r="D25" s="6">
        <f t="shared" ca="1" si="1"/>
        <v>0</v>
      </c>
      <c r="E25" s="7"/>
      <c r="F25" s="7"/>
      <c r="G25" s="7"/>
      <c r="H25" s="7"/>
      <c r="I25" s="7"/>
      <c r="J25" s="7"/>
      <c r="K25" s="6">
        <f t="shared" ca="1" si="2"/>
        <v>0</v>
      </c>
      <c r="L25" s="7">
        <f t="shared" ca="1" si="3"/>
        <v>0</v>
      </c>
      <c r="N25" s="7"/>
      <c r="O25" s="7"/>
      <c r="P25" s="7"/>
      <c r="Q25" s="7"/>
      <c r="R25" s="7"/>
      <c r="S25" s="7"/>
      <c r="T25" s="7"/>
      <c r="U25" s="7"/>
      <c r="W25" s="7"/>
      <c r="Z25" s="22"/>
      <c r="AA25" s="22"/>
    </row>
    <row r="26" spans="1:37" s="8" customFormat="1" outlineLevel="1">
      <c r="A26" s="23"/>
      <c r="B26" s="8" t="s">
        <v>22</v>
      </c>
      <c r="C26" s="8">
        <f t="shared" ref="C26:L26" ca="1" si="4">SUM(C14:C25)</f>
        <v>6737083</v>
      </c>
      <c r="D26" s="8">
        <f t="shared" ca="1" si="4"/>
        <v>6737083</v>
      </c>
      <c r="E26" s="8">
        <f t="shared" ca="1" si="4"/>
        <v>6737083</v>
      </c>
      <c r="F26" s="8">
        <f t="shared" ca="1" si="4"/>
        <v>0</v>
      </c>
      <c r="G26" s="8">
        <f t="shared" ca="1" si="4"/>
        <v>0</v>
      </c>
      <c r="H26" s="8">
        <f t="shared" ca="1" si="4"/>
        <v>0</v>
      </c>
      <c r="I26" s="8">
        <f t="shared" ca="1" si="4"/>
        <v>0</v>
      </c>
      <c r="J26" s="8">
        <f t="shared" ca="1" si="4"/>
        <v>0</v>
      </c>
      <c r="K26" s="8">
        <f t="shared" ca="1" si="4"/>
        <v>0</v>
      </c>
      <c r="L26" s="8">
        <f t="shared" ca="1" si="4"/>
        <v>6737083</v>
      </c>
      <c r="M26" s="4"/>
      <c r="V26" s="4"/>
      <c r="Z26" s="22"/>
      <c r="AA26" s="22"/>
    </row>
    <row r="27" spans="1:37" outlineLevel="1">
      <c r="A27" s="23"/>
      <c r="Z27" s="22"/>
      <c r="AA27" s="22"/>
    </row>
    <row r="28" spans="1:37" outlineLevel="1">
      <c r="A28" s="23"/>
      <c r="B28" s="1" t="s">
        <v>33</v>
      </c>
      <c r="Z28" s="22"/>
      <c r="AA28" s="22"/>
    </row>
    <row r="29" spans="1:37" outlineLevel="1">
      <c r="A29" s="30"/>
      <c r="B29" s="6" t="s">
        <v>34</v>
      </c>
      <c r="C29" s="5">
        <v>8639305.5321666487</v>
      </c>
      <c r="D29" s="6">
        <f t="shared" ref="D29:D45" ca="1" si="5">E29+F29</f>
        <v>8639305.5321666487</v>
      </c>
      <c r="E29" s="6">
        <f ca="1">AG38</f>
        <v>8639305.5321666487</v>
      </c>
      <c r="F29" s="6"/>
      <c r="G29" s="7"/>
      <c r="H29" s="7"/>
      <c r="I29" s="7"/>
      <c r="J29" s="7"/>
      <c r="K29" s="6">
        <f t="shared" ref="K29:K37" ca="1" si="6">+I29+J29</f>
        <v>0</v>
      </c>
      <c r="L29" s="7">
        <f t="shared" ref="L29:L37" ca="1" si="7">D29+G29+H29+K29</f>
        <v>8639305.5321666487</v>
      </c>
      <c r="N29" s="6" t="s">
        <v>35</v>
      </c>
      <c r="O29" s="6" t="s">
        <v>36</v>
      </c>
      <c r="P29" s="6"/>
      <c r="Q29" s="6" t="s">
        <v>37</v>
      </c>
      <c r="R29" s="6"/>
      <c r="S29" s="7"/>
      <c r="T29" s="7"/>
      <c r="U29" s="7"/>
      <c r="W29" s="7"/>
      <c r="Z29" s="22"/>
      <c r="AA29" s="22"/>
      <c r="AF29" s="4" t="s">
        <v>38</v>
      </c>
      <c r="AG29" s="33">
        <v>0.2</v>
      </c>
    </row>
    <row r="30" spans="1:37" outlineLevel="1">
      <c r="A30" s="30">
        <v>350</v>
      </c>
      <c r="B30" s="6" t="s">
        <v>24</v>
      </c>
      <c r="C30" s="5">
        <v>832588.08333332802</v>
      </c>
      <c r="D30" s="6">
        <f t="shared" ca="1" si="5"/>
        <v>832588.08333332802</v>
      </c>
      <c r="E30" s="6">
        <f ca="1">AH30</f>
        <v>832588.08333332802</v>
      </c>
      <c r="F30" s="6"/>
      <c r="G30" s="7"/>
      <c r="H30" s="7"/>
      <c r="I30" s="7"/>
      <c r="J30" s="7"/>
      <c r="K30" s="6">
        <f t="shared" ca="1" si="6"/>
        <v>0</v>
      </c>
      <c r="L30" s="7">
        <f t="shared" ca="1" si="7"/>
        <v>832588.08333332802</v>
      </c>
      <c r="N30" s="6" t="s">
        <v>35</v>
      </c>
      <c r="O30" s="6" t="s">
        <v>29</v>
      </c>
      <c r="P30" s="6" t="s">
        <v>39</v>
      </c>
      <c r="Q30" s="6"/>
      <c r="R30" s="6"/>
      <c r="S30" s="7"/>
      <c r="T30" s="7"/>
      <c r="U30" s="7"/>
      <c r="W30" s="7"/>
      <c r="Z30" s="22"/>
      <c r="AA30" s="22"/>
      <c r="AF30" s="6">
        <v>1040735.10416666</v>
      </c>
      <c r="AG30" s="34">
        <f t="shared" ref="AG30:AG37" ca="1" si="8">AF30*JP_Bal</f>
        <v>208147.020833332</v>
      </c>
      <c r="AH30" s="35">
        <f ca="1">AF30-AG30</f>
        <v>832588.08333332802</v>
      </c>
    </row>
    <row r="31" spans="1:37" outlineLevel="1">
      <c r="A31" s="30">
        <v>351</v>
      </c>
      <c r="B31" s="6" t="s">
        <v>26</v>
      </c>
      <c r="C31" s="5">
        <v>663831.32866666641</v>
      </c>
      <c r="D31" s="6">
        <f t="shared" ca="1" si="5"/>
        <v>663831.32866666641</v>
      </c>
      <c r="E31" s="6">
        <f t="shared" ref="E31:E37" ca="1" si="9">AH31</f>
        <v>663831.32866666641</v>
      </c>
      <c r="F31" s="6"/>
      <c r="G31" s="7"/>
      <c r="H31" s="7"/>
      <c r="I31" s="7"/>
      <c r="J31" s="7"/>
      <c r="K31" s="6">
        <f t="shared" ca="1" si="6"/>
        <v>0</v>
      </c>
      <c r="L31" s="7">
        <f t="shared" ca="1" si="7"/>
        <v>663831.32866666641</v>
      </c>
      <c r="N31" s="6" t="s">
        <v>35</v>
      </c>
      <c r="O31" s="6" t="s">
        <v>29</v>
      </c>
      <c r="P31" s="6" t="s">
        <v>39</v>
      </c>
      <c r="Q31" s="6"/>
      <c r="R31" s="6"/>
      <c r="S31" s="7"/>
      <c r="T31" s="7"/>
      <c r="U31" s="7"/>
      <c r="W31" s="7"/>
      <c r="Z31" s="22"/>
      <c r="AA31" s="22"/>
      <c r="AE31" s="14"/>
      <c r="AF31" s="6">
        <v>829789.16083333304</v>
      </c>
      <c r="AG31" s="34">
        <f t="shared" ca="1" si="8"/>
        <v>165957.83216666663</v>
      </c>
      <c r="AH31" s="35">
        <f t="shared" ref="AH31:AH37" ca="1" si="10">AF31-AG31</f>
        <v>663831.32866666641</v>
      </c>
      <c r="AI31" s="14"/>
      <c r="AJ31" s="14"/>
      <c r="AK31" s="14"/>
    </row>
    <row r="32" spans="1:37" outlineLevel="1">
      <c r="A32" s="36">
        <v>352</v>
      </c>
      <c r="B32" s="6" t="s">
        <v>40</v>
      </c>
      <c r="C32" s="5">
        <v>13787358.397333279</v>
      </c>
      <c r="D32" s="6">
        <f t="shared" ca="1" si="5"/>
        <v>13787358.397333279</v>
      </c>
      <c r="E32" s="6">
        <f t="shared" ca="1" si="9"/>
        <v>13787358.397333279</v>
      </c>
      <c r="F32" s="6"/>
      <c r="G32" s="7"/>
      <c r="H32" s="7"/>
      <c r="I32" s="7"/>
      <c r="J32" s="7"/>
      <c r="K32" s="6">
        <f t="shared" ca="1" si="6"/>
        <v>0</v>
      </c>
      <c r="L32" s="7">
        <f t="shared" ca="1" si="7"/>
        <v>13787358.397333279</v>
      </c>
      <c r="N32" s="6" t="s">
        <v>35</v>
      </c>
      <c r="O32" s="6" t="s">
        <v>29</v>
      </c>
      <c r="P32" s="6" t="s">
        <v>39</v>
      </c>
      <c r="Q32" s="6"/>
      <c r="R32" s="6"/>
      <c r="S32" s="7"/>
      <c r="T32" s="7"/>
      <c r="U32" s="7"/>
      <c r="W32" s="7"/>
      <c r="Z32" s="22"/>
      <c r="AA32" s="22"/>
      <c r="AF32" s="6">
        <v>17234197.996666599</v>
      </c>
      <c r="AG32" s="34">
        <f t="shared" ca="1" si="8"/>
        <v>3446839.5993333198</v>
      </c>
      <c r="AH32" s="35">
        <f t="shared" ca="1" si="10"/>
        <v>13787358.397333279</v>
      </c>
    </row>
    <row r="33" spans="1:34" outlineLevel="1">
      <c r="A33" s="30">
        <v>353</v>
      </c>
      <c r="B33" s="6" t="s">
        <v>41</v>
      </c>
      <c r="C33" s="5">
        <v>2081879.443999992</v>
      </c>
      <c r="D33" s="6">
        <f t="shared" ca="1" si="5"/>
        <v>2081879.443999992</v>
      </c>
      <c r="E33" s="6">
        <f t="shared" ca="1" si="9"/>
        <v>2081879.443999992</v>
      </c>
      <c r="F33" s="6"/>
      <c r="G33" s="7"/>
      <c r="H33" s="7"/>
      <c r="I33" s="7"/>
      <c r="J33" s="7"/>
      <c r="K33" s="6">
        <f t="shared" ca="1" si="6"/>
        <v>0</v>
      </c>
      <c r="L33" s="7">
        <f t="shared" ca="1" si="7"/>
        <v>2081879.443999992</v>
      </c>
      <c r="N33" s="6" t="s">
        <v>35</v>
      </c>
      <c r="O33" s="6" t="s">
        <v>29</v>
      </c>
      <c r="P33" s="6" t="s">
        <v>39</v>
      </c>
      <c r="Q33" s="6"/>
      <c r="R33" s="6"/>
      <c r="S33" s="7"/>
      <c r="T33" s="7"/>
      <c r="U33" s="7"/>
      <c r="W33" s="7"/>
      <c r="Z33" s="22"/>
      <c r="AA33" s="22"/>
      <c r="AF33" s="6">
        <v>2602349.3049999899</v>
      </c>
      <c r="AG33" s="34">
        <f t="shared" ca="1" si="8"/>
        <v>520469.860999998</v>
      </c>
      <c r="AH33" s="35">
        <f t="shared" ca="1" si="10"/>
        <v>2081879.443999992</v>
      </c>
    </row>
    <row r="34" spans="1:34" outlineLevel="1">
      <c r="A34" s="30">
        <v>354</v>
      </c>
      <c r="B34" s="6" t="s">
        <v>42</v>
      </c>
      <c r="C34" s="5">
        <v>14355129.263999999</v>
      </c>
      <c r="D34" s="6">
        <f t="shared" ca="1" si="5"/>
        <v>14355129.263999999</v>
      </c>
      <c r="E34" s="6">
        <f t="shared" ca="1" si="9"/>
        <v>14355129.263999999</v>
      </c>
      <c r="F34" s="6"/>
      <c r="G34" s="7"/>
      <c r="H34" s="7"/>
      <c r="I34" s="7"/>
      <c r="J34" s="7"/>
      <c r="K34" s="6">
        <f t="shared" ca="1" si="6"/>
        <v>0</v>
      </c>
      <c r="L34" s="7">
        <f t="shared" ca="1" si="7"/>
        <v>14355129.263999999</v>
      </c>
      <c r="N34" s="6" t="s">
        <v>35</v>
      </c>
      <c r="O34" s="6" t="s">
        <v>29</v>
      </c>
      <c r="P34" s="6" t="s">
        <v>39</v>
      </c>
      <c r="Q34" s="6"/>
      <c r="R34" s="6"/>
      <c r="S34" s="7"/>
      <c r="T34" s="7"/>
      <c r="U34" s="7"/>
      <c r="W34" s="7"/>
      <c r="Z34" s="22"/>
      <c r="AA34" s="22"/>
      <c r="AF34" s="6">
        <v>17943911.579999998</v>
      </c>
      <c r="AG34" s="34">
        <f t="shared" ca="1" si="8"/>
        <v>3588782.3159999996</v>
      </c>
      <c r="AH34" s="35">
        <f t="shared" ca="1" si="10"/>
        <v>14355129.263999999</v>
      </c>
    </row>
    <row r="35" spans="1:34" outlineLevel="1">
      <c r="A35" s="30">
        <v>355</v>
      </c>
      <c r="B35" s="6" t="s">
        <v>43</v>
      </c>
      <c r="C35" s="5">
        <v>424591.40799999918</v>
      </c>
      <c r="D35" s="6">
        <f t="shared" ca="1" si="5"/>
        <v>424591.40799999918</v>
      </c>
      <c r="E35" s="6">
        <f t="shared" ca="1" si="9"/>
        <v>424591.40799999918</v>
      </c>
      <c r="F35" s="6"/>
      <c r="G35" s="7"/>
      <c r="H35" s="7"/>
      <c r="I35" s="7"/>
      <c r="J35" s="7"/>
      <c r="K35" s="6">
        <f t="shared" ca="1" si="6"/>
        <v>0</v>
      </c>
      <c r="L35" s="7">
        <f t="shared" ca="1" si="7"/>
        <v>424591.40799999918</v>
      </c>
      <c r="N35" s="6" t="s">
        <v>35</v>
      </c>
      <c r="O35" s="6" t="s">
        <v>29</v>
      </c>
      <c r="P35" s="6" t="s">
        <v>39</v>
      </c>
      <c r="Q35" s="6"/>
      <c r="R35" s="6"/>
      <c r="S35" s="7"/>
      <c r="T35" s="7"/>
      <c r="U35" s="7"/>
      <c r="W35" s="7"/>
      <c r="Z35" s="22"/>
      <c r="AA35" s="22"/>
      <c r="AF35" s="6">
        <v>530739.25999999896</v>
      </c>
      <c r="AG35" s="34">
        <f t="shared" ca="1" si="8"/>
        <v>106147.8519999998</v>
      </c>
      <c r="AH35" s="35">
        <f t="shared" ca="1" si="10"/>
        <v>424591.40799999918</v>
      </c>
    </row>
    <row r="36" spans="1:34" outlineLevel="1">
      <c r="A36" s="30">
        <v>356</v>
      </c>
      <c r="B36" s="6" t="s">
        <v>44</v>
      </c>
      <c r="C36" s="5">
        <v>2130117.4160000002</v>
      </c>
      <c r="D36" s="6">
        <f t="shared" ca="1" si="5"/>
        <v>2130117.4160000002</v>
      </c>
      <c r="E36" s="6">
        <f t="shared" ca="1" si="9"/>
        <v>2130117.4160000002</v>
      </c>
      <c r="F36" s="6"/>
      <c r="G36" s="7"/>
      <c r="H36" s="7"/>
      <c r="I36" s="7"/>
      <c r="J36" s="7"/>
      <c r="K36" s="6">
        <f t="shared" ca="1" si="6"/>
        <v>0</v>
      </c>
      <c r="L36" s="7">
        <f t="shared" ca="1" si="7"/>
        <v>2130117.4160000002</v>
      </c>
      <c r="N36" s="6" t="s">
        <v>35</v>
      </c>
      <c r="O36" s="6" t="s">
        <v>29</v>
      </c>
      <c r="P36" s="6" t="s">
        <v>39</v>
      </c>
      <c r="Q36" s="6"/>
      <c r="R36" s="6"/>
      <c r="S36" s="7"/>
      <c r="T36" s="7"/>
      <c r="U36" s="7"/>
      <c r="W36" s="7"/>
      <c r="Z36" s="22"/>
      <c r="AA36" s="22"/>
      <c r="AF36" s="6">
        <v>2662646.77</v>
      </c>
      <c r="AG36" s="34">
        <f t="shared" ca="1" si="8"/>
        <v>532529.35400000005</v>
      </c>
      <c r="AH36" s="35">
        <f t="shared" ca="1" si="10"/>
        <v>2130117.4160000002</v>
      </c>
    </row>
    <row r="37" spans="1:34" outlineLevel="1">
      <c r="A37" s="30">
        <v>357</v>
      </c>
      <c r="B37" s="6" t="s">
        <v>31</v>
      </c>
      <c r="C37" s="5">
        <v>281726.78733333282</v>
      </c>
      <c r="D37" s="6">
        <f t="shared" ca="1" si="5"/>
        <v>281726.78733333282</v>
      </c>
      <c r="E37" s="6">
        <f t="shared" ca="1" si="9"/>
        <v>281726.78733333282</v>
      </c>
      <c r="F37" s="6"/>
      <c r="G37" s="7"/>
      <c r="H37" s="7"/>
      <c r="I37" s="7"/>
      <c r="J37" s="7"/>
      <c r="K37" s="6">
        <f t="shared" ca="1" si="6"/>
        <v>0</v>
      </c>
      <c r="L37" s="7">
        <f t="shared" ca="1" si="7"/>
        <v>281726.78733333282</v>
      </c>
      <c r="N37" s="6" t="s">
        <v>35</v>
      </c>
      <c r="O37" s="6" t="s">
        <v>29</v>
      </c>
      <c r="P37" s="6" t="s">
        <v>39</v>
      </c>
      <c r="Q37" s="6"/>
      <c r="R37" s="6"/>
      <c r="S37" s="7"/>
      <c r="T37" s="7"/>
      <c r="U37" s="7"/>
      <c r="W37" s="7"/>
      <c r="Z37" s="22"/>
      <c r="AA37" s="22"/>
      <c r="AF37" s="6">
        <v>352158.48416666599</v>
      </c>
      <c r="AG37" s="34">
        <f t="shared" ca="1" si="8"/>
        <v>70431.696833333204</v>
      </c>
      <c r="AH37" s="35">
        <f t="shared" ca="1" si="10"/>
        <v>281726.78733333282</v>
      </c>
    </row>
    <row r="38" spans="1:34" s="8" customFormat="1" outlineLevel="1">
      <c r="A38" s="23"/>
      <c r="B38" s="8" t="s">
        <v>22</v>
      </c>
      <c r="C38" s="8">
        <f t="shared" ref="C38:L38" ca="1" si="11">SUM(C29:C37)</f>
        <v>43196527.660833247</v>
      </c>
      <c r="D38" s="8">
        <f t="shared" ca="1" si="11"/>
        <v>43196527.660833247</v>
      </c>
      <c r="E38" s="8">
        <f t="shared" ca="1" si="11"/>
        <v>43196527.660833247</v>
      </c>
      <c r="F38" s="8">
        <f t="shared" ca="1" si="11"/>
        <v>0</v>
      </c>
      <c r="G38" s="8">
        <f t="shared" ca="1" si="11"/>
        <v>0</v>
      </c>
      <c r="H38" s="8">
        <f t="shared" ca="1" si="11"/>
        <v>0</v>
      </c>
      <c r="I38" s="8">
        <f t="shared" ca="1" si="11"/>
        <v>0</v>
      </c>
      <c r="J38" s="8">
        <f t="shared" ca="1" si="11"/>
        <v>0</v>
      </c>
      <c r="K38" s="8">
        <f t="shared" ca="1" si="11"/>
        <v>0</v>
      </c>
      <c r="L38" s="8">
        <f t="shared" ca="1" si="11"/>
        <v>43196527.660833247</v>
      </c>
      <c r="M38" s="4"/>
      <c r="V38" s="4"/>
      <c r="Z38" s="22"/>
      <c r="AA38" s="22"/>
      <c r="AF38" s="8">
        <f ca="1">SUM(AF30:AF37)</f>
        <v>43196527.660833247</v>
      </c>
      <c r="AG38" s="8">
        <f ca="1">SUM(AG30:AG37)</f>
        <v>8639305.5321666487</v>
      </c>
      <c r="AH38" s="8">
        <f ca="1">SUM(AH30:AH37)</f>
        <v>34557222.128666595</v>
      </c>
    </row>
    <row r="39" spans="1:34" outlineLevel="1">
      <c r="A39" s="23"/>
      <c r="E39" s="35"/>
      <c r="Z39" s="22"/>
      <c r="AA39" s="22"/>
      <c r="AG39" s="37">
        <f ca="1">AG38/AF38</f>
        <v>0.19999999999999998</v>
      </c>
      <c r="AH39" s="37">
        <f ca="1">AH38/AF38</f>
        <v>0.79999999999999993</v>
      </c>
    </row>
    <row r="40" spans="1:34" outlineLevel="1">
      <c r="A40" s="23"/>
      <c r="B40" s="1" t="s">
        <v>45</v>
      </c>
      <c r="Z40" s="22"/>
      <c r="AA40" s="22"/>
    </row>
    <row r="41" spans="1:34" outlineLevel="1">
      <c r="A41" s="30">
        <v>360</v>
      </c>
      <c r="B41" s="6" t="s">
        <v>46</v>
      </c>
      <c r="C41" s="5">
        <v>1704569.3799999901</v>
      </c>
      <c r="D41" s="6">
        <f t="shared" ca="1" si="5"/>
        <v>1704569.3799999901</v>
      </c>
      <c r="E41" s="6">
        <v>1704569.3799999901</v>
      </c>
      <c r="F41" s="6"/>
      <c r="G41" s="7"/>
      <c r="H41" s="7"/>
      <c r="I41" s="7"/>
      <c r="J41" s="7"/>
      <c r="K41" s="6">
        <f t="shared" ref="K41:K46" ca="1" si="12">+I41+J41</f>
        <v>0</v>
      </c>
      <c r="L41" s="7">
        <f t="shared" ref="L41:L46" ca="1" si="13">D41+G41+H41+K41</f>
        <v>1704569.3799999901</v>
      </c>
      <c r="N41" s="6" t="s">
        <v>35</v>
      </c>
      <c r="O41" s="6" t="s">
        <v>29</v>
      </c>
      <c r="P41" s="6" t="s">
        <v>39</v>
      </c>
      <c r="Q41" s="6"/>
      <c r="R41" s="6"/>
      <c r="S41" s="7"/>
      <c r="T41" s="7"/>
      <c r="U41" s="7"/>
      <c r="W41" s="7"/>
      <c r="Z41" s="22"/>
      <c r="AA41" s="22"/>
    </row>
    <row r="42" spans="1:34" outlineLevel="1">
      <c r="A42" s="30">
        <v>361</v>
      </c>
      <c r="B42" s="6" t="s">
        <v>47</v>
      </c>
      <c r="C42" s="5">
        <v>4155602.1199999899</v>
      </c>
      <c r="D42" s="6">
        <f t="shared" ca="1" si="5"/>
        <v>4155602.1199999899</v>
      </c>
      <c r="E42" s="6">
        <v>4155602.1199999899</v>
      </c>
      <c r="F42" s="6"/>
      <c r="G42" s="7"/>
      <c r="H42" s="7"/>
      <c r="I42" s="7"/>
      <c r="J42" s="7"/>
      <c r="K42" s="6">
        <f t="shared" ca="1" si="12"/>
        <v>0</v>
      </c>
      <c r="L42" s="7">
        <f t="shared" ca="1" si="13"/>
        <v>4155602.1199999899</v>
      </c>
      <c r="N42" s="6" t="s">
        <v>35</v>
      </c>
      <c r="O42" s="6" t="s">
        <v>29</v>
      </c>
      <c r="P42" s="6" t="s">
        <v>39</v>
      </c>
      <c r="Q42" s="6"/>
      <c r="R42" s="6"/>
      <c r="S42" s="7"/>
      <c r="T42" s="7"/>
      <c r="U42" s="7"/>
      <c r="W42" s="7"/>
      <c r="Z42" s="22"/>
      <c r="AA42" s="22"/>
    </row>
    <row r="43" spans="1:34" outlineLevel="1">
      <c r="A43" s="30">
        <v>362</v>
      </c>
      <c r="B43" s="6" t="s">
        <v>48</v>
      </c>
      <c r="C43" s="5">
        <v>3683221.39</v>
      </c>
      <c r="D43" s="6">
        <f t="shared" ca="1" si="5"/>
        <v>3683221.39</v>
      </c>
      <c r="E43" s="6">
        <v>3683221.39</v>
      </c>
      <c r="F43" s="6"/>
      <c r="G43" s="7"/>
      <c r="H43" s="7"/>
      <c r="I43" s="7"/>
      <c r="J43" s="7"/>
      <c r="K43" s="6">
        <f t="shared" ca="1" si="12"/>
        <v>0</v>
      </c>
      <c r="L43" s="7">
        <f t="shared" ca="1" si="13"/>
        <v>3683221.39</v>
      </c>
      <c r="N43" s="6" t="s">
        <v>35</v>
      </c>
      <c r="O43" s="6" t="s">
        <v>29</v>
      </c>
      <c r="P43" s="6" t="s">
        <v>39</v>
      </c>
      <c r="Q43" s="6"/>
      <c r="R43" s="6"/>
      <c r="S43" s="7"/>
      <c r="T43" s="7"/>
      <c r="U43" s="7"/>
      <c r="W43" s="7"/>
      <c r="Z43" s="22"/>
      <c r="AA43" s="22"/>
    </row>
    <row r="44" spans="1:34" outlineLevel="1">
      <c r="A44" s="30">
        <v>363</v>
      </c>
      <c r="B44" s="6" t="s">
        <v>44</v>
      </c>
      <c r="C44" s="5">
        <v>3984038.93</v>
      </c>
      <c r="D44" s="6">
        <f t="shared" ca="1" si="5"/>
        <v>3984038.93</v>
      </c>
      <c r="E44" s="6">
        <v>3984038.93</v>
      </c>
      <c r="F44" s="6"/>
      <c r="G44" s="7"/>
      <c r="H44" s="7"/>
      <c r="I44" s="7"/>
      <c r="J44" s="7"/>
      <c r="K44" s="6">
        <f t="shared" ca="1" si="12"/>
        <v>0</v>
      </c>
      <c r="L44" s="7">
        <f t="shared" ca="1" si="13"/>
        <v>3984038.93</v>
      </c>
      <c r="N44" s="6" t="s">
        <v>35</v>
      </c>
      <c r="O44" s="6" t="s">
        <v>29</v>
      </c>
      <c r="P44" s="6" t="s">
        <v>39</v>
      </c>
      <c r="Q44" s="6"/>
      <c r="R44" s="6"/>
      <c r="S44" s="7"/>
      <c r="T44" s="7"/>
      <c r="U44" s="7"/>
      <c r="W44" s="7"/>
      <c r="Z44" s="22"/>
      <c r="AA44" s="22"/>
    </row>
    <row r="45" spans="1:34" outlineLevel="1">
      <c r="A45" s="30">
        <v>364</v>
      </c>
      <c r="B45" s="6" t="s">
        <v>49</v>
      </c>
      <c r="C45" s="5">
        <v>970580.63</v>
      </c>
      <c r="D45" s="6">
        <f t="shared" ca="1" si="5"/>
        <v>970580.63</v>
      </c>
      <c r="E45" s="6">
        <v>970580.63</v>
      </c>
      <c r="F45" s="6"/>
      <c r="G45" s="7"/>
      <c r="H45" s="7"/>
      <c r="I45" s="7"/>
      <c r="J45" s="7"/>
      <c r="K45" s="6">
        <f t="shared" ca="1" si="12"/>
        <v>0</v>
      </c>
      <c r="L45" s="7">
        <f t="shared" ca="1" si="13"/>
        <v>970580.63</v>
      </c>
      <c r="N45" s="6" t="s">
        <v>35</v>
      </c>
      <c r="O45" s="6" t="s">
        <v>29</v>
      </c>
      <c r="P45" s="6" t="s">
        <v>39</v>
      </c>
      <c r="Q45" s="6"/>
      <c r="R45" s="6"/>
      <c r="S45" s="7"/>
      <c r="T45" s="7"/>
      <c r="U45" s="7"/>
      <c r="W45" s="7"/>
      <c r="Z45" s="22"/>
      <c r="AA45" s="22"/>
    </row>
    <row r="46" spans="1:34" hidden="1" outlineLevel="1">
      <c r="A46" s="31" t="s">
        <v>32</v>
      </c>
      <c r="B46" s="32" t="s">
        <v>32</v>
      </c>
      <c r="C46" s="5">
        <v>0</v>
      </c>
      <c r="D46" s="6">
        <f ca="1">E46+F46</f>
        <v>0</v>
      </c>
      <c r="E46" s="6"/>
      <c r="F46" s="6"/>
      <c r="G46" s="7"/>
      <c r="H46" s="7"/>
      <c r="I46" s="7"/>
      <c r="J46" s="7"/>
      <c r="K46" s="6">
        <f t="shared" ca="1" si="12"/>
        <v>0</v>
      </c>
      <c r="L46" s="7">
        <f t="shared" ca="1" si="13"/>
        <v>0</v>
      </c>
      <c r="N46" s="7"/>
      <c r="O46" s="7"/>
      <c r="P46" s="7"/>
      <c r="Q46" s="7"/>
      <c r="R46" s="7"/>
      <c r="S46" s="7"/>
      <c r="T46" s="7"/>
      <c r="U46" s="7"/>
      <c r="W46" s="7"/>
      <c r="Z46" s="22"/>
      <c r="AA46" s="22"/>
    </row>
    <row r="47" spans="1:34" s="8" customFormat="1" outlineLevel="1">
      <c r="A47" s="23"/>
      <c r="B47" s="8" t="s">
        <v>22</v>
      </c>
      <c r="C47" s="8">
        <f ca="1">SUM(C41:C46)</f>
        <v>14498012.449999981</v>
      </c>
      <c r="D47" s="8">
        <f t="shared" ref="D47:L47" ca="1" si="14">SUM(D41:D46)</f>
        <v>14498012.449999981</v>
      </c>
      <c r="E47" s="8">
        <f t="shared" ca="1" si="14"/>
        <v>14498012.449999981</v>
      </c>
      <c r="F47" s="8">
        <f t="shared" ca="1" si="14"/>
        <v>0</v>
      </c>
      <c r="G47" s="8">
        <f t="shared" ca="1" si="14"/>
        <v>0</v>
      </c>
      <c r="H47" s="8">
        <f t="shared" ca="1" si="14"/>
        <v>0</v>
      </c>
      <c r="I47" s="8">
        <f t="shared" ca="1" si="14"/>
        <v>0</v>
      </c>
      <c r="J47" s="8">
        <f t="shared" ca="1" si="14"/>
        <v>0</v>
      </c>
      <c r="K47" s="8">
        <f t="shared" ca="1" si="14"/>
        <v>0</v>
      </c>
      <c r="L47" s="8">
        <f t="shared" ca="1" si="14"/>
        <v>14498012.449999981</v>
      </c>
      <c r="M47" s="4"/>
      <c r="V47" s="4"/>
      <c r="Z47" s="22"/>
      <c r="AA47" s="22"/>
    </row>
    <row r="48" spans="1:34" outlineLevel="1">
      <c r="A48" s="23"/>
      <c r="Z48" s="22"/>
      <c r="AA48" s="22"/>
    </row>
    <row r="49" spans="1:27" hidden="1" outlineLevel="1">
      <c r="A49" s="23"/>
      <c r="B49" s="1" t="s">
        <v>50</v>
      </c>
      <c r="Z49" s="22"/>
      <c r="AA49" s="22"/>
    </row>
    <row r="50" spans="1:27" hidden="1" outlineLevel="1">
      <c r="A50" s="30">
        <v>365</v>
      </c>
      <c r="B50" s="6" t="s">
        <v>24</v>
      </c>
      <c r="C50" s="5">
        <v>0</v>
      </c>
      <c r="D50" s="6">
        <f t="shared" ref="D50:D57" ca="1" si="15">E50+F50</f>
        <v>0</v>
      </c>
      <c r="E50" s="6">
        <v>0</v>
      </c>
      <c r="F50" s="6"/>
      <c r="G50" s="7"/>
      <c r="H50" s="7"/>
      <c r="I50" s="7"/>
      <c r="J50" s="7"/>
      <c r="K50" s="6">
        <f t="shared" ref="K50:K57" ca="1" si="16">+I50+J50</f>
        <v>0</v>
      </c>
      <c r="L50" s="7">
        <f t="shared" ref="L50:L57" ca="1" si="17">D50+G50+H50+K50</f>
        <v>0</v>
      </c>
      <c r="N50" s="6"/>
      <c r="O50" s="6"/>
      <c r="P50" s="6"/>
      <c r="Q50" s="6"/>
      <c r="R50" s="6"/>
      <c r="S50" s="7"/>
      <c r="T50" s="7"/>
      <c r="U50" s="7"/>
      <c r="W50" s="7"/>
      <c r="Z50" s="22"/>
      <c r="AA50" s="22"/>
    </row>
    <row r="51" spans="1:27" hidden="1" outlineLevel="1">
      <c r="A51" s="30">
        <v>366</v>
      </c>
      <c r="B51" s="6" t="s">
        <v>26</v>
      </c>
      <c r="C51" s="5">
        <v>0</v>
      </c>
      <c r="D51" s="6">
        <f t="shared" ca="1" si="15"/>
        <v>0</v>
      </c>
      <c r="E51" s="6">
        <v>0</v>
      </c>
      <c r="F51" s="6"/>
      <c r="G51" s="7"/>
      <c r="H51" s="7"/>
      <c r="I51" s="7"/>
      <c r="J51" s="7"/>
      <c r="K51" s="6">
        <f t="shared" ca="1" si="16"/>
        <v>0</v>
      </c>
      <c r="L51" s="7">
        <f t="shared" ca="1" si="17"/>
        <v>0</v>
      </c>
      <c r="N51" s="6"/>
      <c r="O51" s="6"/>
      <c r="P51" s="6"/>
      <c r="Q51" s="6"/>
      <c r="R51" s="6"/>
      <c r="S51" s="7"/>
      <c r="T51" s="7"/>
      <c r="U51" s="7"/>
      <c r="W51" s="7"/>
      <c r="Z51" s="22"/>
      <c r="AA51" s="22"/>
    </row>
    <row r="52" spans="1:27" hidden="1" outlineLevel="1">
      <c r="A52" s="30">
        <v>367</v>
      </c>
      <c r="B52" s="6" t="s">
        <v>51</v>
      </c>
      <c r="C52" s="5">
        <v>0</v>
      </c>
      <c r="D52" s="6">
        <f t="shared" ca="1" si="15"/>
        <v>0</v>
      </c>
      <c r="E52" s="6">
        <v>0</v>
      </c>
      <c r="F52" s="6"/>
      <c r="G52" s="7"/>
      <c r="H52" s="7"/>
      <c r="I52" s="7"/>
      <c r="J52" s="7"/>
      <c r="K52" s="6">
        <f t="shared" ca="1" si="16"/>
        <v>0</v>
      </c>
      <c r="L52" s="7">
        <f t="shared" ca="1" si="17"/>
        <v>0</v>
      </c>
      <c r="N52" s="6"/>
      <c r="O52" s="6"/>
      <c r="P52" s="6"/>
      <c r="Q52" s="6"/>
      <c r="R52" s="6"/>
      <c r="S52" s="7"/>
      <c r="T52" s="7"/>
      <c r="U52" s="7"/>
      <c r="W52" s="7"/>
      <c r="Z52" s="22"/>
      <c r="AA52" s="22"/>
    </row>
    <row r="53" spans="1:27" hidden="1" outlineLevel="1">
      <c r="A53" s="30">
        <v>369</v>
      </c>
      <c r="B53" s="6" t="s">
        <v>52</v>
      </c>
      <c r="C53" s="5">
        <v>0</v>
      </c>
      <c r="D53" s="6">
        <f t="shared" ca="1" si="15"/>
        <v>0</v>
      </c>
      <c r="E53" s="6">
        <v>0</v>
      </c>
      <c r="F53" s="6"/>
      <c r="G53" s="7"/>
      <c r="H53" s="7"/>
      <c r="I53" s="7"/>
      <c r="J53" s="7"/>
      <c r="K53" s="6">
        <f t="shared" ca="1" si="16"/>
        <v>0</v>
      </c>
      <c r="L53" s="7">
        <f t="shared" ca="1" si="17"/>
        <v>0</v>
      </c>
      <c r="N53" s="6"/>
      <c r="O53" s="6"/>
      <c r="P53" s="6"/>
      <c r="Q53" s="6"/>
      <c r="R53" s="6"/>
      <c r="S53" s="7"/>
      <c r="T53" s="7"/>
      <c r="U53" s="7"/>
      <c r="W53" s="7"/>
      <c r="Z53" s="22"/>
      <c r="AA53" s="22"/>
    </row>
    <row r="54" spans="1:27" hidden="1" outlineLevel="1">
      <c r="A54" s="31">
        <v>372</v>
      </c>
      <c r="B54" s="32" t="s">
        <v>53</v>
      </c>
      <c r="C54" s="5">
        <v>0</v>
      </c>
      <c r="D54" s="6">
        <f t="shared" ca="1" si="15"/>
        <v>0</v>
      </c>
      <c r="E54" s="7">
        <v>0</v>
      </c>
      <c r="F54" s="7"/>
      <c r="G54" s="7"/>
      <c r="H54" s="7"/>
      <c r="I54" s="7"/>
      <c r="J54" s="7"/>
      <c r="K54" s="6">
        <f t="shared" ca="1" si="16"/>
        <v>0</v>
      </c>
      <c r="L54" s="7">
        <f t="shared" ca="1" si="17"/>
        <v>0</v>
      </c>
      <c r="N54" s="6"/>
      <c r="O54" s="6"/>
      <c r="P54" s="6"/>
      <c r="Q54" s="6"/>
      <c r="R54" s="6"/>
      <c r="S54" s="7"/>
      <c r="T54" s="7"/>
      <c r="U54" s="7"/>
      <c r="W54" s="7"/>
      <c r="Z54" s="22"/>
      <c r="AA54" s="22"/>
    </row>
    <row r="55" spans="1:27" hidden="1" outlineLevel="1">
      <c r="A55" s="31" t="s">
        <v>32</v>
      </c>
      <c r="B55" s="32" t="s">
        <v>32</v>
      </c>
      <c r="C55" s="5">
        <v>0</v>
      </c>
      <c r="D55" s="6">
        <f t="shared" ca="1" si="15"/>
        <v>0</v>
      </c>
      <c r="E55" s="7"/>
      <c r="F55" s="7"/>
      <c r="G55" s="7"/>
      <c r="H55" s="7"/>
      <c r="I55" s="7"/>
      <c r="J55" s="7"/>
      <c r="K55" s="6">
        <f t="shared" ca="1" si="16"/>
        <v>0</v>
      </c>
      <c r="L55" s="7">
        <f t="shared" ca="1" si="17"/>
        <v>0</v>
      </c>
      <c r="N55" s="7"/>
      <c r="O55" s="7"/>
      <c r="P55" s="7"/>
      <c r="Q55" s="7"/>
      <c r="R55" s="7"/>
      <c r="S55" s="7"/>
      <c r="T55" s="7"/>
      <c r="U55" s="7"/>
      <c r="W55" s="7"/>
      <c r="Z55" s="22"/>
      <c r="AA55" s="22"/>
    </row>
    <row r="56" spans="1:27" hidden="1" outlineLevel="1">
      <c r="A56" s="31" t="s">
        <v>32</v>
      </c>
      <c r="B56" s="32" t="s">
        <v>32</v>
      </c>
      <c r="C56" s="5">
        <v>0</v>
      </c>
      <c r="D56" s="6">
        <f t="shared" ca="1" si="15"/>
        <v>0</v>
      </c>
      <c r="E56" s="7"/>
      <c r="F56" s="7"/>
      <c r="G56" s="7"/>
      <c r="H56" s="7"/>
      <c r="I56" s="7"/>
      <c r="J56" s="7"/>
      <c r="K56" s="6">
        <f t="shared" ca="1" si="16"/>
        <v>0</v>
      </c>
      <c r="L56" s="7">
        <f t="shared" ca="1" si="17"/>
        <v>0</v>
      </c>
      <c r="N56" s="7"/>
      <c r="O56" s="7"/>
      <c r="P56" s="7"/>
      <c r="Q56" s="7"/>
      <c r="R56" s="7"/>
      <c r="S56" s="7"/>
      <c r="T56" s="7"/>
      <c r="U56" s="7"/>
      <c r="W56" s="7"/>
      <c r="Z56" s="22"/>
      <c r="AA56" s="22"/>
    </row>
    <row r="57" spans="1:27" hidden="1" outlineLevel="1">
      <c r="A57" s="31" t="s">
        <v>32</v>
      </c>
      <c r="B57" s="32" t="s">
        <v>32</v>
      </c>
      <c r="C57" s="5">
        <v>0</v>
      </c>
      <c r="D57" s="6">
        <f t="shared" ca="1" si="15"/>
        <v>0</v>
      </c>
      <c r="E57" s="7"/>
      <c r="F57" s="7"/>
      <c r="G57" s="7"/>
      <c r="H57" s="7"/>
      <c r="I57" s="7"/>
      <c r="J57" s="7"/>
      <c r="K57" s="6">
        <f t="shared" ca="1" si="16"/>
        <v>0</v>
      </c>
      <c r="L57" s="7">
        <f t="shared" ca="1" si="17"/>
        <v>0</v>
      </c>
      <c r="N57" s="7"/>
      <c r="O57" s="7"/>
      <c r="P57" s="7"/>
      <c r="Q57" s="7"/>
      <c r="R57" s="7"/>
      <c r="S57" s="7"/>
      <c r="T57" s="7"/>
      <c r="U57" s="7"/>
      <c r="W57" s="7"/>
      <c r="Z57" s="22"/>
      <c r="AA57" s="22"/>
    </row>
    <row r="58" spans="1:27" s="8" customFormat="1" hidden="1" outlineLevel="1">
      <c r="A58" s="23"/>
      <c r="B58" s="8" t="s">
        <v>22</v>
      </c>
      <c r="C58" s="8">
        <f t="shared" ref="C58:L58" ca="1" si="18">SUM(C50:C57)</f>
        <v>0</v>
      </c>
      <c r="D58" s="8">
        <f t="shared" ca="1" si="18"/>
        <v>0</v>
      </c>
      <c r="E58" s="8">
        <f t="shared" ca="1" si="18"/>
        <v>0</v>
      </c>
      <c r="F58" s="8">
        <f t="shared" ca="1" si="18"/>
        <v>0</v>
      </c>
      <c r="G58" s="8">
        <f t="shared" ca="1" si="18"/>
        <v>0</v>
      </c>
      <c r="H58" s="8">
        <f t="shared" ca="1" si="18"/>
        <v>0</v>
      </c>
      <c r="I58" s="8">
        <f t="shared" ca="1" si="18"/>
        <v>0</v>
      </c>
      <c r="J58" s="8">
        <f t="shared" ca="1" si="18"/>
        <v>0</v>
      </c>
      <c r="K58" s="8">
        <f t="shared" ca="1" si="18"/>
        <v>0</v>
      </c>
      <c r="L58" s="8">
        <f t="shared" ca="1" si="18"/>
        <v>0</v>
      </c>
      <c r="M58" s="4"/>
      <c r="V58" s="4"/>
      <c r="Z58" s="22"/>
      <c r="AA58" s="22"/>
    </row>
    <row r="59" spans="1:27" hidden="1" outlineLevel="1">
      <c r="A59" s="23"/>
      <c r="C59" s="9"/>
      <c r="Z59" s="22"/>
      <c r="AA59" s="22"/>
    </row>
    <row r="60" spans="1:27" outlineLevel="1">
      <c r="A60" s="23"/>
      <c r="B60" s="1" t="s">
        <v>54</v>
      </c>
      <c r="C60" s="9"/>
      <c r="E60" s="9"/>
      <c r="F60" s="9"/>
      <c r="G60" s="9"/>
      <c r="P60" s="38"/>
      <c r="Z60" s="22"/>
      <c r="AA60" s="22"/>
    </row>
    <row r="61" spans="1:27" outlineLevel="1">
      <c r="A61" s="30">
        <v>373</v>
      </c>
      <c r="B61" s="6" t="s">
        <v>53</v>
      </c>
      <c r="C61" s="5">
        <v>0</v>
      </c>
      <c r="D61" s="6">
        <f t="shared" ref="D61:D80" ca="1" si="19">E61+F61</f>
        <v>0</v>
      </c>
      <c r="E61" s="6">
        <v>0</v>
      </c>
      <c r="F61" s="6"/>
      <c r="G61" s="6"/>
      <c r="H61" s="6"/>
      <c r="I61" s="6"/>
      <c r="J61" s="6"/>
      <c r="K61" s="6">
        <f t="shared" ref="K61:K80" ca="1" si="20">+I61+J61</f>
        <v>0</v>
      </c>
      <c r="L61" s="7">
        <f t="shared" ref="L61:L80" ca="1" si="21">D61+G61+H61+K61</f>
        <v>0</v>
      </c>
      <c r="N61" s="6"/>
      <c r="O61" s="6"/>
      <c r="P61" s="6"/>
      <c r="Q61" s="6"/>
      <c r="R61" s="7"/>
      <c r="S61" s="7"/>
      <c r="T61" s="7"/>
      <c r="U61" s="7"/>
      <c r="W61" s="7" t="s">
        <v>55</v>
      </c>
      <c r="Z61" s="22"/>
      <c r="AA61" s="22"/>
    </row>
    <row r="62" spans="1:27" outlineLevel="1">
      <c r="A62" s="30">
        <v>374</v>
      </c>
      <c r="B62" s="6" t="s">
        <v>24</v>
      </c>
      <c r="C62" s="5">
        <v>24136190.1474999</v>
      </c>
      <c r="D62" s="6">
        <f t="shared" ca="1" si="19"/>
        <v>24136190.1474999</v>
      </c>
      <c r="E62" s="6">
        <v>24136190.1474999</v>
      </c>
      <c r="F62" s="6"/>
      <c r="G62" s="6"/>
      <c r="H62" s="6"/>
      <c r="I62" s="6"/>
      <c r="J62" s="6"/>
      <c r="K62" s="6">
        <f t="shared" ca="1" si="20"/>
        <v>0</v>
      </c>
      <c r="L62" s="7">
        <f t="shared" ca="1" si="21"/>
        <v>24136190.1474999</v>
      </c>
      <c r="N62" s="6"/>
      <c r="O62" s="6"/>
      <c r="P62" s="6"/>
      <c r="Q62" s="6"/>
      <c r="R62" s="7"/>
      <c r="S62" s="7"/>
      <c r="T62" s="7"/>
      <c r="U62" s="7"/>
      <c r="W62" s="7" t="s">
        <v>55</v>
      </c>
      <c r="Z62" s="22"/>
      <c r="AA62" s="22"/>
    </row>
    <row r="63" spans="1:27" outlineLevel="1">
      <c r="A63" s="30">
        <v>375</v>
      </c>
      <c r="B63" s="6" t="s">
        <v>26</v>
      </c>
      <c r="C63" s="5">
        <v>35613836.926250003</v>
      </c>
      <c r="D63" s="6">
        <f t="shared" ca="1" si="19"/>
        <v>35613836.926250003</v>
      </c>
      <c r="E63" s="6">
        <v>35613836.926250003</v>
      </c>
      <c r="F63" s="6"/>
      <c r="G63" s="6"/>
      <c r="H63" s="6"/>
      <c r="I63" s="6"/>
      <c r="J63" s="6"/>
      <c r="K63" s="6">
        <f t="shared" ca="1" si="20"/>
        <v>0</v>
      </c>
      <c r="L63" s="7">
        <f t="shared" ca="1" si="21"/>
        <v>35613836.926250003</v>
      </c>
      <c r="N63" s="6"/>
      <c r="O63" s="6"/>
      <c r="P63" s="6"/>
      <c r="Q63" s="6"/>
      <c r="R63" s="6"/>
      <c r="S63" s="7"/>
      <c r="T63" s="7"/>
      <c r="U63" s="7"/>
      <c r="W63" s="7" t="s">
        <v>55</v>
      </c>
      <c r="Z63" s="22"/>
      <c r="AA63" s="22"/>
    </row>
    <row r="64" spans="1:27" outlineLevel="1">
      <c r="A64" s="30">
        <v>376</v>
      </c>
      <c r="B64" s="6" t="s">
        <v>51</v>
      </c>
      <c r="C64" s="5">
        <v>573784070.65144396</v>
      </c>
      <c r="D64" s="6">
        <f ca="1">E64+F64</f>
        <v>564278302.57837498</v>
      </c>
      <c r="E64" s="6">
        <f ca="1">1709934250.2375*Load_Factor</f>
        <v>564278302.57837498</v>
      </c>
      <c r="F64" s="6"/>
      <c r="G64" s="6">
        <f ca="1">28805357.7971786*Load_Factor</f>
        <v>9505768.0730689391</v>
      </c>
      <c r="H64" s="6"/>
      <c r="I64" s="6"/>
      <c r="J64" s="6"/>
      <c r="K64" s="6">
        <f t="shared" ca="1" si="20"/>
        <v>0</v>
      </c>
      <c r="L64" s="7">
        <f t="shared" ca="1" si="21"/>
        <v>573784070.65144396</v>
      </c>
      <c r="N64" s="6" t="s">
        <v>56</v>
      </c>
      <c r="O64" s="6" t="s">
        <v>36</v>
      </c>
      <c r="P64" s="7"/>
      <c r="Q64" s="7" t="s">
        <v>57</v>
      </c>
      <c r="R64" s="6"/>
      <c r="S64" s="7"/>
      <c r="T64" s="7"/>
      <c r="U64" s="7"/>
      <c r="W64" s="7"/>
      <c r="Z64" s="22"/>
      <c r="AA64" s="22"/>
    </row>
    <row r="65" spans="1:27" outlineLevel="1">
      <c r="A65" s="30">
        <v>376</v>
      </c>
      <c r="B65" s="6" t="s">
        <v>58</v>
      </c>
      <c r="C65" s="5">
        <v>1164955537.3832345</v>
      </c>
      <c r="D65" s="6">
        <f ca="1">E65+F65</f>
        <v>1145655947.6591249</v>
      </c>
      <c r="E65" s="6">
        <f ca="1">1709934250.2375-E64</f>
        <v>1145655947.6591249</v>
      </c>
      <c r="F65" s="6"/>
      <c r="G65" s="6">
        <f ca="1">28805357.7971786-G64</f>
        <v>19299589.724109661</v>
      </c>
      <c r="H65" s="6"/>
      <c r="I65" s="6"/>
      <c r="J65" s="6"/>
      <c r="K65" s="6">
        <f t="shared" ca="1" si="20"/>
        <v>0</v>
      </c>
      <c r="L65" s="7">
        <f t="shared" ca="1" si="21"/>
        <v>1164955537.3832345</v>
      </c>
      <c r="N65" s="6" t="s">
        <v>56</v>
      </c>
      <c r="O65" s="6" t="s">
        <v>29</v>
      </c>
      <c r="P65" s="6" t="s">
        <v>59</v>
      </c>
      <c r="Q65" s="6"/>
      <c r="R65" s="6"/>
      <c r="S65" s="7"/>
      <c r="T65" s="7"/>
      <c r="U65" s="7"/>
      <c r="W65" s="7"/>
      <c r="Z65" s="22"/>
      <c r="AA65" s="22"/>
    </row>
    <row r="66" spans="1:27" hidden="1" outlineLevel="1">
      <c r="A66" s="30" t="s">
        <v>32</v>
      </c>
      <c r="B66" s="6" t="s">
        <v>32</v>
      </c>
      <c r="C66" s="5">
        <v>0</v>
      </c>
      <c r="D66" s="6">
        <f t="shared" ca="1" si="19"/>
        <v>0</v>
      </c>
      <c r="E66" s="6"/>
      <c r="F66" s="6"/>
      <c r="G66" s="6"/>
      <c r="H66" s="6"/>
      <c r="I66" s="6"/>
      <c r="J66" s="6"/>
      <c r="K66" s="6">
        <f t="shared" ca="1" si="20"/>
        <v>0</v>
      </c>
      <c r="L66" s="7">
        <f t="shared" ca="1" si="21"/>
        <v>0</v>
      </c>
      <c r="N66" s="6"/>
      <c r="O66" s="6"/>
      <c r="P66" s="6"/>
      <c r="Q66" s="6"/>
      <c r="R66" s="6"/>
      <c r="S66" s="7"/>
      <c r="T66" s="7"/>
      <c r="U66" s="7"/>
      <c r="W66" s="7"/>
      <c r="Z66" s="22"/>
      <c r="AA66" s="22"/>
    </row>
    <row r="67" spans="1:27" outlineLevel="1">
      <c r="A67" s="30">
        <v>378</v>
      </c>
      <c r="B67" s="6" t="s">
        <v>60</v>
      </c>
      <c r="C67" s="5">
        <v>35761286.298099779</v>
      </c>
      <c r="D67" s="6">
        <f t="shared" ca="1" si="19"/>
        <v>35761286.298099779</v>
      </c>
      <c r="E67" s="6">
        <f ca="1">108367534.236666*Load_Factor</f>
        <v>35761286.298099779</v>
      </c>
      <c r="F67" s="6"/>
      <c r="G67" s="6"/>
      <c r="H67" s="6"/>
      <c r="I67" s="6"/>
      <c r="J67" s="6"/>
      <c r="K67" s="6">
        <f t="shared" ca="1" si="20"/>
        <v>0</v>
      </c>
      <c r="L67" s="7">
        <f t="shared" ca="1" si="21"/>
        <v>35761286.298099779</v>
      </c>
      <c r="N67" s="6" t="s">
        <v>56</v>
      </c>
      <c r="O67" s="6" t="s">
        <v>36</v>
      </c>
      <c r="P67" s="6"/>
      <c r="Q67" s="6" t="s">
        <v>37</v>
      </c>
      <c r="R67" s="6"/>
      <c r="S67" s="7"/>
      <c r="T67" s="7"/>
      <c r="U67" s="7"/>
      <c r="W67" s="7"/>
      <c r="Z67" s="22"/>
      <c r="AA67" s="22"/>
    </row>
    <row r="68" spans="1:27" outlineLevel="1">
      <c r="A68" s="30">
        <v>378</v>
      </c>
      <c r="B68" s="6" t="s">
        <v>61</v>
      </c>
      <c r="C68" s="5">
        <v>72606247.938566208</v>
      </c>
      <c r="D68" s="6">
        <f ca="1">E68+F68</f>
        <v>72606247.938566208</v>
      </c>
      <c r="E68" s="6">
        <f ca="1">108367534.236666-E67</f>
        <v>72606247.938566208</v>
      </c>
      <c r="F68" s="6"/>
      <c r="G68" s="6"/>
      <c r="H68" s="6"/>
      <c r="I68" s="6"/>
      <c r="J68" s="6"/>
      <c r="K68" s="6">
        <f t="shared" ca="1" si="20"/>
        <v>0</v>
      </c>
      <c r="L68" s="7">
        <f t="shared" ca="1" si="21"/>
        <v>72606247.938566208</v>
      </c>
      <c r="N68" s="6" t="s">
        <v>56</v>
      </c>
      <c r="O68" s="6" t="s">
        <v>29</v>
      </c>
      <c r="P68" s="6" t="s">
        <v>59</v>
      </c>
      <c r="Q68" s="6"/>
      <c r="R68" s="6"/>
      <c r="S68" s="7"/>
      <c r="T68" s="7"/>
      <c r="U68" s="7"/>
      <c r="W68" s="7"/>
      <c r="Z68" s="22"/>
      <c r="AA68" s="22"/>
    </row>
    <row r="69" spans="1:27" outlineLevel="1">
      <c r="A69" s="30">
        <v>380</v>
      </c>
      <c r="B69" s="6" t="s">
        <v>62</v>
      </c>
      <c r="C69" s="5">
        <v>979946420.4352026</v>
      </c>
      <c r="D69" s="6">
        <f t="shared" ca="1" si="19"/>
        <v>976745825.12440503</v>
      </c>
      <c r="E69" s="6">
        <f ca="1">988673542.799583-E70</f>
        <v>976745825.12440503</v>
      </c>
      <c r="F69" s="6"/>
      <c r="G69" s="6">
        <v>3200595.3107976201</v>
      </c>
      <c r="H69" s="6"/>
      <c r="I69" s="6"/>
      <c r="J69" s="6"/>
      <c r="K69" s="6">
        <f t="shared" ca="1" si="20"/>
        <v>0</v>
      </c>
      <c r="L69" s="7">
        <f t="shared" ca="1" si="21"/>
        <v>979946420.4352026</v>
      </c>
      <c r="N69" s="6" t="s">
        <v>56</v>
      </c>
      <c r="O69" s="6" t="s">
        <v>63</v>
      </c>
      <c r="P69" s="6"/>
      <c r="Q69" s="6"/>
      <c r="R69" s="6" t="s">
        <v>64</v>
      </c>
      <c r="S69" s="7"/>
      <c r="T69" s="7"/>
      <c r="U69" s="7"/>
      <c r="W69" s="7"/>
      <c r="Z69" s="22"/>
      <c r="AA69" s="22"/>
    </row>
    <row r="70" spans="1:27" outlineLevel="1">
      <c r="A70" s="30">
        <v>380</v>
      </c>
      <c r="B70" s="6" t="s">
        <v>65</v>
      </c>
      <c r="C70" s="5">
        <v>11927717.67517799</v>
      </c>
      <c r="D70" s="6">
        <f t="shared" ca="1" si="19"/>
        <v>11927717.67517799</v>
      </c>
      <c r="E70" s="6">
        <v>11927717.67517799</v>
      </c>
      <c r="F70" s="6"/>
      <c r="G70" s="6"/>
      <c r="H70" s="6"/>
      <c r="I70" s="6"/>
      <c r="J70" s="6"/>
      <c r="K70" s="6">
        <f t="shared" ca="1" si="20"/>
        <v>0</v>
      </c>
      <c r="L70" s="7">
        <f t="shared" ca="1" si="21"/>
        <v>11927717.67517799</v>
      </c>
      <c r="N70" s="6" t="s">
        <v>56</v>
      </c>
      <c r="O70" s="6" t="s">
        <v>63</v>
      </c>
      <c r="P70" s="6"/>
      <c r="Q70" s="6"/>
      <c r="R70" s="6" t="s">
        <v>66</v>
      </c>
      <c r="S70" s="7"/>
      <c r="T70" s="7"/>
      <c r="U70" s="7"/>
      <c r="W70" s="7"/>
      <c r="Z70" s="22"/>
      <c r="AA70" s="22"/>
    </row>
    <row r="71" spans="1:27" outlineLevel="1">
      <c r="A71" s="30">
        <v>381</v>
      </c>
      <c r="B71" s="6" t="s">
        <v>67</v>
      </c>
      <c r="C71" s="5">
        <v>74869323.123750001</v>
      </c>
      <c r="D71" s="6">
        <f t="shared" ca="1" si="19"/>
        <v>74869323.123750001</v>
      </c>
      <c r="E71" s="6">
        <v>74869323.123750001</v>
      </c>
      <c r="F71" s="6"/>
      <c r="G71" s="6"/>
      <c r="H71" s="6"/>
      <c r="I71" s="6"/>
      <c r="J71" s="6"/>
      <c r="K71" s="6">
        <f t="shared" ca="1" si="20"/>
        <v>0</v>
      </c>
      <c r="L71" s="7">
        <f t="shared" ca="1" si="21"/>
        <v>74869323.123750001</v>
      </c>
      <c r="N71" s="6" t="s">
        <v>56</v>
      </c>
      <c r="O71" s="6" t="s">
        <v>63</v>
      </c>
      <c r="P71" s="6"/>
      <c r="Q71" s="6"/>
      <c r="R71" s="6" t="s">
        <v>68</v>
      </c>
      <c r="S71" s="7"/>
      <c r="T71" s="7"/>
      <c r="U71" s="7"/>
      <c r="W71" s="7"/>
      <c r="Z71" s="22"/>
      <c r="AA71" s="22"/>
    </row>
    <row r="72" spans="1:27" outlineLevel="1">
      <c r="A72" s="30">
        <v>382</v>
      </c>
      <c r="B72" s="6" t="s">
        <v>69</v>
      </c>
      <c r="C72" s="5">
        <v>155174220.51916599</v>
      </c>
      <c r="D72" s="6">
        <f t="shared" ca="1" si="19"/>
        <v>155174220.51916599</v>
      </c>
      <c r="E72" s="6">
        <v>155174220.51916599</v>
      </c>
      <c r="F72" s="6"/>
      <c r="G72" s="6"/>
      <c r="H72" s="6"/>
      <c r="I72" s="6"/>
      <c r="J72" s="6"/>
      <c r="K72" s="6">
        <f t="shared" ca="1" si="20"/>
        <v>0</v>
      </c>
      <c r="L72" s="7">
        <f t="shared" ca="1" si="21"/>
        <v>155174220.51916599</v>
      </c>
      <c r="N72" s="6" t="s">
        <v>56</v>
      </c>
      <c r="O72" s="6" t="s">
        <v>63</v>
      </c>
      <c r="P72" s="6"/>
      <c r="Q72" s="6"/>
      <c r="R72" s="6" t="s">
        <v>70</v>
      </c>
      <c r="S72" s="7"/>
      <c r="T72" s="7"/>
      <c r="U72" s="7"/>
      <c r="W72" s="7"/>
      <c r="Z72" s="22"/>
      <c r="AA72" s="22"/>
    </row>
    <row r="73" spans="1:27" outlineLevel="1">
      <c r="A73" s="30">
        <v>383</v>
      </c>
      <c r="B73" s="6" t="s">
        <v>71</v>
      </c>
      <c r="C73" s="5">
        <v>16401520.2204166</v>
      </c>
      <c r="D73" s="6">
        <f t="shared" ca="1" si="19"/>
        <v>16401520.2204166</v>
      </c>
      <c r="E73" s="6">
        <v>16401520.2204166</v>
      </c>
      <c r="F73" s="6"/>
      <c r="G73" s="6"/>
      <c r="H73" s="6"/>
      <c r="I73" s="6"/>
      <c r="J73" s="6"/>
      <c r="K73" s="6">
        <f t="shared" ca="1" si="20"/>
        <v>0</v>
      </c>
      <c r="L73" s="7">
        <f t="shared" ca="1" si="21"/>
        <v>16401520.2204166</v>
      </c>
      <c r="N73" s="6" t="s">
        <v>56</v>
      </c>
      <c r="O73" s="6" t="s">
        <v>63</v>
      </c>
      <c r="P73" s="6"/>
      <c r="Q73" s="6"/>
      <c r="R73" s="6" t="s">
        <v>68</v>
      </c>
      <c r="S73" s="7"/>
      <c r="T73" s="7"/>
      <c r="U73" s="7"/>
      <c r="W73" s="7"/>
      <c r="Z73" s="22"/>
      <c r="AA73" s="22"/>
    </row>
    <row r="74" spans="1:27" outlineLevel="1">
      <c r="A74" s="30">
        <v>384</v>
      </c>
      <c r="B74" s="6" t="s">
        <v>72</v>
      </c>
      <c r="C74" s="5">
        <v>82507470.709999993</v>
      </c>
      <c r="D74" s="6">
        <f t="shared" ca="1" si="19"/>
        <v>82507470.709999993</v>
      </c>
      <c r="E74" s="6">
        <v>82507470.709999993</v>
      </c>
      <c r="F74" s="6"/>
      <c r="G74" s="6"/>
      <c r="H74" s="6"/>
      <c r="I74" s="6"/>
      <c r="J74" s="6"/>
      <c r="K74" s="6">
        <f t="shared" ca="1" si="20"/>
        <v>0</v>
      </c>
      <c r="L74" s="7">
        <f t="shared" ca="1" si="21"/>
        <v>82507470.709999993</v>
      </c>
      <c r="N74" s="6" t="s">
        <v>56</v>
      </c>
      <c r="O74" s="6" t="s">
        <v>63</v>
      </c>
      <c r="P74" s="6"/>
      <c r="Q74" s="6"/>
      <c r="R74" s="6" t="s">
        <v>68</v>
      </c>
      <c r="S74" s="7"/>
      <c r="T74" s="7"/>
      <c r="U74" s="7"/>
      <c r="W74" s="7"/>
      <c r="Z74" s="22"/>
      <c r="AA74" s="22"/>
    </row>
    <row r="75" spans="1:27" outlineLevel="1">
      <c r="A75" s="30">
        <v>385</v>
      </c>
      <c r="B75" s="6" t="s">
        <v>73</v>
      </c>
      <c r="C75" s="5">
        <v>37287939.576666601</v>
      </c>
      <c r="D75" s="6">
        <f t="shared" ca="1" si="19"/>
        <v>37287939.576666601</v>
      </c>
      <c r="E75" s="6">
        <v>37287939.576666601</v>
      </c>
      <c r="F75" s="6"/>
      <c r="G75" s="6"/>
      <c r="H75" s="6"/>
      <c r="I75" s="6"/>
      <c r="J75" s="6"/>
      <c r="K75" s="6">
        <f t="shared" ca="1" si="20"/>
        <v>0</v>
      </c>
      <c r="L75" s="7">
        <f t="shared" ca="1" si="21"/>
        <v>37287939.576666601</v>
      </c>
      <c r="N75" s="6" t="s">
        <v>56</v>
      </c>
      <c r="O75" s="6" t="s">
        <v>63</v>
      </c>
      <c r="P75" s="6"/>
      <c r="Q75" s="6"/>
      <c r="R75" s="6" t="s">
        <v>74</v>
      </c>
      <c r="S75" s="7"/>
      <c r="T75" s="7"/>
      <c r="U75" s="7"/>
      <c r="W75" s="7"/>
      <c r="Z75" s="22"/>
      <c r="AA75" s="22"/>
    </row>
    <row r="76" spans="1:27" outlineLevel="1">
      <c r="A76" s="30">
        <v>386</v>
      </c>
      <c r="B76" s="6" t="s">
        <v>75</v>
      </c>
      <c r="C76" s="5">
        <v>28159533.914583299</v>
      </c>
      <c r="D76" s="6">
        <f t="shared" ca="1" si="19"/>
        <v>28159533.914583299</v>
      </c>
      <c r="E76" s="6">
        <v>28159533.914583299</v>
      </c>
      <c r="F76" s="6"/>
      <c r="G76" s="6"/>
      <c r="H76" s="6"/>
      <c r="I76" s="6"/>
      <c r="J76" s="6"/>
      <c r="K76" s="6">
        <f t="shared" ca="1" si="20"/>
        <v>0</v>
      </c>
      <c r="L76" s="7">
        <f t="shared" ca="1" si="21"/>
        <v>28159533.914583299</v>
      </c>
      <c r="N76" s="6" t="s">
        <v>56</v>
      </c>
      <c r="O76" s="6" t="s">
        <v>63</v>
      </c>
      <c r="P76" s="6"/>
      <c r="Q76" s="6"/>
      <c r="R76" s="6" t="s">
        <v>76</v>
      </c>
      <c r="S76" s="7"/>
      <c r="T76" s="7"/>
      <c r="U76" s="7"/>
      <c r="W76" s="7"/>
      <c r="Z76" s="22"/>
      <c r="AA76" s="22"/>
    </row>
    <row r="77" spans="1:27" outlineLevel="1">
      <c r="A77" s="30">
        <v>387</v>
      </c>
      <c r="B77" s="6" t="s">
        <v>31</v>
      </c>
      <c r="C77" s="5">
        <v>5861748.3479166599</v>
      </c>
      <c r="D77" s="6">
        <f t="shared" ca="1" si="19"/>
        <v>5861748.3479166599</v>
      </c>
      <c r="E77" s="6">
        <v>5861748.3479166599</v>
      </c>
      <c r="F77" s="7"/>
      <c r="G77" s="7"/>
      <c r="H77" s="7"/>
      <c r="I77" s="7"/>
      <c r="J77" s="7"/>
      <c r="K77" s="6">
        <f t="shared" ca="1" si="20"/>
        <v>0</v>
      </c>
      <c r="L77" s="7">
        <f t="shared" ca="1" si="21"/>
        <v>5861748.3479166599</v>
      </c>
      <c r="N77" s="6"/>
      <c r="O77" s="6"/>
      <c r="P77" s="6"/>
      <c r="Q77" s="6"/>
      <c r="R77" s="6"/>
      <c r="S77" s="7"/>
      <c r="T77" s="7"/>
      <c r="U77" s="7"/>
      <c r="W77" s="7" t="s">
        <v>55</v>
      </c>
      <c r="Z77" s="22"/>
      <c r="AA77" s="22"/>
    </row>
    <row r="78" spans="1:27" outlineLevel="1">
      <c r="A78" s="30">
        <v>388</v>
      </c>
      <c r="B78" s="32" t="s">
        <v>77</v>
      </c>
      <c r="C78" s="5">
        <v>9047725.7479166593</v>
      </c>
      <c r="D78" s="6">
        <f t="shared" ca="1" si="19"/>
        <v>9047725.7479166593</v>
      </c>
      <c r="E78" s="6">
        <v>9047725.7479166593</v>
      </c>
      <c r="F78" s="7"/>
      <c r="G78" s="7"/>
      <c r="H78" s="7"/>
      <c r="I78" s="7"/>
      <c r="J78" s="7"/>
      <c r="K78" s="6">
        <f t="shared" ca="1" si="20"/>
        <v>0</v>
      </c>
      <c r="L78" s="7">
        <f t="shared" ca="1" si="21"/>
        <v>9047725.7479166593</v>
      </c>
      <c r="N78" s="7"/>
      <c r="O78" s="7"/>
      <c r="P78" s="7"/>
      <c r="Q78" s="7"/>
      <c r="R78" s="7"/>
      <c r="S78" s="7"/>
      <c r="T78" s="7"/>
      <c r="U78" s="7"/>
      <c r="W78" s="7" t="s">
        <v>55</v>
      </c>
      <c r="Z78" s="22"/>
      <c r="AA78" s="22"/>
    </row>
    <row r="79" spans="1:27" hidden="1" outlineLevel="1">
      <c r="A79" s="31" t="s">
        <v>32</v>
      </c>
      <c r="B79" s="32" t="s">
        <v>32</v>
      </c>
      <c r="C79" s="5">
        <v>0</v>
      </c>
      <c r="D79" s="6">
        <f t="shared" ca="1" si="19"/>
        <v>0</v>
      </c>
      <c r="E79" s="7"/>
      <c r="F79" s="7"/>
      <c r="G79" s="7"/>
      <c r="H79" s="7"/>
      <c r="I79" s="7"/>
      <c r="J79" s="7"/>
      <c r="K79" s="6">
        <f t="shared" ca="1" si="20"/>
        <v>0</v>
      </c>
      <c r="L79" s="7">
        <f t="shared" ca="1" si="21"/>
        <v>0</v>
      </c>
      <c r="N79" s="7"/>
      <c r="O79" s="7"/>
      <c r="P79" s="7"/>
      <c r="Q79" s="7"/>
      <c r="R79" s="7"/>
      <c r="S79" s="7"/>
      <c r="T79" s="7"/>
      <c r="U79" s="7"/>
      <c r="W79" s="7"/>
      <c r="Z79" s="22"/>
      <c r="AA79" s="22"/>
    </row>
    <row r="80" spans="1:27" hidden="1" outlineLevel="1">
      <c r="A80" s="31" t="s">
        <v>32</v>
      </c>
      <c r="B80" s="32" t="s">
        <v>32</v>
      </c>
      <c r="C80" s="5">
        <v>0</v>
      </c>
      <c r="D80" s="6">
        <f t="shared" ca="1" si="19"/>
        <v>0</v>
      </c>
      <c r="E80" s="7"/>
      <c r="F80" s="7"/>
      <c r="G80" s="7"/>
      <c r="H80" s="7"/>
      <c r="I80" s="7"/>
      <c r="J80" s="7"/>
      <c r="K80" s="6">
        <f t="shared" ca="1" si="20"/>
        <v>0</v>
      </c>
      <c r="L80" s="7">
        <f t="shared" ca="1" si="21"/>
        <v>0</v>
      </c>
      <c r="N80" s="7"/>
      <c r="O80" s="7"/>
      <c r="P80" s="7"/>
      <c r="Q80" s="7"/>
      <c r="R80" s="7"/>
      <c r="S80" s="7"/>
      <c r="T80" s="7"/>
      <c r="U80" s="7"/>
      <c r="W80" s="7"/>
      <c r="Z80" s="22"/>
      <c r="AA80" s="22"/>
    </row>
    <row r="81" spans="1:31" s="8" customFormat="1" outlineLevel="1">
      <c r="A81" s="23"/>
      <c r="B81" s="8" t="s">
        <v>22</v>
      </c>
      <c r="C81" s="8">
        <f t="shared" ref="C81:L81" ca="1" si="22">SUM(C61:C80)</f>
        <v>3308040789.6158915</v>
      </c>
      <c r="D81" s="8">
        <f t="shared" ca="1" si="22"/>
        <v>3276034836.507915</v>
      </c>
      <c r="E81" s="8">
        <f ca="1">SUM(E61:E80)</f>
        <v>3276034836.507915</v>
      </c>
      <c r="F81" s="8">
        <f t="shared" ca="1" si="22"/>
        <v>0</v>
      </c>
      <c r="G81" s="8">
        <f t="shared" ca="1" si="22"/>
        <v>32005953.107976221</v>
      </c>
      <c r="H81" s="8">
        <f t="shared" ca="1" si="22"/>
        <v>0</v>
      </c>
      <c r="I81" s="8">
        <f t="shared" ca="1" si="22"/>
        <v>0</v>
      </c>
      <c r="J81" s="8">
        <f t="shared" ca="1" si="22"/>
        <v>0</v>
      </c>
      <c r="K81" s="8">
        <f t="shared" ca="1" si="22"/>
        <v>0</v>
      </c>
      <c r="L81" s="8">
        <f t="shared" ca="1" si="22"/>
        <v>3308040789.6158915</v>
      </c>
      <c r="M81" s="4"/>
      <c r="V81" s="4"/>
      <c r="Z81" s="22"/>
      <c r="AA81" s="22"/>
    </row>
    <row r="82" spans="1:31" outlineLevel="1">
      <c r="A82" s="23"/>
      <c r="Z82" s="22"/>
      <c r="AA82" s="22"/>
    </row>
    <row r="83" spans="1:31" outlineLevel="1">
      <c r="A83" s="23"/>
      <c r="B83" s="1" t="s">
        <v>78</v>
      </c>
      <c r="P83" s="35"/>
      <c r="Z83" s="22"/>
      <c r="AA83" s="22"/>
    </row>
    <row r="84" spans="1:31" outlineLevel="1">
      <c r="A84" s="30">
        <v>389</v>
      </c>
      <c r="B84" s="6" t="s">
        <v>24</v>
      </c>
      <c r="C84" s="5">
        <v>14106975.25592283</v>
      </c>
      <c r="D84" s="6">
        <f t="shared" ref="D84:D98" ca="1" si="23">E84+F84</f>
        <v>8688631.3923728298</v>
      </c>
      <c r="E84" s="6">
        <v>8688631.3923728298</v>
      </c>
      <c r="F84" s="6"/>
      <c r="G84" s="6">
        <v>5418343.8635499999</v>
      </c>
      <c r="H84" s="6"/>
      <c r="I84" s="6"/>
      <c r="J84" s="6"/>
      <c r="K84" s="6">
        <f t="shared" ref="K84:K98" ca="1" si="24">+I84+J84</f>
        <v>0</v>
      </c>
      <c r="L84" s="7">
        <f t="shared" ref="L84:L98" ca="1" si="25">D84+G84+H84+K84</f>
        <v>14106975.25592283</v>
      </c>
      <c r="N84" s="6"/>
      <c r="O84" s="6"/>
      <c r="P84" s="6"/>
      <c r="Q84" s="6"/>
      <c r="R84" s="6"/>
      <c r="S84" s="6"/>
      <c r="T84" s="6"/>
      <c r="U84" s="7"/>
      <c r="W84" s="7" t="s">
        <v>79</v>
      </c>
      <c r="Z84" s="22"/>
      <c r="AA84" s="22"/>
      <c r="AE84" s="16"/>
    </row>
    <row r="85" spans="1:31" outlineLevel="1">
      <c r="A85" s="30">
        <v>390</v>
      </c>
      <c r="B85" s="6" t="s">
        <v>26</v>
      </c>
      <c r="C85" s="5">
        <v>44948456.867362306</v>
      </c>
      <c r="D85" s="6">
        <f t="shared" ca="1" si="23"/>
        <v>41554542.157937303</v>
      </c>
      <c r="E85" s="6">
        <v>41554542.157937303</v>
      </c>
      <c r="F85" s="6"/>
      <c r="G85" s="6">
        <v>3393914.7094249995</v>
      </c>
      <c r="H85" s="6"/>
      <c r="I85" s="6"/>
      <c r="J85" s="6"/>
      <c r="K85" s="6">
        <f t="shared" ca="1" si="24"/>
        <v>0</v>
      </c>
      <c r="L85" s="7">
        <f t="shared" ca="1" si="25"/>
        <v>44948456.867362306</v>
      </c>
      <c r="N85" s="6"/>
      <c r="O85" s="6"/>
      <c r="P85" s="6"/>
      <c r="Q85" s="6"/>
      <c r="R85" s="6"/>
      <c r="S85" s="7"/>
      <c r="T85" s="7"/>
      <c r="U85" s="7"/>
      <c r="W85" s="7" t="s">
        <v>79</v>
      </c>
      <c r="Z85" s="22"/>
      <c r="AA85" s="22"/>
      <c r="AE85" s="16"/>
    </row>
    <row r="86" spans="1:31" outlineLevel="1">
      <c r="A86" s="30">
        <v>391</v>
      </c>
      <c r="B86" s="6" t="s">
        <v>80</v>
      </c>
      <c r="C86" s="5">
        <v>32262112.234903101</v>
      </c>
      <c r="D86" s="6">
        <f t="shared" ca="1" si="23"/>
        <v>32262112.234903101</v>
      </c>
      <c r="E86" s="6">
        <v>32262112.234903101</v>
      </c>
      <c r="F86" s="6"/>
      <c r="G86" s="6"/>
      <c r="H86" s="6"/>
      <c r="I86" s="6"/>
      <c r="J86" s="6"/>
      <c r="K86" s="6">
        <f t="shared" ca="1" si="24"/>
        <v>0</v>
      </c>
      <c r="L86" s="7">
        <f t="shared" ca="1" si="25"/>
        <v>32262112.234903101</v>
      </c>
      <c r="N86" s="6"/>
      <c r="O86" s="6"/>
      <c r="P86" s="6"/>
      <c r="Q86" s="6"/>
      <c r="R86" s="6"/>
      <c r="S86" s="7"/>
      <c r="T86" s="7"/>
      <c r="U86" s="7"/>
      <c r="W86" s="7" t="s">
        <v>21</v>
      </c>
      <c r="Z86" s="22"/>
      <c r="AA86" s="22"/>
      <c r="AE86" s="16"/>
    </row>
    <row r="87" spans="1:31" outlineLevel="1">
      <c r="A87" s="30">
        <v>392</v>
      </c>
      <c r="B87" s="6" t="s">
        <v>81</v>
      </c>
      <c r="C87" s="5">
        <v>8449011.9458331596</v>
      </c>
      <c r="D87" s="6">
        <f t="shared" ca="1" si="23"/>
        <v>8449011.9458331596</v>
      </c>
      <c r="E87" s="6">
        <v>8449011.9458331596</v>
      </c>
      <c r="F87" s="6"/>
      <c r="G87" s="6"/>
      <c r="H87" s="6"/>
      <c r="I87" s="6"/>
      <c r="J87" s="6"/>
      <c r="K87" s="6">
        <f t="shared" ca="1" si="24"/>
        <v>0</v>
      </c>
      <c r="L87" s="7">
        <f t="shared" ca="1" si="25"/>
        <v>8449011.9458331596</v>
      </c>
      <c r="N87" s="6"/>
      <c r="O87" s="6"/>
      <c r="P87" s="6"/>
      <c r="Q87" s="6"/>
      <c r="R87" s="6"/>
      <c r="S87" s="7"/>
      <c r="T87" s="7"/>
      <c r="U87" s="7"/>
      <c r="W87" s="7" t="s">
        <v>21</v>
      </c>
      <c r="Z87" s="22"/>
      <c r="AA87" s="22"/>
      <c r="AE87" s="16"/>
    </row>
    <row r="88" spans="1:31" outlineLevel="1">
      <c r="A88" s="30">
        <v>390.1</v>
      </c>
      <c r="B88" s="6" t="s">
        <v>82</v>
      </c>
      <c r="C88" s="5">
        <v>0</v>
      </c>
      <c r="D88" s="6">
        <f t="shared" ca="1" si="23"/>
        <v>1121972.34925</v>
      </c>
      <c r="E88" s="6">
        <v>1121972.34925</v>
      </c>
      <c r="F88" s="6"/>
      <c r="G88" s="6">
        <v>-1121972.34925</v>
      </c>
      <c r="H88" s="6"/>
      <c r="I88" s="6"/>
      <c r="J88" s="6"/>
      <c r="K88" s="6">
        <f t="shared" ca="1" si="24"/>
        <v>0</v>
      </c>
      <c r="L88" s="7">
        <f t="shared" ca="1" si="25"/>
        <v>0</v>
      </c>
      <c r="N88" s="6"/>
      <c r="O88" s="6"/>
      <c r="P88" s="6"/>
      <c r="Q88" s="6"/>
      <c r="R88" s="6"/>
      <c r="S88" s="7"/>
      <c r="T88" s="7"/>
      <c r="U88" s="7"/>
      <c r="W88" s="7"/>
      <c r="Z88" s="22"/>
      <c r="AA88" s="22"/>
      <c r="AE88" s="16"/>
    </row>
    <row r="89" spans="1:31" outlineLevel="1">
      <c r="A89" s="30" t="s">
        <v>32</v>
      </c>
      <c r="B89" s="6" t="s">
        <v>32</v>
      </c>
      <c r="C89" s="5">
        <v>0</v>
      </c>
      <c r="D89" s="6">
        <f t="shared" ca="1" si="23"/>
        <v>0</v>
      </c>
      <c r="E89" s="6"/>
      <c r="F89" s="6"/>
      <c r="G89" s="6"/>
      <c r="H89" s="6"/>
      <c r="I89" s="6"/>
      <c r="J89" s="6"/>
      <c r="K89" s="6">
        <f t="shared" ca="1" si="24"/>
        <v>0</v>
      </c>
      <c r="L89" s="7">
        <f t="shared" ca="1" si="25"/>
        <v>0</v>
      </c>
      <c r="N89" s="6" t="s">
        <v>56</v>
      </c>
      <c r="O89" s="6" t="s">
        <v>29</v>
      </c>
      <c r="P89" s="6" t="s">
        <v>39</v>
      </c>
      <c r="Q89" s="6"/>
      <c r="R89" s="6"/>
      <c r="S89" s="7"/>
      <c r="T89" s="7"/>
      <c r="U89" s="7"/>
      <c r="W89" s="7"/>
      <c r="Z89" s="22"/>
      <c r="AA89" s="22"/>
      <c r="AE89" s="16"/>
    </row>
    <row r="90" spans="1:31" outlineLevel="1">
      <c r="A90" s="30">
        <v>393</v>
      </c>
      <c r="B90" s="6" t="s">
        <v>83</v>
      </c>
      <c r="C90" s="5">
        <v>80531.527713999996</v>
      </c>
      <c r="D90" s="6">
        <f t="shared" ca="1" si="23"/>
        <v>80531.527713999996</v>
      </c>
      <c r="E90" s="6">
        <v>80531.527713999996</v>
      </c>
      <c r="F90" s="6"/>
      <c r="G90" s="6"/>
      <c r="H90" s="6"/>
      <c r="I90" s="6"/>
      <c r="J90" s="6"/>
      <c r="K90" s="6">
        <f t="shared" ca="1" si="24"/>
        <v>0</v>
      </c>
      <c r="L90" s="7">
        <f t="shared" ca="1" si="25"/>
        <v>80531.527713999996</v>
      </c>
      <c r="N90" s="6"/>
      <c r="O90" s="6"/>
      <c r="P90" s="6"/>
      <c r="Q90" s="6"/>
      <c r="R90" s="6"/>
      <c r="S90" s="7"/>
      <c r="T90" s="7"/>
      <c r="U90" s="7"/>
      <c r="W90" s="7" t="s">
        <v>79</v>
      </c>
      <c r="Z90" s="22"/>
      <c r="AA90" s="22"/>
      <c r="AE90" s="16"/>
    </row>
    <row r="91" spans="1:31" outlineLevel="1">
      <c r="A91" s="30">
        <v>394</v>
      </c>
      <c r="B91" s="6" t="s">
        <v>84</v>
      </c>
      <c r="C91" s="5">
        <v>11579358.719241099</v>
      </c>
      <c r="D91" s="6">
        <f t="shared" ca="1" si="23"/>
        <v>11579358.719241099</v>
      </c>
      <c r="E91" s="6">
        <v>11579358.719241099</v>
      </c>
      <c r="F91" s="6"/>
      <c r="G91" s="6"/>
      <c r="H91" s="6"/>
      <c r="I91" s="6"/>
      <c r="J91" s="6"/>
      <c r="K91" s="6">
        <f t="shared" ca="1" si="24"/>
        <v>0</v>
      </c>
      <c r="L91" s="7">
        <f t="shared" ca="1" si="25"/>
        <v>11579358.719241099</v>
      </c>
      <c r="N91" s="6"/>
      <c r="O91" s="6"/>
      <c r="P91" s="6"/>
      <c r="Q91" s="6"/>
      <c r="R91" s="6"/>
      <c r="S91" s="7"/>
      <c r="T91" s="7"/>
      <c r="U91" s="7"/>
      <c r="W91" s="7" t="s">
        <v>21</v>
      </c>
      <c r="Z91" s="22"/>
      <c r="AA91" s="22"/>
      <c r="AE91" s="16"/>
    </row>
    <row r="92" spans="1:31" outlineLevel="1">
      <c r="A92" s="30" t="s">
        <v>32</v>
      </c>
      <c r="B92" s="6" t="s">
        <v>32</v>
      </c>
      <c r="C92" s="5">
        <v>0</v>
      </c>
      <c r="D92" s="6">
        <f t="shared" ca="1" si="23"/>
        <v>0</v>
      </c>
      <c r="E92" s="6"/>
      <c r="F92" s="6"/>
      <c r="G92" s="6"/>
      <c r="H92" s="6"/>
      <c r="I92" s="6"/>
      <c r="J92" s="6"/>
      <c r="K92" s="6">
        <f t="shared" ca="1" si="24"/>
        <v>0</v>
      </c>
      <c r="L92" s="7">
        <f t="shared" ca="1" si="25"/>
        <v>0</v>
      </c>
      <c r="N92" s="6"/>
      <c r="O92" s="6"/>
      <c r="P92" s="6"/>
      <c r="Q92" s="6"/>
      <c r="R92" s="6"/>
      <c r="S92" s="7"/>
      <c r="T92" s="7"/>
      <c r="U92" s="7"/>
      <c r="W92" s="7"/>
      <c r="Z92" s="22"/>
      <c r="AA92" s="22"/>
      <c r="AE92" s="16"/>
    </row>
    <row r="93" spans="1:31" outlineLevel="1">
      <c r="A93" s="30" t="s">
        <v>32</v>
      </c>
      <c r="B93" s="6" t="s">
        <v>32</v>
      </c>
      <c r="C93" s="5">
        <v>0</v>
      </c>
      <c r="D93" s="6">
        <f t="shared" ca="1" si="23"/>
        <v>0</v>
      </c>
      <c r="E93" s="6"/>
      <c r="F93" s="6"/>
      <c r="G93" s="6"/>
      <c r="H93" s="6"/>
      <c r="I93" s="6"/>
      <c r="J93" s="6"/>
      <c r="K93" s="6">
        <f t="shared" ca="1" si="24"/>
        <v>0</v>
      </c>
      <c r="L93" s="7">
        <f t="shared" ca="1" si="25"/>
        <v>0</v>
      </c>
      <c r="N93" s="6" t="s">
        <v>56</v>
      </c>
      <c r="O93" s="6" t="s">
        <v>29</v>
      </c>
      <c r="P93" s="6" t="s">
        <v>39</v>
      </c>
      <c r="Q93" s="6"/>
      <c r="R93" s="6"/>
      <c r="S93" s="7"/>
      <c r="T93" s="7"/>
      <c r="U93" s="7"/>
      <c r="W93" s="7"/>
      <c r="Z93" s="22"/>
      <c r="AA93" s="22"/>
      <c r="AE93" s="16"/>
    </row>
    <row r="94" spans="1:31" outlineLevel="1">
      <c r="A94" s="30">
        <v>395</v>
      </c>
      <c r="B94" s="6" t="s">
        <v>85</v>
      </c>
      <c r="C94" s="5">
        <v>2789001.6108333301</v>
      </c>
      <c r="D94" s="6">
        <f ca="1">E94+F94</f>
        <v>2789001.6108333301</v>
      </c>
      <c r="E94" s="6">
        <v>2789001.6108333301</v>
      </c>
      <c r="F94" s="6"/>
      <c r="G94" s="6"/>
      <c r="H94" s="6"/>
      <c r="I94" s="6"/>
      <c r="J94" s="6"/>
      <c r="K94" s="6">
        <f ca="1">+I94+J94</f>
        <v>0</v>
      </c>
      <c r="L94" s="7">
        <f ca="1">D94+G94+H94+K94</f>
        <v>2789001.6108333301</v>
      </c>
      <c r="N94" s="6"/>
      <c r="O94" s="6"/>
      <c r="P94" s="6"/>
      <c r="Q94" s="6"/>
      <c r="R94" s="6"/>
      <c r="S94" s="7"/>
      <c r="T94" s="7"/>
      <c r="U94" s="7"/>
      <c r="W94" s="7" t="s">
        <v>79</v>
      </c>
      <c r="Z94" s="22"/>
      <c r="AA94" s="22"/>
      <c r="AE94" s="16"/>
    </row>
    <row r="95" spans="1:31" outlineLevel="1">
      <c r="A95" s="30">
        <v>396</v>
      </c>
      <c r="B95" s="6" t="s">
        <v>86</v>
      </c>
      <c r="C95" s="5">
        <v>616698.11644066602</v>
      </c>
      <c r="D95" s="6">
        <f ca="1">E95+F95</f>
        <v>616698.11644066602</v>
      </c>
      <c r="E95" s="6">
        <v>616698.11644066602</v>
      </c>
      <c r="F95" s="6"/>
      <c r="G95" s="6"/>
      <c r="H95" s="6"/>
      <c r="I95" s="6"/>
      <c r="J95" s="6"/>
      <c r="K95" s="6">
        <f ca="1">+I95+J95</f>
        <v>0</v>
      </c>
      <c r="L95" s="7">
        <f ca="1">D95+G95+H95+K95</f>
        <v>616698.11644066602</v>
      </c>
      <c r="N95" s="6"/>
      <c r="O95" s="6"/>
      <c r="P95" s="6"/>
      <c r="Q95" s="6"/>
      <c r="R95" s="6"/>
      <c r="S95" s="7"/>
      <c r="T95" s="7"/>
      <c r="U95" s="7"/>
      <c r="W95" s="7" t="s">
        <v>79</v>
      </c>
      <c r="Z95" s="22"/>
      <c r="AA95" s="22"/>
      <c r="AE95" s="16"/>
    </row>
    <row r="96" spans="1:31" outlineLevel="1">
      <c r="A96" s="30">
        <v>397</v>
      </c>
      <c r="B96" s="6" t="s">
        <v>87</v>
      </c>
      <c r="C96" s="5">
        <v>32257017.5383096</v>
      </c>
      <c r="D96" s="6">
        <f ca="1">E96+F96</f>
        <v>32257017.5383096</v>
      </c>
      <c r="E96" s="6">
        <v>32257017.5383096</v>
      </c>
      <c r="F96" s="6"/>
      <c r="G96" s="6"/>
      <c r="H96" s="6"/>
      <c r="I96" s="6"/>
      <c r="J96" s="6"/>
      <c r="K96" s="6">
        <f ca="1">+I96+J96</f>
        <v>0</v>
      </c>
      <c r="L96" s="7">
        <f ca="1">D96+G96+H96+K96</f>
        <v>32257017.5383096</v>
      </c>
      <c r="N96" s="6"/>
      <c r="O96" s="6"/>
      <c r="P96" s="6"/>
      <c r="Q96" s="6"/>
      <c r="R96" s="6"/>
      <c r="S96" s="7"/>
      <c r="T96" s="7"/>
      <c r="U96" s="7"/>
      <c r="W96" s="7" t="s">
        <v>21</v>
      </c>
      <c r="Z96" s="22"/>
      <c r="AA96" s="22"/>
      <c r="AE96" s="16"/>
    </row>
    <row r="97" spans="1:31" outlineLevel="1">
      <c r="A97" s="30">
        <v>398</v>
      </c>
      <c r="B97" s="6" t="s">
        <v>88</v>
      </c>
      <c r="C97" s="5">
        <v>558679.32304175</v>
      </c>
      <c r="D97" s="6">
        <f ca="1">E97+F97</f>
        <v>558679.32304175</v>
      </c>
      <c r="E97" s="6">
        <v>558679.32304175</v>
      </c>
      <c r="F97" s="6"/>
      <c r="G97" s="6"/>
      <c r="H97" s="6"/>
      <c r="I97" s="6"/>
      <c r="J97" s="6"/>
      <c r="K97" s="6">
        <f ca="1">+I97+J97</f>
        <v>0</v>
      </c>
      <c r="L97" s="7">
        <f ca="1">D97+G97+H97+K97</f>
        <v>558679.32304175</v>
      </c>
      <c r="N97" s="6"/>
      <c r="O97" s="6"/>
      <c r="P97" s="6"/>
      <c r="Q97" s="6"/>
      <c r="R97" s="6"/>
      <c r="S97" s="7"/>
      <c r="T97" s="7"/>
      <c r="U97" s="7"/>
      <c r="W97" s="7" t="s">
        <v>21</v>
      </c>
      <c r="Z97" s="22"/>
      <c r="AA97" s="22"/>
      <c r="AE97" s="16"/>
    </row>
    <row r="98" spans="1:31" outlineLevel="1">
      <c r="A98" s="30">
        <v>399</v>
      </c>
      <c r="B98" s="6" t="s">
        <v>89</v>
      </c>
      <c r="C98" s="5">
        <v>256330.81979400001</v>
      </c>
      <c r="D98" s="6">
        <f t="shared" ca="1" si="23"/>
        <v>256330.81979400001</v>
      </c>
      <c r="E98" s="6">
        <v>256330.81979400001</v>
      </c>
      <c r="F98" s="6"/>
      <c r="G98" s="6"/>
      <c r="H98" s="6"/>
      <c r="I98" s="6"/>
      <c r="J98" s="6"/>
      <c r="K98" s="6">
        <f t="shared" ca="1" si="24"/>
        <v>0</v>
      </c>
      <c r="L98" s="7">
        <f t="shared" ca="1" si="25"/>
        <v>256330.81979400001</v>
      </c>
      <c r="N98" s="6"/>
      <c r="O98" s="6"/>
      <c r="P98" s="6"/>
      <c r="Q98" s="6"/>
      <c r="R98" s="6"/>
      <c r="S98" s="7"/>
      <c r="T98" s="7"/>
      <c r="U98" s="7"/>
      <c r="W98" s="7" t="s">
        <v>21</v>
      </c>
      <c r="Z98" s="22"/>
      <c r="AA98" s="22"/>
      <c r="AE98" s="16"/>
    </row>
    <row r="99" spans="1:31" s="8" customFormat="1" outlineLevel="1">
      <c r="A99" s="10"/>
      <c r="B99" s="8" t="s">
        <v>22</v>
      </c>
      <c r="C99" s="8">
        <f ca="1">SUM(C84:C98)</f>
        <v>147904173.95939583</v>
      </c>
      <c r="D99" s="8">
        <f t="shared" ref="D99:L99" ca="1" si="26">SUM(D84:D98)</f>
        <v>140213887.73567083</v>
      </c>
      <c r="E99" s="8">
        <f t="shared" ca="1" si="26"/>
        <v>140213887.73567083</v>
      </c>
      <c r="F99" s="8">
        <f t="shared" ca="1" si="26"/>
        <v>0</v>
      </c>
      <c r="G99" s="8">
        <f t="shared" ca="1" si="26"/>
        <v>7690286.2237249985</v>
      </c>
      <c r="H99" s="8">
        <f t="shared" ca="1" si="26"/>
        <v>0</v>
      </c>
      <c r="I99" s="8">
        <f t="shared" ca="1" si="26"/>
        <v>0</v>
      </c>
      <c r="J99" s="8">
        <f t="shared" ca="1" si="26"/>
        <v>0</v>
      </c>
      <c r="K99" s="8">
        <f t="shared" ca="1" si="26"/>
        <v>0</v>
      </c>
      <c r="L99" s="8">
        <f t="shared" ca="1" si="26"/>
        <v>147904173.95939583</v>
      </c>
      <c r="M99" s="4"/>
      <c r="V99" s="4"/>
      <c r="Z99" s="22"/>
      <c r="AA99" s="22"/>
      <c r="AE99" s="11"/>
    </row>
    <row r="100" spans="1:31" s="8" customFormat="1" outlineLevel="1">
      <c r="A100" s="10"/>
      <c r="M100" s="4"/>
      <c r="V100" s="4"/>
      <c r="Z100" s="22"/>
      <c r="AA100" s="22"/>
      <c r="AE100" s="11"/>
    </row>
    <row r="101" spans="1:31" hidden="1" outlineLevel="1">
      <c r="A101" s="29"/>
      <c r="B101" s="1" t="s">
        <v>90</v>
      </c>
      <c r="Z101" s="22"/>
      <c r="AA101" s="22"/>
      <c r="AE101" s="18"/>
    </row>
    <row r="102" spans="1:31" hidden="1" outlineLevel="1">
      <c r="A102" s="30">
        <v>114</v>
      </c>
      <c r="B102" s="6" t="s">
        <v>91</v>
      </c>
      <c r="C102" s="5">
        <v>0</v>
      </c>
      <c r="D102" s="6">
        <f ca="1">E102+F102</f>
        <v>0</v>
      </c>
      <c r="E102" s="6">
        <v>0</v>
      </c>
      <c r="F102" s="6"/>
      <c r="G102" s="6"/>
      <c r="H102" s="6"/>
      <c r="I102" s="6"/>
      <c r="J102" s="6"/>
      <c r="K102" s="6">
        <f ca="1">+I102+J102</f>
        <v>0</v>
      </c>
      <c r="L102" s="7">
        <f ca="1">D102+G102+H102+K102</f>
        <v>0</v>
      </c>
      <c r="N102" s="6"/>
      <c r="O102" s="6"/>
      <c r="P102" s="7"/>
      <c r="Q102" s="6"/>
      <c r="R102" s="7"/>
      <c r="S102" s="7"/>
      <c r="T102" s="7"/>
      <c r="U102" s="7"/>
      <c r="W102" s="7" t="s">
        <v>55</v>
      </c>
      <c r="Z102" s="22"/>
      <c r="AA102" s="22"/>
      <c r="AE102" s="18"/>
    </row>
    <row r="103" spans="1:31" hidden="1" outlineLevel="1">
      <c r="A103" s="31" t="s">
        <v>32</v>
      </c>
      <c r="B103" s="32" t="s">
        <v>32</v>
      </c>
      <c r="C103" s="5">
        <v>0</v>
      </c>
      <c r="D103" s="6">
        <f ca="1">E103+F103</f>
        <v>0</v>
      </c>
      <c r="E103" s="7"/>
      <c r="F103" s="7"/>
      <c r="G103" s="7"/>
      <c r="H103" s="7"/>
      <c r="I103" s="7"/>
      <c r="J103" s="7"/>
      <c r="K103" s="6">
        <f ca="1">+I103+J103</f>
        <v>0</v>
      </c>
      <c r="L103" s="7">
        <f ca="1">D103+G103+H103+K103</f>
        <v>0</v>
      </c>
      <c r="N103" s="7"/>
      <c r="O103" s="7"/>
      <c r="P103" s="7"/>
      <c r="Q103" s="7"/>
      <c r="R103" s="7"/>
      <c r="S103" s="7"/>
      <c r="T103" s="7"/>
      <c r="U103" s="7"/>
      <c r="W103" s="7"/>
      <c r="Z103" s="22"/>
      <c r="AA103" s="22"/>
      <c r="AE103" s="18"/>
    </row>
    <row r="104" spans="1:31" hidden="1" outlineLevel="1">
      <c r="A104" s="31" t="s">
        <v>32</v>
      </c>
      <c r="B104" s="32" t="s">
        <v>32</v>
      </c>
      <c r="C104" s="5">
        <v>0</v>
      </c>
      <c r="D104" s="6">
        <f ca="1">E104+F104</f>
        <v>0</v>
      </c>
      <c r="E104" s="7"/>
      <c r="F104" s="7"/>
      <c r="G104" s="7"/>
      <c r="H104" s="7"/>
      <c r="I104" s="7"/>
      <c r="J104" s="7"/>
      <c r="K104" s="6">
        <f ca="1">+I104+J104</f>
        <v>0</v>
      </c>
      <c r="L104" s="7">
        <f ca="1">D104+G104+H104+K104</f>
        <v>0</v>
      </c>
      <c r="N104" s="7"/>
      <c r="O104" s="7"/>
      <c r="P104" s="7"/>
      <c r="Q104" s="7"/>
      <c r="R104" s="7"/>
      <c r="S104" s="7"/>
      <c r="T104" s="7"/>
      <c r="U104" s="7"/>
      <c r="W104" s="7"/>
      <c r="Z104" s="22"/>
      <c r="AA104" s="22"/>
      <c r="AE104" s="18"/>
    </row>
    <row r="105" spans="1:31" s="8" customFormat="1" hidden="1" outlineLevel="1">
      <c r="A105" s="23"/>
      <c r="B105" s="8" t="s">
        <v>22</v>
      </c>
      <c r="C105" s="8">
        <f t="shared" ref="C105:L105" ca="1" si="27">SUM(C102:C104)</f>
        <v>0</v>
      </c>
      <c r="D105" s="8">
        <f t="shared" ca="1" si="27"/>
        <v>0</v>
      </c>
      <c r="E105" s="8">
        <f t="shared" ca="1" si="27"/>
        <v>0</v>
      </c>
      <c r="F105" s="8">
        <f t="shared" ca="1" si="27"/>
        <v>0</v>
      </c>
      <c r="G105" s="8">
        <f t="shared" ca="1" si="27"/>
        <v>0</v>
      </c>
      <c r="H105" s="8">
        <f t="shared" ca="1" si="27"/>
        <v>0</v>
      </c>
      <c r="I105" s="8">
        <f t="shared" ca="1" si="27"/>
        <v>0</v>
      </c>
      <c r="J105" s="8">
        <f t="shared" ca="1" si="27"/>
        <v>0</v>
      </c>
      <c r="K105" s="8">
        <f t="shared" ca="1" si="27"/>
        <v>0</v>
      </c>
      <c r="L105" s="8">
        <f t="shared" ca="1" si="27"/>
        <v>0</v>
      </c>
      <c r="M105" s="4"/>
      <c r="V105" s="4"/>
      <c r="Z105" s="22"/>
      <c r="AA105" s="22"/>
      <c r="AE105" s="11"/>
    </row>
    <row r="106" spans="1:31" s="8" customFormat="1" hidden="1" outlineLevel="1">
      <c r="A106" s="10"/>
      <c r="M106" s="4"/>
      <c r="V106" s="4"/>
      <c r="Z106" s="22"/>
      <c r="AA106" s="22"/>
      <c r="AE106" s="11"/>
    </row>
    <row r="107" spans="1:31" s="12" customFormat="1" collapsed="1">
      <c r="A107" s="24"/>
      <c r="B107" s="12" t="s">
        <v>92</v>
      </c>
      <c r="C107" s="12">
        <f t="shared" ref="C107:L107" ca="1" si="28">SUM(C105,C99,C81,C58,C47,C38,C26,C11)</f>
        <v>3588211730.053113</v>
      </c>
      <c r="D107" s="12">
        <f t="shared" ca="1" si="28"/>
        <v>3548515490.7214117</v>
      </c>
      <c r="E107" s="12">
        <f t="shared" ca="1" si="28"/>
        <v>3548515490.7214117</v>
      </c>
      <c r="F107" s="12">
        <f t="shared" ca="1" si="28"/>
        <v>0</v>
      </c>
      <c r="G107" s="12">
        <f t="shared" ca="1" si="28"/>
        <v>39696239.331701219</v>
      </c>
      <c r="H107" s="12">
        <f t="shared" ca="1" si="28"/>
        <v>0</v>
      </c>
      <c r="I107" s="12">
        <f ca="1">SUM(I105,I99,I81,I58,I47,I38,I26,I11)</f>
        <v>0</v>
      </c>
      <c r="J107" s="12">
        <f ca="1">SUM(J105,J99,J81,J58,J47,J38,J26,J11)</f>
        <v>0</v>
      </c>
      <c r="K107" s="12">
        <f t="shared" ca="1" si="28"/>
        <v>0</v>
      </c>
      <c r="L107" s="12">
        <f t="shared" ca="1" si="28"/>
        <v>3588211730.053113</v>
      </c>
      <c r="M107" s="4"/>
      <c r="Z107" s="22"/>
      <c r="AA107" s="22"/>
      <c r="AE107" s="13"/>
    </row>
    <row r="108" spans="1:31">
      <c r="Z108" s="22"/>
      <c r="AA108" s="22"/>
      <c r="AE108" s="18"/>
    </row>
    <row r="109" spans="1:31" ht="15.6">
      <c r="A109" s="28" t="s">
        <v>93</v>
      </c>
      <c r="Z109" s="22"/>
      <c r="AA109" s="22"/>
      <c r="AE109" s="18"/>
    </row>
    <row r="110" spans="1:31" ht="15.6" outlineLevel="1">
      <c r="A110" s="28"/>
      <c r="Z110" s="22"/>
      <c r="AA110" s="22"/>
      <c r="AE110" s="18"/>
    </row>
    <row r="111" spans="1:31" outlineLevel="1">
      <c r="A111" s="29"/>
      <c r="B111" s="1" t="s">
        <v>16</v>
      </c>
      <c r="Z111" s="22"/>
      <c r="AA111" s="22"/>
      <c r="AE111" s="18"/>
    </row>
    <row r="112" spans="1:31" outlineLevel="1">
      <c r="A112" s="30">
        <v>301</v>
      </c>
      <c r="B112" s="6" t="s">
        <v>17</v>
      </c>
      <c r="C112" s="5">
        <v>0</v>
      </c>
      <c r="D112" s="6">
        <f ca="1">E112+F112</f>
        <v>0</v>
      </c>
      <c r="E112" s="6">
        <v>0</v>
      </c>
      <c r="F112" s="6"/>
      <c r="G112" s="7"/>
      <c r="H112" s="7"/>
      <c r="I112" s="7"/>
      <c r="J112" s="7"/>
      <c r="K112" s="6">
        <f ca="1">+I112+J112</f>
        <v>0</v>
      </c>
      <c r="L112" s="7">
        <f ca="1">D112+G112+H112+K112</f>
        <v>0</v>
      </c>
      <c r="N112" s="6"/>
      <c r="O112" s="6"/>
      <c r="P112" s="6"/>
      <c r="Q112" s="7"/>
      <c r="R112" s="7"/>
      <c r="S112" s="7"/>
      <c r="T112" s="7"/>
      <c r="U112" s="7"/>
      <c r="W112" s="7" t="s">
        <v>18</v>
      </c>
      <c r="Z112" s="22"/>
      <c r="AA112" s="22"/>
      <c r="AE112" s="18"/>
    </row>
    <row r="113" spans="1:31" outlineLevel="1">
      <c r="A113" s="30">
        <v>302</v>
      </c>
      <c r="B113" s="6" t="s">
        <v>19</v>
      </c>
      <c r="C113" s="5">
        <v>-154272.00950308301</v>
      </c>
      <c r="D113" s="6">
        <f ca="1">E113+F113</f>
        <v>-154272.00950308301</v>
      </c>
      <c r="E113" s="6">
        <v>-154272.00950308301</v>
      </c>
      <c r="F113" s="6"/>
      <c r="G113" s="7"/>
      <c r="H113" s="7"/>
      <c r="I113" s="7"/>
      <c r="J113" s="7"/>
      <c r="K113" s="6">
        <f ca="1">+I113+J113</f>
        <v>0</v>
      </c>
      <c r="L113" s="7">
        <f ca="1">D113+G113+H113+K113</f>
        <v>-154272.00950308301</v>
      </c>
      <c r="N113" s="6"/>
      <c r="O113" s="6"/>
      <c r="P113" s="6"/>
      <c r="Q113" s="7"/>
      <c r="R113" s="7"/>
      <c r="S113" s="7"/>
      <c r="T113" s="7"/>
      <c r="U113" s="7"/>
      <c r="W113" s="7" t="s">
        <v>18</v>
      </c>
      <c r="Z113" s="22"/>
      <c r="AA113" s="22"/>
      <c r="AE113" s="18"/>
    </row>
    <row r="114" spans="1:31" outlineLevel="1">
      <c r="A114" s="30">
        <v>303</v>
      </c>
      <c r="B114" s="6" t="s">
        <v>20</v>
      </c>
      <c r="C114" s="5">
        <v>-23739093.547409099</v>
      </c>
      <c r="D114" s="6">
        <f ca="1">E114+F114</f>
        <v>-23739093.547409099</v>
      </c>
      <c r="E114" s="6">
        <v>-23739093.547409099</v>
      </c>
      <c r="F114" s="6"/>
      <c r="G114" s="7"/>
      <c r="H114" s="7"/>
      <c r="I114" s="7"/>
      <c r="J114" s="7"/>
      <c r="K114" s="6">
        <f ca="1">+I114+J114</f>
        <v>0</v>
      </c>
      <c r="L114" s="7">
        <f ca="1">D114+G114+H114+K114</f>
        <v>-23739093.547409099</v>
      </c>
      <c r="N114" s="6"/>
      <c r="O114" s="6"/>
      <c r="P114" s="6"/>
      <c r="Q114" s="7"/>
      <c r="R114" s="7"/>
      <c r="S114" s="7"/>
      <c r="T114" s="7"/>
      <c r="U114" s="7"/>
      <c r="W114" s="7" t="s">
        <v>21</v>
      </c>
      <c r="Z114" s="22"/>
      <c r="AA114" s="22"/>
      <c r="AE114" s="16"/>
    </row>
    <row r="115" spans="1:31" s="8" customFormat="1" outlineLevel="1">
      <c r="A115" s="23"/>
      <c r="B115" s="8" t="s">
        <v>22</v>
      </c>
      <c r="C115" s="8">
        <f t="shared" ref="C115:L115" ca="1" si="29">SUM(C112:C114)</f>
        <v>-23893365.55691218</v>
      </c>
      <c r="D115" s="8">
        <f t="shared" ca="1" si="29"/>
        <v>-23893365.55691218</v>
      </c>
      <c r="E115" s="8">
        <f t="shared" ca="1" si="29"/>
        <v>-23893365.55691218</v>
      </c>
      <c r="F115" s="8">
        <f t="shared" ca="1" si="29"/>
        <v>0</v>
      </c>
      <c r="G115" s="8">
        <f t="shared" ca="1" si="29"/>
        <v>0</v>
      </c>
      <c r="H115" s="8">
        <f t="shared" ca="1" si="29"/>
        <v>0</v>
      </c>
      <c r="I115" s="8">
        <f t="shared" ca="1" si="29"/>
        <v>0</v>
      </c>
      <c r="J115" s="8">
        <f t="shared" ca="1" si="29"/>
        <v>0</v>
      </c>
      <c r="K115" s="8">
        <f t="shared" ca="1" si="29"/>
        <v>0</v>
      </c>
      <c r="L115" s="8">
        <f t="shared" ca="1" si="29"/>
        <v>-23893365.55691218</v>
      </c>
      <c r="M115" s="4"/>
      <c r="V115" s="4"/>
      <c r="Z115" s="22"/>
      <c r="AA115" s="22"/>
    </row>
    <row r="116" spans="1:31" outlineLevel="1">
      <c r="A116" s="23"/>
      <c r="Z116" s="22"/>
      <c r="AA116" s="22"/>
    </row>
    <row r="117" spans="1:31" outlineLevel="1">
      <c r="A117" s="23"/>
      <c r="B117" s="1" t="s">
        <v>23</v>
      </c>
      <c r="Z117" s="22"/>
      <c r="AA117" s="22"/>
    </row>
    <row r="118" spans="1:31" outlineLevel="1">
      <c r="A118" s="30">
        <v>304</v>
      </c>
      <c r="B118" s="6" t="s">
        <v>24</v>
      </c>
      <c r="C118" s="5">
        <v>0</v>
      </c>
      <c r="D118" s="6">
        <f t="shared" ref="D118:D129" ca="1" si="30">E118+F118</f>
        <v>0</v>
      </c>
      <c r="E118" s="6">
        <v>0</v>
      </c>
      <c r="F118" s="6"/>
      <c r="G118" s="6"/>
      <c r="H118" s="6"/>
      <c r="I118" s="6"/>
      <c r="J118" s="6"/>
      <c r="K118" s="6">
        <f t="shared" ref="K118:K129" ca="1" si="31">+I118+J118</f>
        <v>0</v>
      </c>
      <c r="L118" s="7">
        <f t="shared" ref="L118:L129" ca="1" si="32">D118+G118+H118+K118</f>
        <v>0</v>
      </c>
      <c r="N118" s="6"/>
      <c r="O118" s="6"/>
      <c r="P118" s="6"/>
      <c r="Q118" s="7"/>
      <c r="R118" s="7"/>
      <c r="S118" s="7"/>
      <c r="T118" s="7"/>
      <c r="U118" s="7"/>
      <c r="W118" s="7" t="s">
        <v>25</v>
      </c>
      <c r="Z118" s="22"/>
      <c r="AA118" s="22"/>
    </row>
    <row r="119" spans="1:31" outlineLevel="1">
      <c r="A119" s="30">
        <v>305</v>
      </c>
      <c r="B119" s="6" t="s">
        <v>26</v>
      </c>
      <c r="C119" s="5">
        <v>-486976.36688297527</v>
      </c>
      <c r="D119" s="6">
        <f t="shared" ca="1" si="30"/>
        <v>-487532.2</v>
      </c>
      <c r="E119" s="6">
        <v>-487532.2</v>
      </c>
      <c r="F119" s="6"/>
      <c r="G119" s="7">
        <v>555.83311702471519</v>
      </c>
      <c r="H119" s="7"/>
      <c r="I119" s="7"/>
      <c r="J119" s="7"/>
      <c r="K119" s="6">
        <f t="shared" ca="1" si="31"/>
        <v>0</v>
      </c>
      <c r="L119" s="7">
        <f t="shared" ca="1" si="32"/>
        <v>-486976.36688297527</v>
      </c>
      <c r="N119" s="6"/>
      <c r="O119" s="6"/>
      <c r="P119" s="6"/>
      <c r="Q119" s="7"/>
      <c r="R119" s="7"/>
      <c r="S119" s="7"/>
      <c r="T119" s="7"/>
      <c r="U119" s="7"/>
      <c r="W119" s="7" t="s">
        <v>25</v>
      </c>
      <c r="Z119" s="22"/>
      <c r="AA119" s="22"/>
    </row>
    <row r="120" spans="1:31" outlineLevel="1">
      <c r="A120" s="30">
        <v>311</v>
      </c>
      <c r="B120" s="6" t="s">
        <v>27</v>
      </c>
      <c r="C120" s="5">
        <v>-5710141.9202161143</v>
      </c>
      <c r="D120" s="6">
        <f t="shared" ca="1" si="30"/>
        <v>-5721545.2599999998</v>
      </c>
      <c r="E120" s="6">
        <v>-5721545.2599999998</v>
      </c>
      <c r="F120" s="6"/>
      <c r="G120" s="7">
        <v>11403.339783885745</v>
      </c>
      <c r="H120" s="7"/>
      <c r="I120" s="7"/>
      <c r="J120" s="7"/>
      <c r="K120" s="6">
        <f t="shared" ca="1" si="31"/>
        <v>0</v>
      </c>
      <c r="L120" s="7">
        <f t="shared" ca="1" si="32"/>
        <v>-5710141.9202161143</v>
      </c>
      <c r="N120" s="6" t="s">
        <v>28</v>
      </c>
      <c r="O120" s="6" t="s">
        <v>29</v>
      </c>
      <c r="P120" s="6" t="s">
        <v>30</v>
      </c>
      <c r="Q120" s="7"/>
      <c r="R120" s="7"/>
      <c r="S120" s="7"/>
      <c r="T120" s="7"/>
      <c r="U120" s="7"/>
      <c r="W120" s="7"/>
      <c r="Z120" s="22"/>
      <c r="AA120" s="22"/>
    </row>
    <row r="121" spans="1:31" outlineLevel="1">
      <c r="A121" s="30">
        <v>320</v>
      </c>
      <c r="B121" s="6" t="s">
        <v>31</v>
      </c>
      <c r="C121" s="5">
        <v>-887.29695702345725</v>
      </c>
      <c r="D121" s="6">
        <f t="shared" ca="1" si="30"/>
        <v>-769.30999999999904</v>
      </c>
      <c r="E121" s="6">
        <v>-769.30999999999904</v>
      </c>
      <c r="F121" s="6"/>
      <c r="G121" s="7">
        <v>-117.98695702345823</v>
      </c>
      <c r="H121" s="7"/>
      <c r="I121" s="7"/>
      <c r="J121" s="7"/>
      <c r="K121" s="6">
        <f t="shared" ca="1" si="31"/>
        <v>0</v>
      </c>
      <c r="L121" s="7">
        <f t="shared" ca="1" si="32"/>
        <v>-887.29695702345725</v>
      </c>
      <c r="N121" s="6" t="s">
        <v>28</v>
      </c>
      <c r="O121" s="6" t="s">
        <v>29</v>
      </c>
      <c r="P121" s="6" t="s">
        <v>30</v>
      </c>
      <c r="Q121" s="7"/>
      <c r="R121" s="7"/>
      <c r="S121" s="7"/>
      <c r="T121" s="7"/>
      <c r="U121" s="7"/>
      <c r="W121" s="7"/>
      <c r="Z121" s="22"/>
      <c r="AA121" s="22"/>
    </row>
    <row r="122" spans="1:31" hidden="1" outlineLevel="1">
      <c r="A122" s="31" t="s">
        <v>32</v>
      </c>
      <c r="B122" s="32" t="s">
        <v>32</v>
      </c>
      <c r="C122" s="5">
        <v>0</v>
      </c>
      <c r="D122" s="6">
        <f t="shared" ca="1" si="30"/>
        <v>0</v>
      </c>
      <c r="E122" s="7"/>
      <c r="F122" s="7"/>
      <c r="G122" s="7"/>
      <c r="H122" s="7"/>
      <c r="I122" s="7"/>
      <c r="J122" s="7"/>
      <c r="K122" s="6">
        <f t="shared" ca="1" si="31"/>
        <v>0</v>
      </c>
      <c r="L122" s="7">
        <f t="shared" ca="1" si="32"/>
        <v>0</v>
      </c>
      <c r="N122" s="6"/>
      <c r="O122" s="6"/>
      <c r="P122" s="6"/>
      <c r="Q122" s="6"/>
      <c r="R122" s="6"/>
      <c r="S122" s="7"/>
      <c r="T122" s="7"/>
      <c r="U122" s="7"/>
      <c r="W122" s="7"/>
      <c r="Z122" s="22"/>
      <c r="AA122" s="22"/>
    </row>
    <row r="123" spans="1:31" hidden="1" outlineLevel="1">
      <c r="A123" s="31" t="s">
        <v>32</v>
      </c>
      <c r="B123" s="32" t="s">
        <v>32</v>
      </c>
      <c r="C123" s="5">
        <v>0</v>
      </c>
      <c r="D123" s="6">
        <f t="shared" ca="1" si="30"/>
        <v>0</v>
      </c>
      <c r="E123" s="7"/>
      <c r="F123" s="7"/>
      <c r="G123" s="7"/>
      <c r="H123" s="7"/>
      <c r="I123" s="7"/>
      <c r="J123" s="7"/>
      <c r="K123" s="6">
        <f t="shared" ca="1" si="31"/>
        <v>0</v>
      </c>
      <c r="L123" s="7">
        <f t="shared" ca="1" si="32"/>
        <v>0</v>
      </c>
      <c r="N123" s="6"/>
      <c r="O123" s="6"/>
      <c r="P123" s="6"/>
      <c r="Q123" s="6"/>
      <c r="R123" s="6"/>
      <c r="S123" s="7"/>
      <c r="T123" s="7"/>
      <c r="U123" s="7"/>
      <c r="W123" s="7"/>
      <c r="Z123" s="22"/>
      <c r="AA123" s="22"/>
    </row>
    <row r="124" spans="1:31" hidden="1" outlineLevel="1">
      <c r="A124" s="31" t="s">
        <v>32</v>
      </c>
      <c r="B124" s="32" t="s">
        <v>32</v>
      </c>
      <c r="C124" s="5">
        <v>0</v>
      </c>
      <c r="D124" s="6">
        <f t="shared" ca="1" si="30"/>
        <v>0</v>
      </c>
      <c r="E124" s="7"/>
      <c r="F124" s="7"/>
      <c r="G124" s="7"/>
      <c r="H124" s="7"/>
      <c r="I124" s="7"/>
      <c r="J124" s="7"/>
      <c r="K124" s="6">
        <f t="shared" ca="1" si="31"/>
        <v>0</v>
      </c>
      <c r="L124" s="7">
        <f t="shared" ca="1" si="32"/>
        <v>0</v>
      </c>
      <c r="N124" s="6"/>
      <c r="O124" s="6"/>
      <c r="P124" s="6"/>
      <c r="Q124" s="6"/>
      <c r="R124" s="6"/>
      <c r="S124" s="7"/>
      <c r="T124" s="7"/>
      <c r="U124" s="7"/>
      <c r="W124" s="7"/>
      <c r="Z124" s="22"/>
      <c r="AA124" s="22"/>
    </row>
    <row r="125" spans="1:31" hidden="1" outlineLevel="1">
      <c r="A125" s="31" t="s">
        <v>32</v>
      </c>
      <c r="B125" s="32" t="s">
        <v>32</v>
      </c>
      <c r="C125" s="5">
        <v>0</v>
      </c>
      <c r="D125" s="6">
        <f t="shared" ca="1" si="30"/>
        <v>0</v>
      </c>
      <c r="E125" s="7"/>
      <c r="F125" s="7"/>
      <c r="G125" s="7"/>
      <c r="H125" s="7"/>
      <c r="I125" s="7"/>
      <c r="J125" s="7"/>
      <c r="K125" s="6">
        <f t="shared" ca="1" si="31"/>
        <v>0</v>
      </c>
      <c r="L125" s="7">
        <f t="shared" ca="1" si="32"/>
        <v>0</v>
      </c>
      <c r="N125" s="6"/>
      <c r="O125" s="6"/>
      <c r="P125" s="6"/>
      <c r="Q125" s="6"/>
      <c r="R125" s="6"/>
      <c r="S125" s="7"/>
      <c r="T125" s="7"/>
      <c r="U125" s="7"/>
      <c r="W125" s="7"/>
      <c r="Z125" s="22"/>
      <c r="AA125" s="22"/>
    </row>
    <row r="126" spans="1:31" hidden="1" outlineLevel="1">
      <c r="A126" s="31" t="s">
        <v>32</v>
      </c>
      <c r="B126" s="32" t="s">
        <v>32</v>
      </c>
      <c r="C126" s="5">
        <v>0</v>
      </c>
      <c r="D126" s="6">
        <f t="shared" ca="1" si="30"/>
        <v>0</v>
      </c>
      <c r="E126" s="7"/>
      <c r="F126" s="7"/>
      <c r="G126" s="7"/>
      <c r="H126" s="7"/>
      <c r="I126" s="7"/>
      <c r="J126" s="7"/>
      <c r="K126" s="6">
        <f t="shared" ca="1" si="31"/>
        <v>0</v>
      </c>
      <c r="L126" s="7">
        <f t="shared" ca="1" si="32"/>
        <v>0</v>
      </c>
      <c r="N126" s="6"/>
      <c r="O126" s="6"/>
      <c r="P126" s="6"/>
      <c r="Q126" s="6"/>
      <c r="R126" s="6"/>
      <c r="S126" s="7"/>
      <c r="T126" s="7"/>
      <c r="U126" s="7"/>
      <c r="W126" s="7"/>
      <c r="Z126" s="22"/>
      <c r="AA126" s="22"/>
    </row>
    <row r="127" spans="1:31" ht="13.5" hidden="1" customHeight="1" outlineLevel="1">
      <c r="A127" s="31" t="s">
        <v>32</v>
      </c>
      <c r="B127" s="32" t="s">
        <v>32</v>
      </c>
      <c r="C127" s="5">
        <v>0</v>
      </c>
      <c r="D127" s="6">
        <f t="shared" ca="1" si="30"/>
        <v>0</v>
      </c>
      <c r="E127" s="7"/>
      <c r="F127" s="7"/>
      <c r="G127" s="7"/>
      <c r="H127" s="7"/>
      <c r="I127" s="7"/>
      <c r="J127" s="7"/>
      <c r="K127" s="6">
        <f t="shared" ca="1" si="31"/>
        <v>0</v>
      </c>
      <c r="L127" s="7">
        <f t="shared" ca="1" si="32"/>
        <v>0</v>
      </c>
      <c r="N127" s="6"/>
      <c r="O127" s="6"/>
      <c r="P127" s="6"/>
      <c r="Q127" s="6"/>
      <c r="R127" s="6"/>
      <c r="S127" s="7"/>
      <c r="T127" s="7"/>
      <c r="U127" s="7"/>
      <c r="W127" s="7"/>
      <c r="Z127" s="22"/>
      <c r="AA127" s="22"/>
    </row>
    <row r="128" spans="1:31" hidden="1" outlineLevel="1">
      <c r="A128" s="31" t="s">
        <v>32</v>
      </c>
      <c r="B128" s="32" t="s">
        <v>32</v>
      </c>
      <c r="C128" s="5">
        <v>0</v>
      </c>
      <c r="D128" s="6">
        <f t="shared" ca="1" si="30"/>
        <v>0</v>
      </c>
      <c r="E128" s="7"/>
      <c r="F128" s="7"/>
      <c r="G128" s="7"/>
      <c r="H128" s="7"/>
      <c r="I128" s="7"/>
      <c r="J128" s="7"/>
      <c r="K128" s="6">
        <f t="shared" ca="1" si="31"/>
        <v>0</v>
      </c>
      <c r="L128" s="7">
        <f t="shared" ca="1" si="32"/>
        <v>0</v>
      </c>
      <c r="N128" s="6"/>
      <c r="O128" s="6"/>
      <c r="P128" s="6"/>
      <c r="Q128" s="6"/>
      <c r="R128" s="6"/>
      <c r="S128" s="7"/>
      <c r="T128" s="7"/>
      <c r="U128" s="7"/>
      <c r="W128" s="7"/>
      <c r="Z128" s="22"/>
      <c r="AA128" s="22"/>
    </row>
    <row r="129" spans="1:37" hidden="1" outlineLevel="1">
      <c r="A129" s="31" t="s">
        <v>32</v>
      </c>
      <c r="B129" s="32" t="s">
        <v>32</v>
      </c>
      <c r="C129" s="5">
        <v>0</v>
      </c>
      <c r="D129" s="6">
        <f t="shared" ca="1" si="30"/>
        <v>0</v>
      </c>
      <c r="E129" s="7"/>
      <c r="F129" s="7"/>
      <c r="G129" s="7"/>
      <c r="H129" s="7"/>
      <c r="I129" s="7"/>
      <c r="J129" s="7"/>
      <c r="K129" s="6">
        <f t="shared" ca="1" si="31"/>
        <v>0</v>
      </c>
      <c r="L129" s="7">
        <f t="shared" ca="1" si="32"/>
        <v>0</v>
      </c>
      <c r="N129" s="6"/>
      <c r="O129" s="6"/>
      <c r="P129" s="6"/>
      <c r="Q129" s="6"/>
      <c r="R129" s="6"/>
      <c r="S129" s="7"/>
      <c r="T129" s="7"/>
      <c r="U129" s="7"/>
      <c r="W129" s="7"/>
      <c r="Z129" s="22"/>
      <c r="AA129" s="22"/>
    </row>
    <row r="130" spans="1:37" s="8" customFormat="1" outlineLevel="1">
      <c r="A130" s="23"/>
      <c r="B130" s="8" t="s">
        <v>22</v>
      </c>
      <c r="C130" s="8">
        <f t="shared" ref="C130:L130" ca="1" si="33">SUM(C118:C129)</f>
        <v>-6198005.5840561129</v>
      </c>
      <c r="D130" s="8">
        <f t="shared" ca="1" si="33"/>
        <v>-6209846.7699999996</v>
      </c>
      <c r="E130" s="8">
        <f ca="1">SUM(E118:E129)</f>
        <v>-6209846.7699999996</v>
      </c>
      <c r="F130" s="8">
        <f t="shared" ca="1" si="33"/>
        <v>0</v>
      </c>
      <c r="G130" s="8">
        <f t="shared" ca="1" si="33"/>
        <v>11841.185943887001</v>
      </c>
      <c r="H130" s="8">
        <f t="shared" ca="1" si="33"/>
        <v>0</v>
      </c>
      <c r="I130" s="8">
        <f t="shared" ca="1" si="33"/>
        <v>0</v>
      </c>
      <c r="J130" s="8">
        <f t="shared" ca="1" si="33"/>
        <v>0</v>
      </c>
      <c r="K130" s="8">
        <f t="shared" ca="1" si="33"/>
        <v>0</v>
      </c>
      <c r="L130" s="8">
        <f t="shared" ca="1" si="33"/>
        <v>-6198005.5840561129</v>
      </c>
      <c r="M130" s="4"/>
      <c r="V130" s="4"/>
      <c r="Z130" s="22"/>
      <c r="AA130" s="22"/>
    </row>
    <row r="131" spans="1:37" outlineLevel="1">
      <c r="A131" s="23"/>
      <c r="Z131" s="22"/>
      <c r="AA131" s="22"/>
    </row>
    <row r="132" spans="1:37" outlineLevel="1">
      <c r="A132" s="23"/>
      <c r="B132" s="1" t="s">
        <v>33</v>
      </c>
      <c r="Z132" s="22"/>
      <c r="AA132" s="22"/>
    </row>
    <row r="133" spans="1:37" outlineLevel="1">
      <c r="A133" s="30"/>
      <c r="B133" s="6" t="s">
        <v>34</v>
      </c>
      <c r="C133" s="5">
        <v>-3956584.9073605887</v>
      </c>
      <c r="D133" s="6">
        <f t="shared" ref="D133:D150" ca="1" si="34">E133+F133</f>
        <v>-3937686.0788333258</v>
      </c>
      <c r="E133" s="6">
        <f ca="1">AG142</f>
        <v>-3937686.0788333258</v>
      </c>
      <c r="F133" s="6"/>
      <c r="G133" s="7">
        <f ca="1">AJ142</f>
        <v>-18898.828527262682</v>
      </c>
      <c r="H133" s="7"/>
      <c r="I133" s="7"/>
      <c r="J133" s="7"/>
      <c r="K133" s="6">
        <f t="shared" ref="K133:K141" ca="1" si="35">+I133+J133</f>
        <v>0</v>
      </c>
      <c r="L133" s="7">
        <f t="shared" ref="L133:L141" ca="1" si="36">D133+G133+H133+K133</f>
        <v>-3956584.9073605887</v>
      </c>
      <c r="N133" s="6" t="s">
        <v>35</v>
      </c>
      <c r="O133" s="6" t="s">
        <v>36</v>
      </c>
      <c r="P133" s="6"/>
      <c r="Q133" s="6" t="s">
        <v>37</v>
      </c>
      <c r="R133" s="6"/>
      <c r="S133" s="7"/>
      <c r="T133" s="7"/>
      <c r="U133" s="7"/>
      <c r="W133" s="7"/>
      <c r="Z133" s="22"/>
      <c r="AA133" s="22"/>
      <c r="AD133" s="14"/>
      <c r="AE133" s="14"/>
    </row>
    <row r="134" spans="1:37" outlineLevel="1">
      <c r="A134" s="30">
        <v>350</v>
      </c>
      <c r="B134" s="6" t="s">
        <v>24</v>
      </c>
      <c r="C134" s="5">
        <v>-2341.5621305758805</v>
      </c>
      <c r="D134" s="6">
        <f t="shared" ca="1" si="34"/>
        <v>-2213.5153333333283</v>
      </c>
      <c r="E134" s="6">
        <f ca="1">AH134</f>
        <v>-2213.5153333333283</v>
      </c>
      <c r="F134" s="6"/>
      <c r="G134" s="6">
        <f ca="1">AK134</f>
        <v>-128.04679724255209</v>
      </c>
      <c r="H134" s="6"/>
      <c r="I134" s="6"/>
      <c r="J134" s="6"/>
      <c r="K134" s="6">
        <f t="shared" ca="1" si="35"/>
        <v>0</v>
      </c>
      <c r="L134" s="7">
        <f t="shared" ca="1" si="36"/>
        <v>-2341.5621305758805</v>
      </c>
      <c r="N134" s="6" t="s">
        <v>35</v>
      </c>
      <c r="O134" s="6" t="s">
        <v>29</v>
      </c>
      <c r="P134" s="6" t="s">
        <v>39</v>
      </c>
      <c r="Q134" s="6"/>
      <c r="R134" s="6"/>
      <c r="S134" s="7"/>
      <c r="T134" s="7"/>
      <c r="U134" s="7"/>
      <c r="W134" s="7"/>
      <c r="Z134" s="22"/>
      <c r="AA134" s="22"/>
      <c r="AF134" s="6">
        <v>-2766.8941666666601</v>
      </c>
      <c r="AG134" s="34">
        <f t="shared" ref="AG134:AG141" ca="1" si="37">AF134*JP_Bal</f>
        <v>-553.37883333333207</v>
      </c>
      <c r="AH134" s="35">
        <f ca="1">AF134-AG134</f>
        <v>-2213.5153333333283</v>
      </c>
      <c r="AI134" s="6">
        <v>-160.05849655319011</v>
      </c>
      <c r="AJ134" s="34">
        <f ca="1">AI134*JP_Bal</f>
        <v>-32.011699310638022</v>
      </c>
      <c r="AK134" s="9">
        <f ca="1">AI134-AJ134</f>
        <v>-128.04679724255209</v>
      </c>
    </row>
    <row r="135" spans="1:37" outlineLevel="1">
      <c r="A135" s="30">
        <v>351</v>
      </c>
      <c r="B135" s="6" t="s">
        <v>26</v>
      </c>
      <c r="C135" s="5">
        <v>-356543.60775939678</v>
      </c>
      <c r="D135" s="6">
        <f t="shared" ca="1" si="34"/>
        <v>-351604.80566666636</v>
      </c>
      <c r="E135" s="6">
        <f t="shared" ref="E135:E141" ca="1" si="38">AH135</f>
        <v>-351604.80566666636</v>
      </c>
      <c r="F135" s="6"/>
      <c r="G135" s="6">
        <f t="shared" ref="G135:G141" ca="1" si="39">AK135</f>
        <v>-4938.8020927304378</v>
      </c>
      <c r="H135" s="7"/>
      <c r="I135" s="7"/>
      <c r="J135" s="7"/>
      <c r="K135" s="6">
        <f t="shared" ca="1" si="35"/>
        <v>0</v>
      </c>
      <c r="L135" s="7">
        <f t="shared" ca="1" si="36"/>
        <v>-356543.60775939678</v>
      </c>
      <c r="N135" s="6" t="s">
        <v>35</v>
      </c>
      <c r="O135" s="6" t="s">
        <v>29</v>
      </c>
      <c r="P135" s="6" t="s">
        <v>39</v>
      </c>
      <c r="Q135" s="6"/>
      <c r="R135" s="6"/>
      <c r="S135" s="7"/>
      <c r="T135" s="7"/>
      <c r="U135" s="7"/>
      <c r="W135" s="7"/>
      <c r="Z135" s="22"/>
      <c r="AA135" s="22"/>
      <c r="AF135" s="6">
        <v>-439506.00708333298</v>
      </c>
      <c r="AG135" s="34">
        <f t="shared" ca="1" si="37"/>
        <v>-87901.201416666605</v>
      </c>
      <c r="AH135" s="35">
        <f t="shared" ref="AH135:AH141" ca="1" si="40">AF135-AG135</f>
        <v>-351604.80566666636</v>
      </c>
      <c r="AI135" s="6">
        <v>-6173.5026159130475</v>
      </c>
      <c r="AJ135" s="34">
        <f t="shared" ref="AJ135:AJ141" ca="1" si="41">AI135*JP_Bal</f>
        <v>-1234.7005231826097</v>
      </c>
      <c r="AK135" s="9">
        <f t="shared" ref="AK135:AK141" ca="1" si="42">AI135-AJ135</f>
        <v>-4938.8020927304378</v>
      </c>
    </row>
    <row r="136" spans="1:37" outlineLevel="1">
      <c r="A136" s="36">
        <v>352</v>
      </c>
      <c r="B136" s="6" t="s">
        <v>40</v>
      </c>
      <c r="C136" s="5">
        <v>-8064445.934123192</v>
      </c>
      <c r="D136" s="6">
        <f t="shared" ca="1" si="34"/>
        <v>-8044474.7346666399</v>
      </c>
      <c r="E136" s="6">
        <f t="shared" ca="1" si="38"/>
        <v>-8044474.7346666399</v>
      </c>
      <c r="F136" s="6"/>
      <c r="G136" s="6">
        <f t="shared" ca="1" si="39"/>
        <v>-19971.199456551913</v>
      </c>
      <c r="H136" s="7"/>
      <c r="I136" s="7"/>
      <c r="J136" s="7"/>
      <c r="K136" s="6">
        <f t="shared" ca="1" si="35"/>
        <v>0</v>
      </c>
      <c r="L136" s="7">
        <f t="shared" ca="1" si="36"/>
        <v>-8064445.934123192</v>
      </c>
      <c r="N136" s="6" t="s">
        <v>35</v>
      </c>
      <c r="O136" s="6" t="s">
        <v>29</v>
      </c>
      <c r="P136" s="6" t="s">
        <v>39</v>
      </c>
      <c r="Q136" s="6"/>
      <c r="R136" s="6"/>
      <c r="S136" s="7"/>
      <c r="T136" s="7"/>
      <c r="U136" s="7"/>
      <c r="W136" s="7"/>
      <c r="Z136" s="22"/>
      <c r="AA136" s="22"/>
      <c r="AF136" s="6">
        <v>-10055593.418333299</v>
      </c>
      <c r="AG136" s="34">
        <f t="shared" ca="1" si="37"/>
        <v>-2011118.68366666</v>
      </c>
      <c r="AH136" s="35">
        <f t="shared" ca="1" si="40"/>
        <v>-8044474.7346666399</v>
      </c>
      <c r="AI136" s="6">
        <v>-24963.999320689891</v>
      </c>
      <c r="AJ136" s="34">
        <f t="shared" ca="1" si="41"/>
        <v>-4992.7998641379781</v>
      </c>
      <c r="AK136" s="9">
        <f t="shared" ca="1" si="42"/>
        <v>-19971.199456551913</v>
      </c>
    </row>
    <row r="137" spans="1:37" outlineLevel="1">
      <c r="A137" s="30">
        <v>353</v>
      </c>
      <c r="B137" s="6" t="s">
        <v>41</v>
      </c>
      <c r="C137" s="5">
        <v>-1318927.4405222838</v>
      </c>
      <c r="D137" s="6">
        <f t="shared" ca="1" si="34"/>
        <v>-1321550.047666664</v>
      </c>
      <c r="E137" s="6">
        <f t="shared" ca="1" si="38"/>
        <v>-1321550.047666664</v>
      </c>
      <c r="F137" s="6"/>
      <c r="G137" s="6">
        <f t="shared" ca="1" si="39"/>
        <v>2622.6071443802912</v>
      </c>
      <c r="H137" s="7"/>
      <c r="I137" s="7"/>
      <c r="J137" s="7"/>
      <c r="K137" s="6">
        <f t="shared" ca="1" si="35"/>
        <v>0</v>
      </c>
      <c r="L137" s="7">
        <f t="shared" ca="1" si="36"/>
        <v>-1318927.4405222838</v>
      </c>
      <c r="N137" s="6" t="s">
        <v>35</v>
      </c>
      <c r="O137" s="6" t="s">
        <v>29</v>
      </c>
      <c r="P137" s="6" t="s">
        <v>39</v>
      </c>
      <c r="Q137" s="6"/>
      <c r="R137" s="6"/>
      <c r="S137" s="7"/>
      <c r="T137" s="7"/>
      <c r="U137" s="7"/>
      <c r="W137" s="7"/>
      <c r="Z137" s="22"/>
      <c r="AA137" s="22"/>
      <c r="AF137" s="6">
        <v>-1651937.5595833301</v>
      </c>
      <c r="AG137" s="34">
        <f t="shared" ca="1" si="37"/>
        <v>-330387.51191666606</v>
      </c>
      <c r="AH137" s="35">
        <f t="shared" ca="1" si="40"/>
        <v>-1321550.047666664</v>
      </c>
      <c r="AI137" s="6">
        <v>3278.2589304753637</v>
      </c>
      <c r="AJ137" s="34">
        <f t="shared" ca="1" si="41"/>
        <v>655.65178609507279</v>
      </c>
      <c r="AK137" s="9">
        <f t="shared" ca="1" si="42"/>
        <v>2622.6071443802912</v>
      </c>
    </row>
    <row r="138" spans="1:37" outlineLevel="1">
      <c r="A138" s="30">
        <v>354</v>
      </c>
      <c r="B138" s="6" t="s">
        <v>42</v>
      </c>
      <c r="C138" s="5">
        <v>-5362923.3996130172</v>
      </c>
      <c r="D138" s="6">
        <f t="shared" ca="1" si="34"/>
        <v>-5326875.7086666645</v>
      </c>
      <c r="E138" s="6">
        <f t="shared" ca="1" si="38"/>
        <v>-5326875.7086666645</v>
      </c>
      <c r="F138" s="6"/>
      <c r="G138" s="6">
        <f t="shared" ca="1" si="39"/>
        <v>-36047.690946352806</v>
      </c>
      <c r="H138" s="7"/>
      <c r="I138" s="7"/>
      <c r="J138" s="7"/>
      <c r="K138" s="6">
        <f t="shared" ca="1" si="35"/>
        <v>0</v>
      </c>
      <c r="L138" s="7">
        <f t="shared" ca="1" si="36"/>
        <v>-5362923.3996130172</v>
      </c>
      <c r="N138" s="6" t="s">
        <v>35</v>
      </c>
      <c r="O138" s="6" t="s">
        <v>29</v>
      </c>
      <c r="P138" s="6" t="s">
        <v>39</v>
      </c>
      <c r="Q138" s="6"/>
      <c r="R138" s="6"/>
      <c r="S138" s="7"/>
      <c r="T138" s="7"/>
      <c r="U138" s="7"/>
      <c r="W138" s="7"/>
      <c r="Z138" s="22"/>
      <c r="AA138" s="22"/>
      <c r="AF138" s="6">
        <v>-6658594.6358333305</v>
      </c>
      <c r="AG138" s="34">
        <f t="shared" ca="1" si="37"/>
        <v>-1331718.9271666661</v>
      </c>
      <c r="AH138" s="35">
        <f t="shared" ca="1" si="40"/>
        <v>-5326875.7086666645</v>
      </c>
      <c r="AI138" s="6">
        <v>-45059.61368294101</v>
      </c>
      <c r="AJ138" s="34">
        <f t="shared" ca="1" si="41"/>
        <v>-9011.9227365882016</v>
      </c>
      <c r="AK138" s="9">
        <f t="shared" ca="1" si="42"/>
        <v>-36047.690946352806</v>
      </c>
    </row>
    <row r="139" spans="1:37" outlineLevel="1">
      <c r="A139" s="30">
        <v>355</v>
      </c>
      <c r="B139" s="6" t="s">
        <v>43</v>
      </c>
      <c r="C139" s="5">
        <v>155999.9290614682</v>
      </c>
      <c r="D139" s="6">
        <f t="shared" ca="1" si="34"/>
        <v>158002.2533333328</v>
      </c>
      <c r="E139" s="6">
        <f t="shared" ca="1" si="38"/>
        <v>158002.2533333328</v>
      </c>
      <c r="F139" s="6"/>
      <c r="G139" s="6">
        <f t="shared" ca="1" si="39"/>
        <v>-2002.3242718646156</v>
      </c>
      <c r="H139" s="7"/>
      <c r="I139" s="7"/>
      <c r="J139" s="7"/>
      <c r="K139" s="6">
        <f t="shared" ca="1" si="35"/>
        <v>0</v>
      </c>
      <c r="L139" s="7">
        <f t="shared" ca="1" si="36"/>
        <v>155999.9290614682</v>
      </c>
      <c r="N139" s="6" t="s">
        <v>35</v>
      </c>
      <c r="O139" s="6" t="s">
        <v>29</v>
      </c>
      <c r="P139" s="6" t="s">
        <v>39</v>
      </c>
      <c r="Q139" s="6"/>
      <c r="R139" s="6"/>
      <c r="S139" s="7"/>
      <c r="T139" s="7"/>
      <c r="U139" s="7"/>
      <c r="W139" s="7"/>
      <c r="Z139" s="22"/>
      <c r="AA139" s="22"/>
      <c r="AF139" s="6">
        <v>197502.81666666601</v>
      </c>
      <c r="AG139" s="34">
        <f t="shared" ca="1" si="37"/>
        <v>39500.563333333208</v>
      </c>
      <c r="AH139" s="35">
        <f t="shared" ca="1" si="40"/>
        <v>158002.2533333328</v>
      </c>
      <c r="AI139" s="6">
        <v>-2502.9053398307697</v>
      </c>
      <c r="AJ139" s="34">
        <f t="shared" ca="1" si="41"/>
        <v>-500.58106796615397</v>
      </c>
      <c r="AK139" s="9">
        <f t="shared" ca="1" si="42"/>
        <v>-2002.3242718646156</v>
      </c>
    </row>
    <row r="140" spans="1:37" outlineLevel="1">
      <c r="A140" s="30">
        <v>356</v>
      </c>
      <c r="B140" s="6" t="s">
        <v>44</v>
      </c>
      <c r="C140" s="5">
        <v>-837077.85642095702</v>
      </c>
      <c r="D140" s="6">
        <f t="shared" ca="1" si="34"/>
        <v>-827995.76</v>
      </c>
      <c r="E140" s="6">
        <f t="shared" ca="1" si="38"/>
        <v>-827995.76</v>
      </c>
      <c r="F140" s="6"/>
      <c r="G140" s="6">
        <f t="shared" ca="1" si="39"/>
        <v>-9082.096420957012</v>
      </c>
      <c r="H140" s="7"/>
      <c r="I140" s="7"/>
      <c r="J140" s="7"/>
      <c r="K140" s="6">
        <f t="shared" ca="1" si="35"/>
        <v>0</v>
      </c>
      <c r="L140" s="7">
        <f t="shared" ca="1" si="36"/>
        <v>-837077.85642095702</v>
      </c>
      <c r="N140" s="6" t="s">
        <v>35</v>
      </c>
      <c r="O140" s="6" t="s">
        <v>29</v>
      </c>
      <c r="P140" s="6" t="s">
        <v>39</v>
      </c>
      <c r="Q140" s="6"/>
      <c r="R140" s="6"/>
      <c r="S140" s="7"/>
      <c r="T140" s="7"/>
      <c r="U140" s="7"/>
      <c r="W140" s="7"/>
      <c r="Z140" s="22"/>
      <c r="AA140" s="22"/>
      <c r="AF140" s="6">
        <v>-1034994.7</v>
      </c>
      <c r="AG140" s="34">
        <f t="shared" ca="1" si="37"/>
        <v>-206998.94</v>
      </c>
      <c r="AH140" s="35">
        <f t="shared" ca="1" si="40"/>
        <v>-827995.76</v>
      </c>
      <c r="AI140" s="6">
        <v>-11352.620526196264</v>
      </c>
      <c r="AJ140" s="34">
        <f t="shared" ca="1" si="41"/>
        <v>-2270.524105239253</v>
      </c>
      <c r="AK140" s="9">
        <f t="shared" ca="1" si="42"/>
        <v>-9082.096420957012</v>
      </c>
    </row>
    <row r="141" spans="1:37" outlineLevel="1">
      <c r="A141" s="30">
        <v>357</v>
      </c>
      <c r="B141" s="6" t="s">
        <v>31</v>
      </c>
      <c r="C141" s="5">
        <v>-40079.757934398316</v>
      </c>
      <c r="D141" s="6">
        <f t="shared" ca="1" si="34"/>
        <v>-34031.996666666637</v>
      </c>
      <c r="E141" s="6">
        <f t="shared" ca="1" si="38"/>
        <v>-34031.996666666637</v>
      </c>
      <c r="F141" s="6"/>
      <c r="G141" s="6">
        <f t="shared" ca="1" si="39"/>
        <v>-6047.7612677316765</v>
      </c>
      <c r="H141" s="7"/>
      <c r="I141" s="7"/>
      <c r="J141" s="7"/>
      <c r="K141" s="6">
        <f t="shared" ca="1" si="35"/>
        <v>0</v>
      </c>
      <c r="L141" s="7">
        <f t="shared" ca="1" si="36"/>
        <v>-40079.757934398316</v>
      </c>
      <c r="N141" s="6" t="s">
        <v>35</v>
      </c>
      <c r="O141" s="6" t="s">
        <v>29</v>
      </c>
      <c r="P141" s="6" t="s">
        <v>39</v>
      </c>
      <c r="Q141" s="6"/>
      <c r="R141" s="6"/>
      <c r="S141" s="7"/>
      <c r="T141" s="7"/>
      <c r="U141" s="7"/>
      <c r="W141" s="7"/>
      <c r="Z141" s="22"/>
      <c r="AA141" s="22"/>
      <c r="AF141" s="6">
        <v>-42539.995833333298</v>
      </c>
      <c r="AG141" s="34">
        <f t="shared" ca="1" si="37"/>
        <v>-8507.9991666666592</v>
      </c>
      <c r="AH141" s="35">
        <f t="shared" ca="1" si="40"/>
        <v>-34031.996666666637</v>
      </c>
      <c r="AI141" s="6">
        <v>-7559.7015846645954</v>
      </c>
      <c r="AJ141" s="34">
        <f t="shared" ca="1" si="41"/>
        <v>-1511.9403169329191</v>
      </c>
      <c r="AK141" s="9">
        <f t="shared" ca="1" si="42"/>
        <v>-6047.7612677316765</v>
      </c>
    </row>
    <row r="142" spans="1:37" s="8" customFormat="1" outlineLevel="1">
      <c r="A142" s="23"/>
      <c r="B142" s="8" t="s">
        <v>22</v>
      </c>
      <c r="C142" s="8">
        <f ca="1">SUM(C133:C141)</f>
        <v>-19782924.536802944</v>
      </c>
      <c r="D142" s="8">
        <f t="shared" ref="D142:L142" ca="1" si="43">SUM(D133:D141)</f>
        <v>-19688430.394166626</v>
      </c>
      <c r="E142" s="8">
        <f t="shared" ca="1" si="43"/>
        <v>-19688430.394166626</v>
      </c>
      <c r="F142" s="8">
        <f t="shared" ca="1" si="43"/>
        <v>0</v>
      </c>
      <c r="G142" s="8">
        <f t="shared" ca="1" si="43"/>
        <v>-94494.142636313394</v>
      </c>
      <c r="H142" s="8">
        <f t="shared" ca="1" si="43"/>
        <v>0</v>
      </c>
      <c r="I142" s="8">
        <f t="shared" ca="1" si="43"/>
        <v>0</v>
      </c>
      <c r="J142" s="8">
        <f t="shared" ca="1" si="43"/>
        <v>0</v>
      </c>
      <c r="K142" s="8">
        <f t="shared" ca="1" si="43"/>
        <v>0</v>
      </c>
      <c r="L142" s="8">
        <f t="shared" ca="1" si="43"/>
        <v>-19782924.536802944</v>
      </c>
      <c r="M142" s="4"/>
      <c r="V142" s="4"/>
      <c r="Z142" s="22"/>
      <c r="AA142" s="22"/>
      <c r="AF142" s="8">
        <f t="shared" ref="AF142:AK142" ca="1" si="44">SUM(AF134:AF141)</f>
        <v>-19688430.394166626</v>
      </c>
      <c r="AG142" s="8">
        <f t="shared" ca="1" si="44"/>
        <v>-3937686.0788333258</v>
      </c>
      <c r="AH142" s="8">
        <f t="shared" ca="1" si="44"/>
        <v>-15750744.315333303</v>
      </c>
      <c r="AI142" s="8">
        <f t="shared" ca="1" si="44"/>
        <v>-94494.142636313394</v>
      </c>
      <c r="AJ142" s="8">
        <f t="shared" ca="1" si="44"/>
        <v>-18898.828527262682</v>
      </c>
      <c r="AK142" s="8">
        <f t="shared" ca="1" si="44"/>
        <v>-75595.314109050727</v>
      </c>
    </row>
    <row r="143" spans="1:37" outlineLevel="1">
      <c r="A143" s="23"/>
      <c r="Z143" s="22"/>
      <c r="AA143" s="22"/>
    </row>
    <row r="144" spans="1:37" outlineLevel="1">
      <c r="A144" s="23"/>
      <c r="B144" s="1" t="s">
        <v>45</v>
      </c>
      <c r="Z144" s="22"/>
      <c r="AA144" s="22"/>
    </row>
    <row r="145" spans="1:27" outlineLevel="1">
      <c r="A145" s="30">
        <v>360</v>
      </c>
      <c r="B145" s="39" t="s">
        <v>46</v>
      </c>
      <c r="C145" s="5">
        <v>0</v>
      </c>
      <c r="D145" s="6">
        <f t="shared" ca="1" si="34"/>
        <v>0</v>
      </c>
      <c r="E145" s="6">
        <v>0</v>
      </c>
      <c r="F145" s="6"/>
      <c r="G145" s="7"/>
      <c r="H145" s="7"/>
      <c r="I145" s="7"/>
      <c r="J145" s="7"/>
      <c r="K145" s="6">
        <f t="shared" ref="K145:K151" ca="1" si="45">+I145+J145</f>
        <v>0</v>
      </c>
      <c r="L145" s="7">
        <f t="shared" ref="L145:L151" ca="1" si="46">D145+G145+H145+K145</f>
        <v>0</v>
      </c>
      <c r="N145" s="6" t="s">
        <v>35</v>
      </c>
      <c r="O145" s="6" t="s">
        <v>29</v>
      </c>
      <c r="P145" s="6" t="s">
        <v>39</v>
      </c>
      <c r="Q145" s="6"/>
      <c r="R145" s="6"/>
      <c r="S145" s="7"/>
      <c r="T145" s="7"/>
      <c r="U145" s="7"/>
      <c r="W145" s="7"/>
      <c r="Z145" s="22"/>
      <c r="AA145" s="22"/>
    </row>
    <row r="146" spans="1:27" outlineLevel="1">
      <c r="A146" s="30">
        <v>361</v>
      </c>
      <c r="B146" s="39" t="s">
        <v>47</v>
      </c>
      <c r="C146" s="5">
        <v>-1403912.2259367895</v>
      </c>
      <c r="D146" s="6">
        <f t="shared" ca="1" si="34"/>
        <v>-1411413.8399999901</v>
      </c>
      <c r="E146" s="6">
        <v>-1411413.8399999901</v>
      </c>
      <c r="F146" s="6"/>
      <c r="G146" s="7">
        <v>7501.6140632004608</v>
      </c>
      <c r="H146" s="7"/>
      <c r="I146" s="7"/>
      <c r="J146" s="7"/>
      <c r="K146" s="6">
        <f t="shared" ca="1" si="45"/>
        <v>0</v>
      </c>
      <c r="L146" s="7">
        <f t="shared" ca="1" si="46"/>
        <v>-1403912.2259367895</v>
      </c>
      <c r="N146" s="6" t="s">
        <v>35</v>
      </c>
      <c r="O146" s="6" t="s">
        <v>29</v>
      </c>
      <c r="P146" s="6" t="s">
        <v>39</v>
      </c>
      <c r="Q146" s="6"/>
      <c r="R146" s="6"/>
      <c r="S146" s="7"/>
      <c r="T146" s="7"/>
      <c r="U146" s="7"/>
      <c r="W146" s="7"/>
      <c r="Z146" s="22"/>
      <c r="AA146" s="22"/>
    </row>
    <row r="147" spans="1:27" outlineLevel="1">
      <c r="A147" s="30">
        <v>362</v>
      </c>
      <c r="B147" s="39" t="s">
        <v>48</v>
      </c>
      <c r="C147" s="5">
        <v>-1245905.2829633248</v>
      </c>
      <c r="D147" s="6">
        <f t="shared" ca="1" si="34"/>
        <v>-1248727.75</v>
      </c>
      <c r="E147" s="6">
        <v>-1248727.75</v>
      </c>
      <c r="F147" s="6"/>
      <c r="G147" s="7">
        <v>2822.4670366752252</v>
      </c>
      <c r="H147" s="7"/>
      <c r="I147" s="7"/>
      <c r="J147" s="7"/>
      <c r="K147" s="6">
        <f t="shared" ca="1" si="45"/>
        <v>0</v>
      </c>
      <c r="L147" s="7">
        <f t="shared" ca="1" si="46"/>
        <v>-1245905.2829633248</v>
      </c>
      <c r="N147" s="6" t="s">
        <v>35</v>
      </c>
      <c r="O147" s="6" t="s">
        <v>29</v>
      </c>
      <c r="P147" s="6" t="s">
        <v>39</v>
      </c>
      <c r="Q147" s="6"/>
      <c r="R147" s="6"/>
      <c r="S147" s="7"/>
      <c r="T147" s="7"/>
      <c r="U147" s="7"/>
      <c r="W147" s="7"/>
      <c r="Z147" s="22"/>
      <c r="AA147" s="22"/>
    </row>
    <row r="148" spans="1:27" outlineLevel="1">
      <c r="A148" s="30">
        <v>363</v>
      </c>
      <c r="B148" s="39" t="s">
        <v>44</v>
      </c>
      <c r="C148" s="5">
        <v>-1654095.6406317214</v>
      </c>
      <c r="D148" s="6">
        <f t="shared" ca="1" si="34"/>
        <v>-1664330.05</v>
      </c>
      <c r="E148" s="6">
        <v>-1664330.05</v>
      </c>
      <c r="F148" s="6"/>
      <c r="G148" s="7">
        <v>10234.409368278692</v>
      </c>
      <c r="H148" s="7"/>
      <c r="I148" s="7"/>
      <c r="J148" s="7"/>
      <c r="K148" s="6">
        <f t="shared" ca="1" si="45"/>
        <v>0</v>
      </c>
      <c r="L148" s="7">
        <f t="shared" ca="1" si="46"/>
        <v>-1654095.6406317214</v>
      </c>
      <c r="N148" s="6" t="s">
        <v>35</v>
      </c>
      <c r="O148" s="6" t="s">
        <v>29</v>
      </c>
      <c r="P148" s="6" t="s">
        <v>39</v>
      </c>
      <c r="Q148" s="6"/>
      <c r="R148" s="6"/>
      <c r="S148" s="7"/>
      <c r="T148" s="7"/>
      <c r="U148" s="7"/>
      <c r="W148" s="7"/>
      <c r="Z148" s="22"/>
      <c r="AA148" s="22"/>
    </row>
    <row r="149" spans="1:27" outlineLevel="1">
      <c r="A149" s="30">
        <v>364</v>
      </c>
      <c r="B149" s="39" t="s">
        <v>49</v>
      </c>
      <c r="C149" s="5">
        <v>-564166.5596102532</v>
      </c>
      <c r="D149" s="6">
        <f t="shared" ca="1" si="34"/>
        <v>-568463.39</v>
      </c>
      <c r="E149" s="6">
        <v>-568463.39</v>
      </c>
      <c r="F149" s="6"/>
      <c r="G149" s="7">
        <v>4296.8303897467813</v>
      </c>
      <c r="H149" s="7"/>
      <c r="I149" s="7"/>
      <c r="J149" s="7"/>
      <c r="K149" s="6">
        <f t="shared" ca="1" si="45"/>
        <v>0</v>
      </c>
      <c r="L149" s="7">
        <f t="shared" ca="1" si="46"/>
        <v>-564166.5596102532</v>
      </c>
      <c r="N149" s="6" t="s">
        <v>35</v>
      </c>
      <c r="O149" s="6" t="s">
        <v>29</v>
      </c>
      <c r="P149" s="6" t="s">
        <v>39</v>
      </c>
      <c r="Q149" s="6"/>
      <c r="R149" s="6"/>
      <c r="S149" s="7"/>
      <c r="T149" s="7"/>
      <c r="U149" s="7"/>
      <c r="W149" s="7"/>
      <c r="Z149" s="22"/>
      <c r="AA149" s="22"/>
    </row>
    <row r="150" spans="1:27" hidden="1" outlineLevel="1">
      <c r="A150" s="31" t="s">
        <v>32</v>
      </c>
      <c r="B150" s="32" t="s">
        <v>32</v>
      </c>
      <c r="C150" s="5">
        <v>0</v>
      </c>
      <c r="D150" s="6">
        <f t="shared" ca="1" si="34"/>
        <v>0</v>
      </c>
      <c r="E150" s="6"/>
      <c r="F150" s="6"/>
      <c r="G150" s="7"/>
      <c r="H150" s="7"/>
      <c r="I150" s="7"/>
      <c r="J150" s="7"/>
      <c r="K150" s="6">
        <f t="shared" ca="1" si="45"/>
        <v>0</v>
      </c>
      <c r="L150" s="7">
        <f t="shared" ca="1" si="46"/>
        <v>0</v>
      </c>
      <c r="N150" s="6"/>
      <c r="O150" s="6"/>
      <c r="P150" s="6"/>
      <c r="Q150" s="7"/>
      <c r="R150" s="7"/>
      <c r="S150" s="7"/>
      <c r="T150" s="7"/>
      <c r="U150" s="7"/>
      <c r="W150" s="7"/>
      <c r="Z150" s="22"/>
      <c r="AA150" s="22"/>
    </row>
    <row r="151" spans="1:27" hidden="1" outlineLevel="1">
      <c r="A151" s="31" t="s">
        <v>32</v>
      </c>
      <c r="B151" s="32" t="s">
        <v>32</v>
      </c>
      <c r="C151" s="5">
        <v>0</v>
      </c>
      <c r="D151" s="6">
        <f ca="1">E151+F151</f>
        <v>0</v>
      </c>
      <c r="E151" s="6"/>
      <c r="F151" s="6"/>
      <c r="G151" s="7"/>
      <c r="H151" s="7"/>
      <c r="I151" s="7"/>
      <c r="J151" s="7"/>
      <c r="K151" s="6">
        <f t="shared" ca="1" si="45"/>
        <v>0</v>
      </c>
      <c r="L151" s="7">
        <f t="shared" ca="1" si="46"/>
        <v>0</v>
      </c>
      <c r="N151" s="6"/>
      <c r="O151" s="6"/>
      <c r="P151" s="6"/>
      <c r="Q151" s="7"/>
      <c r="R151" s="7"/>
      <c r="S151" s="7"/>
      <c r="T151" s="7"/>
      <c r="U151" s="7"/>
      <c r="W151" s="7"/>
      <c r="Z151" s="22"/>
      <c r="AA151" s="22"/>
    </row>
    <row r="152" spans="1:27" s="8" customFormat="1" outlineLevel="1">
      <c r="A152" s="23"/>
      <c r="B152" s="8" t="s">
        <v>22</v>
      </c>
      <c r="C152" s="8">
        <f ca="1">SUM(C145:C151)</f>
        <v>-4868079.7091420889</v>
      </c>
      <c r="D152" s="8">
        <f t="shared" ref="D152:L152" ca="1" si="47">SUM(D145:D151)</f>
        <v>-4892935.02999999</v>
      </c>
      <c r="E152" s="8">
        <f t="shared" ca="1" si="47"/>
        <v>-4892935.02999999</v>
      </c>
      <c r="F152" s="8">
        <f t="shared" ca="1" si="47"/>
        <v>0</v>
      </c>
      <c r="G152" s="8">
        <f t="shared" ca="1" si="47"/>
        <v>24855.320857901159</v>
      </c>
      <c r="H152" s="8">
        <f t="shared" ca="1" si="47"/>
        <v>0</v>
      </c>
      <c r="I152" s="8">
        <f t="shared" ca="1" si="47"/>
        <v>0</v>
      </c>
      <c r="J152" s="8">
        <f t="shared" ca="1" si="47"/>
        <v>0</v>
      </c>
      <c r="K152" s="8">
        <f t="shared" ca="1" si="47"/>
        <v>0</v>
      </c>
      <c r="L152" s="8">
        <f t="shared" ca="1" si="47"/>
        <v>-4868079.7091420889</v>
      </c>
      <c r="M152" s="4"/>
      <c r="V152" s="4"/>
      <c r="Z152" s="22"/>
      <c r="AA152" s="22"/>
    </row>
    <row r="153" spans="1:27" s="8" customFormat="1" outlineLevel="1">
      <c r="A153" s="23"/>
      <c r="M153" s="4"/>
      <c r="V153" s="4"/>
      <c r="Z153" s="22"/>
      <c r="AA153" s="22"/>
    </row>
    <row r="154" spans="1:27" hidden="1" outlineLevel="1">
      <c r="A154" s="23"/>
      <c r="B154" s="1" t="s">
        <v>50</v>
      </c>
      <c r="Z154" s="22"/>
      <c r="AA154" s="22"/>
    </row>
    <row r="155" spans="1:27" hidden="1" outlineLevel="1">
      <c r="A155" s="30">
        <v>365</v>
      </c>
      <c r="B155" s="6" t="s">
        <v>24</v>
      </c>
      <c r="C155" s="5">
        <v>0</v>
      </c>
      <c r="D155" s="6">
        <f t="shared" ref="D155:D162" ca="1" si="48">E155+F155</f>
        <v>0</v>
      </c>
      <c r="E155" s="6">
        <v>0</v>
      </c>
      <c r="F155" s="6"/>
      <c r="G155" s="6"/>
      <c r="H155" s="6"/>
      <c r="I155" s="6"/>
      <c r="J155" s="6"/>
      <c r="K155" s="6">
        <f t="shared" ref="K155:K162" ca="1" si="49">+I155+J155</f>
        <v>0</v>
      </c>
      <c r="L155" s="7">
        <f t="shared" ref="L155:L162" ca="1" si="50">D155+G155+H155+K155</f>
        <v>0</v>
      </c>
      <c r="N155" s="6"/>
      <c r="O155" s="6"/>
      <c r="P155" s="6"/>
      <c r="Q155" s="6"/>
      <c r="R155" s="6"/>
      <c r="S155" s="7"/>
      <c r="T155" s="7"/>
      <c r="U155" s="7"/>
      <c r="W155" s="7"/>
      <c r="Z155" s="22"/>
      <c r="AA155" s="22"/>
    </row>
    <row r="156" spans="1:27" hidden="1" outlineLevel="1">
      <c r="A156" s="30">
        <v>366</v>
      </c>
      <c r="B156" s="6" t="s">
        <v>26</v>
      </c>
      <c r="C156" s="5">
        <v>0</v>
      </c>
      <c r="D156" s="6">
        <f t="shared" ca="1" si="48"/>
        <v>0</v>
      </c>
      <c r="E156" s="6">
        <v>0</v>
      </c>
      <c r="F156" s="6"/>
      <c r="G156" s="7"/>
      <c r="H156" s="7"/>
      <c r="I156" s="7"/>
      <c r="J156" s="7"/>
      <c r="K156" s="6">
        <f t="shared" ca="1" si="49"/>
        <v>0</v>
      </c>
      <c r="L156" s="7">
        <f t="shared" ca="1" si="50"/>
        <v>0</v>
      </c>
      <c r="N156" s="6"/>
      <c r="O156" s="6"/>
      <c r="P156" s="6"/>
      <c r="Q156" s="6"/>
      <c r="R156" s="6"/>
      <c r="S156" s="7"/>
      <c r="T156" s="7"/>
      <c r="U156" s="7"/>
      <c r="W156" s="7"/>
      <c r="Z156" s="22"/>
      <c r="AA156" s="22"/>
    </row>
    <row r="157" spans="1:27" hidden="1" outlineLevel="1">
      <c r="A157" s="30">
        <v>367</v>
      </c>
      <c r="B157" s="6" t="s">
        <v>51</v>
      </c>
      <c r="C157" s="5">
        <v>0</v>
      </c>
      <c r="D157" s="6">
        <f t="shared" ca="1" si="48"/>
        <v>0</v>
      </c>
      <c r="E157" s="6">
        <v>0</v>
      </c>
      <c r="F157" s="6"/>
      <c r="G157" s="7"/>
      <c r="H157" s="7"/>
      <c r="I157" s="7"/>
      <c r="J157" s="7"/>
      <c r="K157" s="6">
        <f t="shared" ca="1" si="49"/>
        <v>0</v>
      </c>
      <c r="L157" s="7">
        <f t="shared" ca="1" si="50"/>
        <v>0</v>
      </c>
      <c r="N157" s="6"/>
      <c r="O157" s="6"/>
      <c r="P157" s="6"/>
      <c r="Q157" s="6"/>
      <c r="R157" s="6"/>
      <c r="S157" s="7"/>
      <c r="T157" s="7"/>
      <c r="U157" s="7"/>
      <c r="W157" s="7"/>
      <c r="Z157" s="22"/>
      <c r="AA157" s="22"/>
    </row>
    <row r="158" spans="1:27" hidden="1" outlineLevel="1">
      <c r="A158" s="30">
        <v>369</v>
      </c>
      <c r="B158" s="6" t="s">
        <v>52</v>
      </c>
      <c r="C158" s="5">
        <v>0</v>
      </c>
      <c r="D158" s="6">
        <f t="shared" ca="1" si="48"/>
        <v>0</v>
      </c>
      <c r="E158" s="6">
        <v>0</v>
      </c>
      <c r="F158" s="6"/>
      <c r="G158" s="7"/>
      <c r="H158" s="7"/>
      <c r="I158" s="7"/>
      <c r="J158" s="7"/>
      <c r="K158" s="6">
        <f t="shared" ca="1" si="49"/>
        <v>0</v>
      </c>
      <c r="L158" s="7">
        <f t="shared" ca="1" si="50"/>
        <v>0</v>
      </c>
      <c r="N158" s="6"/>
      <c r="O158" s="6"/>
      <c r="P158" s="6"/>
      <c r="Q158" s="6"/>
      <c r="R158" s="6"/>
      <c r="S158" s="7"/>
      <c r="T158" s="7"/>
      <c r="U158" s="7"/>
      <c r="W158" s="7"/>
      <c r="Z158" s="22"/>
      <c r="AA158" s="22"/>
    </row>
    <row r="159" spans="1:27" hidden="1" outlineLevel="1">
      <c r="A159" s="31">
        <v>372</v>
      </c>
      <c r="B159" s="32" t="s">
        <v>53</v>
      </c>
      <c r="C159" s="5">
        <v>0</v>
      </c>
      <c r="D159" s="6">
        <f t="shared" ca="1" si="48"/>
        <v>0</v>
      </c>
      <c r="E159" s="6">
        <v>0</v>
      </c>
      <c r="F159" s="7"/>
      <c r="G159" s="7"/>
      <c r="H159" s="7"/>
      <c r="I159" s="7"/>
      <c r="J159" s="7"/>
      <c r="K159" s="6">
        <f t="shared" ca="1" si="49"/>
        <v>0</v>
      </c>
      <c r="L159" s="7">
        <f t="shared" ca="1" si="50"/>
        <v>0</v>
      </c>
      <c r="N159" s="6"/>
      <c r="O159" s="6"/>
      <c r="P159" s="6"/>
      <c r="Q159" s="6"/>
      <c r="R159" s="6"/>
      <c r="S159" s="7"/>
      <c r="T159" s="7"/>
      <c r="U159" s="7"/>
      <c r="W159" s="7"/>
      <c r="Z159" s="22"/>
      <c r="AA159" s="22"/>
    </row>
    <row r="160" spans="1:27" hidden="1" outlineLevel="1">
      <c r="A160" s="31" t="s">
        <v>32</v>
      </c>
      <c r="B160" s="32" t="s">
        <v>32</v>
      </c>
      <c r="C160" s="5">
        <v>0</v>
      </c>
      <c r="D160" s="6">
        <f t="shared" ca="1" si="48"/>
        <v>0</v>
      </c>
      <c r="E160" s="7"/>
      <c r="F160" s="7"/>
      <c r="G160" s="7"/>
      <c r="H160" s="7"/>
      <c r="I160" s="7"/>
      <c r="J160" s="7"/>
      <c r="K160" s="6">
        <f t="shared" ca="1" si="49"/>
        <v>0</v>
      </c>
      <c r="L160" s="7">
        <f t="shared" ca="1" si="50"/>
        <v>0</v>
      </c>
      <c r="N160" s="6"/>
      <c r="O160" s="6"/>
      <c r="P160" s="6"/>
      <c r="Q160" s="6"/>
      <c r="R160" s="6"/>
      <c r="S160" s="7"/>
      <c r="T160" s="7"/>
      <c r="U160" s="7"/>
      <c r="W160" s="7"/>
      <c r="Z160" s="22"/>
      <c r="AA160" s="22"/>
    </row>
    <row r="161" spans="1:33" hidden="1" outlineLevel="1">
      <c r="A161" s="31" t="s">
        <v>32</v>
      </c>
      <c r="B161" s="32" t="s">
        <v>32</v>
      </c>
      <c r="C161" s="5">
        <v>0</v>
      </c>
      <c r="D161" s="6">
        <f t="shared" ca="1" si="48"/>
        <v>0</v>
      </c>
      <c r="E161" s="7"/>
      <c r="F161" s="7"/>
      <c r="G161" s="7"/>
      <c r="H161" s="7"/>
      <c r="I161" s="7"/>
      <c r="J161" s="7"/>
      <c r="K161" s="6">
        <f t="shared" ca="1" si="49"/>
        <v>0</v>
      </c>
      <c r="L161" s="7">
        <f t="shared" ca="1" si="50"/>
        <v>0</v>
      </c>
      <c r="N161" s="6"/>
      <c r="O161" s="6"/>
      <c r="P161" s="6"/>
      <c r="Q161" s="6"/>
      <c r="R161" s="6"/>
      <c r="S161" s="7"/>
      <c r="T161" s="7"/>
      <c r="U161" s="7"/>
      <c r="W161" s="7"/>
      <c r="Z161" s="22"/>
      <c r="AA161" s="22"/>
    </row>
    <row r="162" spans="1:33" hidden="1" outlineLevel="1">
      <c r="A162" s="31" t="s">
        <v>32</v>
      </c>
      <c r="B162" s="32" t="s">
        <v>32</v>
      </c>
      <c r="C162" s="5">
        <v>0</v>
      </c>
      <c r="D162" s="6">
        <f t="shared" ca="1" si="48"/>
        <v>0</v>
      </c>
      <c r="E162" s="7"/>
      <c r="F162" s="7"/>
      <c r="G162" s="7"/>
      <c r="H162" s="7"/>
      <c r="I162" s="7"/>
      <c r="J162" s="7"/>
      <c r="K162" s="6">
        <f t="shared" ca="1" si="49"/>
        <v>0</v>
      </c>
      <c r="L162" s="7">
        <f t="shared" ca="1" si="50"/>
        <v>0</v>
      </c>
      <c r="N162" s="6"/>
      <c r="O162" s="6"/>
      <c r="P162" s="6"/>
      <c r="Q162" s="6"/>
      <c r="R162" s="6"/>
      <c r="S162" s="7"/>
      <c r="T162" s="7"/>
      <c r="U162" s="7"/>
      <c r="W162" s="7"/>
      <c r="Z162" s="22"/>
      <c r="AA162" s="22"/>
    </row>
    <row r="163" spans="1:33" s="8" customFormat="1" hidden="1" outlineLevel="1">
      <c r="A163" s="23"/>
      <c r="B163" s="8" t="s">
        <v>22</v>
      </c>
      <c r="C163" s="8">
        <f t="shared" ref="C163:L163" ca="1" si="51">SUM(C155:C162)</f>
        <v>0</v>
      </c>
      <c r="D163" s="8">
        <f t="shared" ca="1" si="51"/>
        <v>0</v>
      </c>
      <c r="E163" s="8">
        <f t="shared" ca="1" si="51"/>
        <v>0</v>
      </c>
      <c r="F163" s="8">
        <f t="shared" ca="1" si="51"/>
        <v>0</v>
      </c>
      <c r="G163" s="8">
        <f t="shared" ca="1" si="51"/>
        <v>0</v>
      </c>
      <c r="H163" s="8">
        <f t="shared" ca="1" si="51"/>
        <v>0</v>
      </c>
      <c r="I163" s="8">
        <f t="shared" ca="1" si="51"/>
        <v>0</v>
      </c>
      <c r="J163" s="8">
        <f t="shared" ca="1" si="51"/>
        <v>0</v>
      </c>
      <c r="K163" s="8">
        <f t="shared" ca="1" si="51"/>
        <v>0</v>
      </c>
      <c r="L163" s="8">
        <f t="shared" ca="1" si="51"/>
        <v>0</v>
      </c>
      <c r="M163" s="4"/>
      <c r="V163" s="4"/>
      <c r="Z163" s="22"/>
      <c r="AA163" s="22"/>
    </row>
    <row r="164" spans="1:33" hidden="1" outlineLevel="1">
      <c r="A164" s="23"/>
      <c r="Z164" s="22"/>
      <c r="AA164" s="22"/>
    </row>
    <row r="165" spans="1:33" outlineLevel="1">
      <c r="A165" s="23"/>
      <c r="B165" s="1" t="s">
        <v>54</v>
      </c>
      <c r="P165" s="38"/>
      <c r="Z165" s="22"/>
      <c r="AA165" s="22"/>
      <c r="AF165" s="4" t="s">
        <v>94</v>
      </c>
      <c r="AG165" s="40">
        <v>0.33</v>
      </c>
    </row>
    <row r="166" spans="1:33" outlineLevel="1">
      <c r="A166" s="30">
        <v>373</v>
      </c>
      <c r="B166" s="6" t="s">
        <v>53</v>
      </c>
      <c r="C166" s="5">
        <v>0</v>
      </c>
      <c r="D166" s="6">
        <f t="shared" ref="D166:D185" ca="1" si="52">E166+F166</f>
        <v>0</v>
      </c>
      <c r="E166" s="6">
        <v>0</v>
      </c>
      <c r="F166" s="6"/>
      <c r="G166" s="6"/>
      <c r="H166" s="6"/>
      <c r="I166" s="6"/>
      <c r="J166" s="6"/>
      <c r="K166" s="6">
        <f t="shared" ref="K166:K185" ca="1" si="53">+I166+J166</f>
        <v>0</v>
      </c>
      <c r="L166" s="7">
        <f t="shared" ref="L166:L185" ca="1" si="54">D166+G166+H166+K166</f>
        <v>0</v>
      </c>
      <c r="N166" s="6"/>
      <c r="O166" s="6"/>
      <c r="P166" s="6"/>
      <c r="Q166" s="6"/>
      <c r="R166" s="7"/>
      <c r="S166" s="7"/>
      <c r="T166" s="7"/>
      <c r="U166" s="7"/>
      <c r="W166" s="7" t="s">
        <v>55</v>
      </c>
      <c r="Z166" s="22"/>
      <c r="AA166" s="22"/>
      <c r="AG166" s="40">
        <f ca="1">1-AG165</f>
        <v>0.66999999999999993</v>
      </c>
    </row>
    <row r="167" spans="1:33" outlineLevel="1">
      <c r="A167" s="30">
        <v>374</v>
      </c>
      <c r="B167" s="6" t="s">
        <v>24</v>
      </c>
      <c r="C167" s="5">
        <v>-1731701.479793004</v>
      </c>
      <c r="D167" s="6">
        <f t="shared" ca="1" si="52"/>
        <v>-1756488.94583333</v>
      </c>
      <c r="E167" s="6">
        <v>-1756488.94583333</v>
      </c>
      <c r="F167" s="6"/>
      <c r="G167" s="7">
        <v>24787.466040326115</v>
      </c>
      <c r="H167" s="7"/>
      <c r="I167" s="7"/>
      <c r="J167" s="7"/>
      <c r="K167" s="6">
        <f t="shared" ca="1" si="53"/>
        <v>0</v>
      </c>
      <c r="L167" s="7">
        <f t="shared" ca="1" si="54"/>
        <v>-1731701.479793004</v>
      </c>
      <c r="N167" s="6"/>
      <c r="O167" s="6"/>
      <c r="P167" s="6"/>
      <c r="Q167" s="6"/>
      <c r="R167" s="7"/>
      <c r="S167" s="7"/>
      <c r="T167" s="7"/>
      <c r="U167" s="7"/>
      <c r="W167" s="7" t="s">
        <v>55</v>
      </c>
      <c r="Z167" s="22"/>
      <c r="AA167" s="22"/>
    </row>
    <row r="168" spans="1:33" outlineLevel="1">
      <c r="A168" s="30">
        <v>375</v>
      </c>
      <c r="B168" s="6" t="s">
        <v>26</v>
      </c>
      <c r="C168" s="5">
        <v>-4631086.4437452098</v>
      </c>
      <c r="D168" s="6">
        <f t="shared" ca="1" si="52"/>
        <v>-4582698.7533333302</v>
      </c>
      <c r="E168" s="6">
        <v>-4582698.7533333302</v>
      </c>
      <c r="F168" s="6"/>
      <c r="G168" s="7">
        <v>-48387.690411879972</v>
      </c>
      <c r="H168" s="7"/>
      <c r="I168" s="7"/>
      <c r="J168" s="7"/>
      <c r="K168" s="6">
        <f t="shared" ca="1" si="53"/>
        <v>0</v>
      </c>
      <c r="L168" s="7">
        <f t="shared" ca="1" si="54"/>
        <v>-4631086.4437452098</v>
      </c>
      <c r="N168" s="6"/>
      <c r="O168" s="6"/>
      <c r="P168" s="6"/>
      <c r="Q168" s="6"/>
      <c r="R168" s="6"/>
      <c r="S168" s="7"/>
      <c r="T168" s="7"/>
      <c r="U168" s="7"/>
      <c r="W168" s="7" t="s">
        <v>55</v>
      </c>
      <c r="Z168" s="22"/>
      <c r="AA168" s="22"/>
    </row>
    <row r="169" spans="1:33" outlineLevel="1">
      <c r="A169" s="30">
        <v>376</v>
      </c>
      <c r="B169" s="6" t="s">
        <v>51</v>
      </c>
      <c r="C169" s="5">
        <v>-202148763.67512873</v>
      </c>
      <c r="D169" s="6">
        <f t="shared" ca="1" si="52"/>
        <v>-201519052.13371241</v>
      </c>
      <c r="E169" s="6">
        <f ca="1">-610663794.344583*Load_Factor</f>
        <v>-201519052.13371241</v>
      </c>
      <c r="F169" s="6"/>
      <c r="G169" s="7">
        <f ca="1">(4547138.2078293-6455355)*Load_Factor</f>
        <v>-629711.54141633096</v>
      </c>
      <c r="H169" s="7"/>
      <c r="I169" s="7"/>
      <c r="J169" s="7"/>
      <c r="K169" s="6">
        <f t="shared" ca="1" si="53"/>
        <v>0</v>
      </c>
      <c r="L169" s="7">
        <f t="shared" ca="1" si="54"/>
        <v>-202148763.67512873</v>
      </c>
      <c r="N169" s="6" t="s">
        <v>56</v>
      </c>
      <c r="O169" s="6" t="s">
        <v>36</v>
      </c>
      <c r="P169" s="7"/>
      <c r="Q169" s="7" t="s">
        <v>57</v>
      </c>
      <c r="R169" s="6"/>
      <c r="S169" s="7"/>
      <c r="T169" s="7"/>
      <c r="U169" s="7"/>
      <c r="W169" s="7"/>
      <c r="Z169" s="22"/>
      <c r="AA169" s="22"/>
    </row>
    <row r="170" spans="1:33" outlineLevel="1">
      <c r="A170" s="30">
        <v>376</v>
      </c>
      <c r="B170" s="6" t="s">
        <v>58</v>
      </c>
      <c r="C170" s="5">
        <v>-410581191.46162498</v>
      </c>
      <c r="D170" s="6">
        <f ca="1">E170+F170</f>
        <v>-409144742.21087062</v>
      </c>
      <c r="E170" s="6">
        <f ca="1">-610663794.344583-E169</f>
        <v>-409144742.21087062</v>
      </c>
      <c r="F170" s="6"/>
      <c r="G170" s="7">
        <f ca="1">(4547138.2078293-6613299)-G169</f>
        <v>-1436449.2507543687</v>
      </c>
      <c r="H170" s="7"/>
      <c r="I170" s="7"/>
      <c r="J170" s="7"/>
      <c r="K170" s="6">
        <f t="shared" ca="1" si="53"/>
        <v>0</v>
      </c>
      <c r="L170" s="7">
        <f t="shared" ca="1" si="54"/>
        <v>-410581191.46162498</v>
      </c>
      <c r="N170" s="6" t="s">
        <v>56</v>
      </c>
      <c r="O170" s="6" t="s">
        <v>29</v>
      </c>
      <c r="P170" s="6" t="s">
        <v>59</v>
      </c>
      <c r="Q170" s="6"/>
      <c r="R170" s="6"/>
      <c r="S170" s="7"/>
      <c r="T170" s="7"/>
      <c r="U170" s="7"/>
      <c r="W170" s="7"/>
      <c r="Z170" s="22"/>
      <c r="AA170" s="22"/>
    </row>
    <row r="171" spans="1:33" outlineLevel="1">
      <c r="A171" s="30" t="s">
        <v>32</v>
      </c>
      <c r="B171" s="6" t="s">
        <v>32</v>
      </c>
      <c r="C171" s="5">
        <v>0</v>
      </c>
      <c r="D171" s="6">
        <f t="shared" ca="1" si="52"/>
        <v>0</v>
      </c>
      <c r="E171" s="6"/>
      <c r="F171" s="6"/>
      <c r="G171" s="7"/>
      <c r="H171" s="7"/>
      <c r="I171" s="7"/>
      <c r="J171" s="7"/>
      <c r="K171" s="6">
        <f t="shared" ca="1" si="53"/>
        <v>0</v>
      </c>
      <c r="L171" s="7">
        <f t="shared" ca="1" si="54"/>
        <v>0</v>
      </c>
      <c r="N171" s="6"/>
      <c r="O171" s="6"/>
      <c r="P171" s="6"/>
      <c r="Q171" s="6"/>
      <c r="R171" s="6"/>
      <c r="S171" s="7"/>
      <c r="T171" s="7"/>
      <c r="U171" s="7"/>
      <c r="W171" s="7"/>
      <c r="Z171" s="22"/>
      <c r="AA171" s="22"/>
    </row>
    <row r="172" spans="1:33" outlineLevel="1">
      <c r="A172" s="30">
        <v>378</v>
      </c>
      <c r="B172" s="6" t="s">
        <v>60</v>
      </c>
      <c r="C172" s="5">
        <v>-11304682.378876787</v>
      </c>
      <c r="D172" s="6">
        <f t="shared" ca="1" si="52"/>
        <v>-11312665.76715</v>
      </c>
      <c r="E172" s="6">
        <f ca="1">-34280805.355*Load_Factor</f>
        <v>-11312665.76715</v>
      </c>
      <c r="F172" s="6"/>
      <c r="G172" s="7">
        <f ca="1">24192.0856764046*Load_Factor</f>
        <v>7983.388273213518</v>
      </c>
      <c r="H172" s="7"/>
      <c r="I172" s="7"/>
      <c r="J172" s="7"/>
      <c r="K172" s="6">
        <f t="shared" ca="1" si="53"/>
        <v>0</v>
      </c>
      <c r="L172" s="7">
        <f t="shared" ca="1" si="54"/>
        <v>-11304682.378876787</v>
      </c>
      <c r="N172" s="6" t="s">
        <v>56</v>
      </c>
      <c r="O172" s="6" t="s">
        <v>36</v>
      </c>
      <c r="P172" s="6"/>
      <c r="Q172" s="6" t="s">
        <v>37</v>
      </c>
      <c r="R172" s="6"/>
      <c r="S172" s="7"/>
      <c r="T172" s="7"/>
      <c r="U172" s="7"/>
      <c r="W172" s="7"/>
      <c r="Z172" s="22"/>
      <c r="AA172" s="22"/>
    </row>
    <row r="173" spans="1:33" outlineLevel="1">
      <c r="A173" s="30">
        <v>378</v>
      </c>
      <c r="B173" s="6" t="s">
        <v>61</v>
      </c>
      <c r="C173" s="5">
        <v>-22951930.890446804</v>
      </c>
      <c r="D173" s="6">
        <f t="shared" ca="1" si="52"/>
        <v>-22968139.587849997</v>
      </c>
      <c r="E173" s="6">
        <f ca="1">-34280805.355-E172</f>
        <v>-22968139.587849997</v>
      </c>
      <c r="F173" s="6"/>
      <c r="G173" s="7">
        <f ca="1">24192.0856764046-G172</f>
        <v>16208.697403191083</v>
      </c>
      <c r="H173" s="7"/>
      <c r="I173" s="7"/>
      <c r="J173" s="7"/>
      <c r="K173" s="6">
        <f t="shared" ca="1" si="53"/>
        <v>0</v>
      </c>
      <c r="L173" s="7">
        <f t="shared" ca="1" si="54"/>
        <v>-22951930.890446804</v>
      </c>
      <c r="N173" s="6" t="s">
        <v>56</v>
      </c>
      <c r="O173" s="6" t="s">
        <v>29</v>
      </c>
      <c r="P173" s="6" t="s">
        <v>59</v>
      </c>
      <c r="Q173" s="6"/>
      <c r="R173" s="6"/>
      <c r="S173" s="7"/>
      <c r="T173" s="7"/>
      <c r="U173" s="7"/>
      <c r="W173" s="7"/>
      <c r="Z173" s="22"/>
      <c r="AA173" s="22"/>
    </row>
    <row r="174" spans="1:33" outlineLevel="1">
      <c r="A174" s="30">
        <v>380</v>
      </c>
      <c r="B174" s="6" t="s">
        <v>62</v>
      </c>
      <c r="C174" s="5">
        <v>-470420792.85536402</v>
      </c>
      <c r="D174" s="6">
        <f t="shared" ca="1" si="52"/>
        <v>-476188322.46877217</v>
      </c>
      <c r="E174" s="6">
        <f ca="1">-482003386.86375-E175</f>
        <v>-476188322.46877217</v>
      </c>
      <c r="F174" s="6"/>
      <c r="G174" s="7">
        <f ca="1">6502340.61340815-734811</f>
        <v>5767529.6134081502</v>
      </c>
      <c r="H174" s="7"/>
      <c r="I174" s="7"/>
      <c r="J174" s="7"/>
      <c r="K174" s="6">
        <f t="shared" ca="1" si="53"/>
        <v>0</v>
      </c>
      <c r="L174" s="7">
        <f t="shared" ca="1" si="54"/>
        <v>-470420792.85536402</v>
      </c>
      <c r="N174" s="6" t="s">
        <v>56</v>
      </c>
      <c r="O174" s="6" t="s">
        <v>63</v>
      </c>
      <c r="P174" s="6"/>
      <c r="Q174" s="6"/>
      <c r="R174" s="6" t="s">
        <v>64</v>
      </c>
      <c r="S174" s="7"/>
      <c r="T174" s="7"/>
      <c r="U174" s="7"/>
      <c r="W174" s="7"/>
      <c r="Z174" s="22"/>
      <c r="AA174" s="22"/>
    </row>
    <row r="175" spans="1:33" outlineLevel="1">
      <c r="A175" s="30">
        <v>380</v>
      </c>
      <c r="B175" s="6" t="s">
        <v>65</v>
      </c>
      <c r="C175" s="5">
        <v>-5815064.3949777894</v>
      </c>
      <c r="D175" s="6">
        <f t="shared" ca="1" si="52"/>
        <v>-5815064.3949777894</v>
      </c>
      <c r="E175" s="6">
        <v>-5815064.3949777894</v>
      </c>
      <c r="F175" s="6"/>
      <c r="G175" s="7"/>
      <c r="H175" s="7"/>
      <c r="I175" s="7"/>
      <c r="J175" s="7"/>
      <c r="K175" s="6">
        <f t="shared" ca="1" si="53"/>
        <v>0</v>
      </c>
      <c r="L175" s="7">
        <f t="shared" ca="1" si="54"/>
        <v>-5815064.3949777894</v>
      </c>
      <c r="N175" s="6" t="s">
        <v>56</v>
      </c>
      <c r="O175" s="6" t="s">
        <v>63</v>
      </c>
      <c r="P175" s="6"/>
      <c r="Q175" s="6"/>
      <c r="R175" s="6" t="s">
        <v>66</v>
      </c>
      <c r="S175" s="7"/>
      <c r="T175" s="7"/>
      <c r="U175" s="7"/>
      <c r="W175" s="7"/>
      <c r="Z175" s="22"/>
      <c r="AA175" s="22"/>
    </row>
    <row r="176" spans="1:33" outlineLevel="1">
      <c r="A176" s="30">
        <v>381</v>
      </c>
      <c r="B176" s="6" t="s">
        <v>67</v>
      </c>
      <c r="C176" s="5">
        <v>-20593119.422262564</v>
      </c>
      <c r="D176" s="6">
        <f t="shared" ca="1" si="52"/>
        <v>-20092534.860833298</v>
      </c>
      <c r="E176" s="6">
        <v>-20092534.860833298</v>
      </c>
      <c r="F176" s="6"/>
      <c r="G176" s="7">
        <v>-500584.56142926484</v>
      </c>
      <c r="H176" s="7"/>
      <c r="I176" s="7"/>
      <c r="J176" s="7"/>
      <c r="K176" s="6">
        <f t="shared" ca="1" si="53"/>
        <v>0</v>
      </c>
      <c r="L176" s="7">
        <f t="shared" ca="1" si="54"/>
        <v>-20593119.422262564</v>
      </c>
      <c r="N176" s="6" t="s">
        <v>56</v>
      </c>
      <c r="O176" s="6" t="s">
        <v>63</v>
      </c>
      <c r="P176" s="6"/>
      <c r="Q176" s="6"/>
      <c r="R176" s="6" t="s">
        <v>68</v>
      </c>
      <c r="S176" s="7"/>
      <c r="T176" s="7"/>
      <c r="U176" s="7"/>
      <c r="W176" s="7"/>
      <c r="Z176" s="22"/>
      <c r="AA176" s="22"/>
    </row>
    <row r="177" spans="1:31" outlineLevel="1">
      <c r="A177" s="30">
        <v>382</v>
      </c>
      <c r="B177" s="6" t="s">
        <v>69</v>
      </c>
      <c r="C177" s="5">
        <v>-43947907.960761614</v>
      </c>
      <c r="D177" s="6">
        <f t="shared" ca="1" si="52"/>
        <v>-44063662.426666602</v>
      </c>
      <c r="E177" s="6">
        <v>-44063662.426666602</v>
      </c>
      <c r="F177" s="6"/>
      <c r="G177" s="7">
        <v>115754.46590498486</v>
      </c>
      <c r="H177" s="7"/>
      <c r="I177" s="7"/>
      <c r="J177" s="7"/>
      <c r="K177" s="6">
        <f t="shared" ca="1" si="53"/>
        <v>0</v>
      </c>
      <c r="L177" s="7">
        <f t="shared" ca="1" si="54"/>
        <v>-43947907.960761614</v>
      </c>
      <c r="N177" s="6" t="s">
        <v>56</v>
      </c>
      <c r="O177" s="6" t="s">
        <v>63</v>
      </c>
      <c r="P177" s="6"/>
      <c r="Q177" s="6"/>
      <c r="R177" s="6" t="s">
        <v>70</v>
      </c>
      <c r="S177" s="7"/>
      <c r="T177" s="7"/>
      <c r="U177" s="7"/>
      <c r="W177" s="7"/>
      <c r="Z177" s="22"/>
      <c r="AA177" s="22"/>
    </row>
    <row r="178" spans="1:31" outlineLevel="1">
      <c r="A178" s="30">
        <v>383</v>
      </c>
      <c r="B178" s="6" t="s">
        <v>71</v>
      </c>
      <c r="C178" s="5">
        <v>-7374521.2509916918</v>
      </c>
      <c r="D178" s="6">
        <f t="shared" ca="1" si="52"/>
        <v>-7454076.5020833304</v>
      </c>
      <c r="E178" s="6">
        <v>-7454076.5020833304</v>
      </c>
      <c r="F178" s="6"/>
      <c r="G178" s="7">
        <v>79555.251091638202</v>
      </c>
      <c r="H178" s="7"/>
      <c r="I178" s="7"/>
      <c r="J178" s="7"/>
      <c r="K178" s="6">
        <f t="shared" ca="1" si="53"/>
        <v>0</v>
      </c>
      <c r="L178" s="7">
        <f t="shared" ca="1" si="54"/>
        <v>-7374521.2509916918</v>
      </c>
      <c r="N178" s="6" t="s">
        <v>56</v>
      </c>
      <c r="O178" s="6" t="s">
        <v>63</v>
      </c>
      <c r="P178" s="6"/>
      <c r="Q178" s="6"/>
      <c r="R178" s="6" t="s">
        <v>68</v>
      </c>
      <c r="S178" s="7"/>
      <c r="T178" s="7"/>
      <c r="U178" s="7"/>
      <c r="W178" s="7"/>
      <c r="Z178" s="22"/>
      <c r="AA178" s="22"/>
    </row>
    <row r="179" spans="1:31" outlineLevel="1">
      <c r="A179" s="30">
        <v>384</v>
      </c>
      <c r="B179" s="6" t="s">
        <v>72</v>
      </c>
      <c r="C179" s="5">
        <v>-24349667.315299448</v>
      </c>
      <c r="D179" s="6">
        <f t="shared" ca="1" si="52"/>
        <v>-24618541.702500001</v>
      </c>
      <c r="E179" s="6">
        <v>-24618541.702500001</v>
      </c>
      <c r="F179" s="6"/>
      <c r="G179" s="7">
        <v>268874.38720055472</v>
      </c>
      <c r="H179" s="7"/>
      <c r="I179" s="7"/>
      <c r="J179" s="7"/>
      <c r="K179" s="6">
        <f t="shared" ca="1" si="53"/>
        <v>0</v>
      </c>
      <c r="L179" s="7">
        <f t="shared" ca="1" si="54"/>
        <v>-24349667.315299448</v>
      </c>
      <c r="N179" s="6" t="s">
        <v>56</v>
      </c>
      <c r="O179" s="6" t="s">
        <v>63</v>
      </c>
      <c r="P179" s="6"/>
      <c r="Q179" s="6"/>
      <c r="R179" s="6" t="s">
        <v>68</v>
      </c>
      <c r="S179" s="7"/>
      <c r="T179" s="7"/>
      <c r="U179" s="7"/>
      <c r="W179" s="7"/>
      <c r="Z179" s="22"/>
      <c r="AA179" s="22"/>
    </row>
    <row r="180" spans="1:31" outlineLevel="1">
      <c r="A180" s="30">
        <v>385</v>
      </c>
      <c r="B180" s="6" t="s">
        <v>73</v>
      </c>
      <c r="C180" s="5">
        <v>3075526.6153205615</v>
      </c>
      <c r="D180" s="6">
        <f t="shared" ca="1" si="52"/>
        <v>3624052.79166666</v>
      </c>
      <c r="E180" s="6">
        <v>3624052.79166666</v>
      </c>
      <c r="F180" s="6"/>
      <c r="G180" s="7">
        <v>-548526.17634609865</v>
      </c>
      <c r="H180" s="7"/>
      <c r="I180" s="7"/>
      <c r="J180" s="7"/>
      <c r="K180" s="6">
        <f t="shared" ca="1" si="53"/>
        <v>0</v>
      </c>
      <c r="L180" s="7">
        <f t="shared" ca="1" si="54"/>
        <v>3075526.6153205615</v>
      </c>
      <c r="N180" s="6" t="s">
        <v>56</v>
      </c>
      <c r="O180" s="6" t="s">
        <v>63</v>
      </c>
      <c r="P180" s="6"/>
      <c r="Q180" s="6"/>
      <c r="R180" s="6" t="s">
        <v>74</v>
      </c>
      <c r="S180" s="7"/>
      <c r="T180" s="7"/>
      <c r="U180" s="7"/>
      <c r="W180" s="7"/>
      <c r="Z180" s="22"/>
      <c r="AA180" s="22"/>
    </row>
    <row r="181" spans="1:31" outlineLevel="1">
      <c r="A181" s="30">
        <v>386</v>
      </c>
      <c r="B181" s="6" t="s">
        <v>75</v>
      </c>
      <c r="C181" s="5">
        <v>-23628999.440815099</v>
      </c>
      <c r="D181" s="6">
        <f t="shared" ca="1" si="52"/>
        <v>-23096807.317499999</v>
      </c>
      <c r="E181" s="6">
        <v>-23096807.317499999</v>
      </c>
      <c r="F181" s="6"/>
      <c r="G181" s="7">
        <v>-532192.12331509916</v>
      </c>
      <c r="H181" s="7"/>
      <c r="I181" s="7"/>
      <c r="J181" s="7"/>
      <c r="K181" s="6">
        <f t="shared" ca="1" si="53"/>
        <v>0</v>
      </c>
      <c r="L181" s="7">
        <f t="shared" ca="1" si="54"/>
        <v>-23628999.440815099</v>
      </c>
      <c r="N181" s="6" t="s">
        <v>56</v>
      </c>
      <c r="O181" s="6" t="s">
        <v>63</v>
      </c>
      <c r="P181" s="6"/>
      <c r="Q181" s="6"/>
      <c r="R181" s="6" t="s">
        <v>76</v>
      </c>
      <c r="S181" s="7"/>
      <c r="T181" s="7"/>
      <c r="U181" s="7"/>
      <c r="W181" s="7"/>
      <c r="Z181" s="22"/>
      <c r="AA181" s="22"/>
    </row>
    <row r="182" spans="1:31" outlineLevel="1">
      <c r="A182" s="30">
        <v>387</v>
      </c>
      <c r="B182" s="6" t="s">
        <v>31</v>
      </c>
      <c r="C182" s="5">
        <v>-460479.90682129154</v>
      </c>
      <c r="D182" s="6">
        <f t="shared" ca="1" si="52"/>
        <v>-185205.07666666599</v>
      </c>
      <c r="E182" s="6">
        <v>-185205.07666666599</v>
      </c>
      <c r="F182" s="7"/>
      <c r="G182" s="7">
        <v>-275274.83015462558</v>
      </c>
      <c r="H182" s="7"/>
      <c r="I182" s="7"/>
      <c r="J182" s="7"/>
      <c r="K182" s="6">
        <f t="shared" ca="1" si="53"/>
        <v>0</v>
      </c>
      <c r="L182" s="7">
        <f t="shared" ca="1" si="54"/>
        <v>-460479.90682129154</v>
      </c>
      <c r="N182" s="6"/>
      <c r="O182" s="6"/>
      <c r="P182" s="6"/>
      <c r="Q182" s="6"/>
      <c r="R182" s="6"/>
      <c r="S182" s="7"/>
      <c r="T182" s="7"/>
      <c r="U182" s="7"/>
      <c r="W182" s="7" t="s">
        <v>55</v>
      </c>
      <c r="Z182" s="22"/>
      <c r="AA182" s="22"/>
    </row>
    <row r="183" spans="1:31" outlineLevel="1">
      <c r="A183" s="30">
        <v>388</v>
      </c>
      <c r="B183" s="32" t="s">
        <v>77</v>
      </c>
      <c r="C183" s="5">
        <v>-518040.28249999997</v>
      </c>
      <c r="D183" s="6">
        <f t="shared" ca="1" si="52"/>
        <v>-518040.28249999997</v>
      </c>
      <c r="E183" s="7">
        <v>-518040.28249999997</v>
      </c>
      <c r="F183" s="7"/>
      <c r="G183" s="7">
        <v>0</v>
      </c>
      <c r="H183" s="7"/>
      <c r="I183" s="7"/>
      <c r="J183" s="7"/>
      <c r="K183" s="6">
        <f t="shared" ca="1" si="53"/>
        <v>0</v>
      </c>
      <c r="L183" s="7">
        <f t="shared" ca="1" si="54"/>
        <v>-518040.28249999997</v>
      </c>
      <c r="N183" s="6"/>
      <c r="O183" s="6"/>
      <c r="P183" s="6"/>
      <c r="Q183" s="6"/>
      <c r="R183" s="6"/>
      <c r="S183" s="7"/>
      <c r="T183" s="7"/>
      <c r="U183" s="7"/>
      <c r="W183" s="7" t="s">
        <v>55</v>
      </c>
      <c r="Z183" s="22"/>
      <c r="AA183" s="22"/>
    </row>
    <row r="184" spans="1:31" hidden="1" outlineLevel="1">
      <c r="A184" s="31" t="s">
        <v>32</v>
      </c>
      <c r="B184" s="32" t="s">
        <v>32</v>
      </c>
      <c r="C184" s="5">
        <v>0</v>
      </c>
      <c r="D184" s="6">
        <f t="shared" ca="1" si="52"/>
        <v>0</v>
      </c>
      <c r="E184" s="7"/>
      <c r="F184" s="7"/>
      <c r="G184" s="7"/>
      <c r="H184" s="7"/>
      <c r="I184" s="7"/>
      <c r="J184" s="7"/>
      <c r="K184" s="6">
        <f t="shared" ca="1" si="53"/>
        <v>0</v>
      </c>
      <c r="L184" s="7">
        <f t="shared" ca="1" si="54"/>
        <v>0</v>
      </c>
      <c r="N184" s="6"/>
      <c r="O184" s="6"/>
      <c r="P184" s="6"/>
      <c r="Q184" s="6"/>
      <c r="R184" s="6"/>
      <c r="S184" s="7"/>
      <c r="T184" s="7"/>
      <c r="U184" s="7"/>
      <c r="W184" s="7"/>
      <c r="Z184" s="22"/>
      <c r="AA184" s="22"/>
    </row>
    <row r="185" spans="1:31" hidden="1" outlineLevel="1">
      <c r="A185" s="31" t="s">
        <v>32</v>
      </c>
      <c r="B185" s="32" t="s">
        <v>32</v>
      </c>
      <c r="C185" s="5">
        <v>0</v>
      </c>
      <c r="D185" s="6">
        <f t="shared" ca="1" si="52"/>
        <v>0</v>
      </c>
      <c r="E185" s="7"/>
      <c r="F185" s="7"/>
      <c r="G185" s="7"/>
      <c r="H185" s="7"/>
      <c r="I185" s="7"/>
      <c r="J185" s="7"/>
      <c r="K185" s="6">
        <f t="shared" ca="1" si="53"/>
        <v>0</v>
      </c>
      <c r="L185" s="7">
        <f t="shared" ca="1" si="54"/>
        <v>0</v>
      </c>
      <c r="N185" s="6"/>
      <c r="O185" s="6"/>
      <c r="P185" s="6"/>
      <c r="Q185" s="6"/>
      <c r="R185" s="6"/>
      <c r="S185" s="7"/>
      <c r="T185" s="7"/>
      <c r="U185" s="7"/>
      <c r="W185" s="7"/>
      <c r="Z185" s="22"/>
      <c r="AA185" s="22"/>
    </row>
    <row r="186" spans="1:31" s="8" customFormat="1" outlineLevel="1">
      <c r="A186" s="23"/>
      <c r="B186" s="8" t="s">
        <v>22</v>
      </c>
      <c r="C186" s="8">
        <f t="shared" ref="C186:L186" ca="1" si="55">SUM(C166:C185)</f>
        <v>-1247382422.5440886</v>
      </c>
      <c r="D186" s="8">
        <f t="shared" ca="1" si="55"/>
        <v>-1249691989.6395829</v>
      </c>
      <c r="E186" s="8">
        <f ca="1">SUM(E166:E185)</f>
        <v>-1249691989.6395829</v>
      </c>
      <c r="F186" s="8">
        <f t="shared" ca="1" si="55"/>
        <v>0</v>
      </c>
      <c r="G186" s="8">
        <f ca="1">SUM(G166:G185)</f>
        <v>2309567.0954943909</v>
      </c>
      <c r="H186" s="8">
        <f t="shared" ca="1" si="55"/>
        <v>0</v>
      </c>
      <c r="I186" s="8">
        <f t="shared" ca="1" si="55"/>
        <v>0</v>
      </c>
      <c r="J186" s="8">
        <f t="shared" ca="1" si="55"/>
        <v>0</v>
      </c>
      <c r="K186" s="8">
        <f t="shared" ca="1" si="55"/>
        <v>0</v>
      </c>
      <c r="L186" s="8">
        <f t="shared" ca="1" si="55"/>
        <v>-1247382422.5440886</v>
      </c>
      <c r="M186" s="4"/>
      <c r="V186" s="4"/>
      <c r="Z186" s="22"/>
      <c r="AA186" s="22"/>
      <c r="AE186" s="11"/>
    </row>
    <row r="187" spans="1:31" outlineLevel="1">
      <c r="A187" s="23"/>
      <c r="Z187" s="22"/>
      <c r="AA187" s="22"/>
      <c r="AE187" s="18"/>
    </row>
    <row r="188" spans="1:31" outlineLevel="1">
      <c r="A188" s="23"/>
      <c r="B188" s="1" t="s">
        <v>78</v>
      </c>
      <c r="P188" s="35"/>
      <c r="Z188" s="22"/>
      <c r="AA188" s="22"/>
      <c r="AE188" s="18"/>
    </row>
    <row r="189" spans="1:31" outlineLevel="1">
      <c r="A189" s="30">
        <v>389</v>
      </c>
      <c r="B189" s="6" t="s">
        <v>24</v>
      </c>
      <c r="C189" s="5">
        <v>-479700.27725329786</v>
      </c>
      <c r="D189" s="6">
        <f ca="1">E189+F189</f>
        <v>-487900.41335999902</v>
      </c>
      <c r="E189" s="6">
        <v>-487900.41335999902</v>
      </c>
      <c r="F189" s="6"/>
      <c r="G189" s="6">
        <v>8200.1361067011894</v>
      </c>
      <c r="H189" s="6"/>
      <c r="I189" s="6"/>
      <c r="J189" s="6"/>
      <c r="K189" s="6">
        <f t="shared" ref="K189:K203" ca="1" si="56">+I189+J189</f>
        <v>0</v>
      </c>
      <c r="L189" s="7">
        <f t="shared" ref="L189:L203" ca="1" si="57">D189+G189+H189+K189</f>
        <v>-479700.27725329786</v>
      </c>
      <c r="N189" s="6"/>
      <c r="O189" s="6"/>
      <c r="P189" s="6"/>
      <c r="Q189" s="6"/>
      <c r="R189" s="6"/>
      <c r="S189" s="6"/>
      <c r="T189" s="6"/>
      <c r="U189" s="7"/>
      <c r="W189" s="7" t="s">
        <v>79</v>
      </c>
      <c r="Z189" s="22"/>
      <c r="AA189" s="22"/>
      <c r="AE189" s="16"/>
    </row>
    <row r="190" spans="1:31" outlineLevel="1">
      <c r="A190" s="30">
        <v>390</v>
      </c>
      <c r="B190" s="6" t="s">
        <v>26</v>
      </c>
      <c r="C190" s="5">
        <v>-23569565.762486499</v>
      </c>
      <c r="D190" s="6">
        <f ca="1">E190+F190</f>
        <v>-24118925.762486499</v>
      </c>
      <c r="E190" s="6">
        <v>-24118925.762486499</v>
      </c>
      <c r="F190" s="6"/>
      <c r="G190" s="6">
        <f ca="1">598880-49520</f>
        <v>549360</v>
      </c>
      <c r="H190" s="7"/>
      <c r="I190" s="7"/>
      <c r="J190" s="7"/>
      <c r="K190" s="6">
        <f t="shared" ca="1" si="56"/>
        <v>0</v>
      </c>
      <c r="L190" s="7">
        <f t="shared" ca="1" si="57"/>
        <v>-23569565.762486499</v>
      </c>
      <c r="N190" s="6"/>
      <c r="O190" s="6"/>
      <c r="P190" s="6"/>
      <c r="Q190" s="6"/>
      <c r="R190" s="6"/>
      <c r="S190" s="7"/>
      <c r="T190" s="7"/>
      <c r="U190" s="7"/>
      <c r="W190" s="7" t="s">
        <v>79</v>
      </c>
      <c r="Z190" s="22"/>
      <c r="AA190" s="22"/>
      <c r="AE190" s="16"/>
    </row>
    <row r="191" spans="1:31" outlineLevel="1">
      <c r="A191" s="30">
        <v>391</v>
      </c>
      <c r="B191" s="6" t="s">
        <v>80</v>
      </c>
      <c r="C191" s="5">
        <v>-13444732.177580699</v>
      </c>
      <c r="D191" s="6">
        <f ca="1">E191+F191</f>
        <v>-13371502.811631801</v>
      </c>
      <c r="E191" s="6">
        <v>-13371502.811631801</v>
      </c>
      <c r="F191" s="6"/>
      <c r="G191" s="7">
        <v>-73229.36594889815</v>
      </c>
      <c r="H191" s="7"/>
      <c r="I191" s="7"/>
      <c r="J191" s="7"/>
      <c r="K191" s="6">
        <f t="shared" ca="1" si="56"/>
        <v>0</v>
      </c>
      <c r="L191" s="7">
        <f t="shared" ca="1" si="57"/>
        <v>-13444732.177580699</v>
      </c>
      <c r="N191" s="6"/>
      <c r="O191" s="6"/>
      <c r="P191" s="6"/>
      <c r="Q191" s="6"/>
      <c r="R191" s="6"/>
      <c r="S191" s="7"/>
      <c r="T191" s="7"/>
      <c r="U191" s="7"/>
      <c r="W191" s="7" t="s">
        <v>21</v>
      </c>
      <c r="Z191" s="22"/>
      <c r="AA191" s="22"/>
      <c r="AE191" s="16"/>
    </row>
    <row r="192" spans="1:31" outlineLevel="1">
      <c r="A192" s="30">
        <v>392</v>
      </c>
      <c r="B192" s="6" t="s">
        <v>81</v>
      </c>
      <c r="C192" s="5">
        <v>-4913854.8355075913</v>
      </c>
      <c r="D192" s="6">
        <f ca="1">E192+F192</f>
        <v>-5030032.1446599104</v>
      </c>
      <c r="E192" s="6">
        <v>-5030032.1446599104</v>
      </c>
      <c r="F192" s="6"/>
      <c r="G192" s="7">
        <v>116177.30915231886</v>
      </c>
      <c r="H192" s="7"/>
      <c r="I192" s="7"/>
      <c r="J192" s="7"/>
      <c r="K192" s="6">
        <f t="shared" ca="1" si="56"/>
        <v>0</v>
      </c>
      <c r="L192" s="7">
        <f t="shared" ca="1" si="57"/>
        <v>-4913854.8355075913</v>
      </c>
      <c r="N192" s="6"/>
      <c r="O192" s="6"/>
      <c r="P192" s="6"/>
      <c r="Q192" s="6"/>
      <c r="R192" s="6"/>
      <c r="S192" s="7"/>
      <c r="T192" s="7"/>
      <c r="U192" s="7"/>
      <c r="W192" s="7" t="s">
        <v>21</v>
      </c>
      <c r="Z192" s="22"/>
      <c r="AA192" s="22"/>
      <c r="AE192" s="16"/>
    </row>
    <row r="193" spans="1:31" outlineLevel="1">
      <c r="A193" s="30"/>
      <c r="B193" s="6"/>
      <c r="C193" s="5"/>
      <c r="D193" s="6"/>
      <c r="E193" s="6"/>
      <c r="F193" s="6"/>
      <c r="G193" s="7"/>
      <c r="H193" s="7"/>
      <c r="I193" s="7"/>
      <c r="J193" s="7"/>
      <c r="K193" s="6"/>
      <c r="L193" s="7"/>
      <c r="N193" s="6"/>
      <c r="O193" s="6"/>
      <c r="P193" s="6"/>
      <c r="Q193" s="6"/>
      <c r="R193" s="6"/>
      <c r="S193" s="7"/>
      <c r="T193" s="7"/>
      <c r="U193" s="7"/>
      <c r="W193" s="7"/>
      <c r="Z193" s="22"/>
      <c r="AA193" s="22"/>
      <c r="AE193" s="16"/>
    </row>
    <row r="194" spans="1:31" outlineLevel="1">
      <c r="A194" s="30"/>
      <c r="B194" s="6"/>
      <c r="C194" s="5"/>
      <c r="D194" s="6"/>
      <c r="E194" s="6"/>
      <c r="F194" s="6"/>
      <c r="G194" s="7"/>
      <c r="H194" s="7"/>
      <c r="I194" s="7"/>
      <c r="J194" s="7"/>
      <c r="K194" s="6"/>
      <c r="L194" s="7"/>
      <c r="N194" s="6"/>
      <c r="O194" s="6"/>
      <c r="P194" s="6"/>
      <c r="Q194" s="6"/>
      <c r="R194" s="6"/>
      <c r="S194" s="7"/>
      <c r="T194" s="7"/>
      <c r="U194" s="7"/>
      <c r="W194" s="7"/>
      <c r="Z194" s="22"/>
      <c r="AA194" s="22"/>
      <c r="AE194" s="16"/>
    </row>
    <row r="195" spans="1:31" outlineLevel="1">
      <c r="A195" s="30">
        <v>393</v>
      </c>
      <c r="B195" s="6" t="s">
        <v>83</v>
      </c>
      <c r="C195" s="5">
        <v>-40875.875465571859</v>
      </c>
      <c r="D195" s="6">
        <f ca="1">E195+F195</f>
        <v>-39731.700578000004</v>
      </c>
      <c r="E195" s="6">
        <v>-39731.700578000004</v>
      </c>
      <c r="F195" s="6"/>
      <c r="G195" s="7">
        <v>-1144.1748875718515</v>
      </c>
      <c r="H195" s="7"/>
      <c r="I195" s="7"/>
      <c r="J195" s="7"/>
      <c r="K195" s="6">
        <f t="shared" ca="1" si="56"/>
        <v>0</v>
      </c>
      <c r="L195" s="7">
        <f t="shared" ca="1" si="57"/>
        <v>-40875.875465571859</v>
      </c>
      <c r="N195" s="6"/>
      <c r="O195" s="6"/>
      <c r="P195" s="6"/>
      <c r="Q195" s="6"/>
      <c r="R195" s="6"/>
      <c r="S195" s="7"/>
      <c r="T195" s="7"/>
      <c r="U195" s="7"/>
      <c r="W195" s="7" t="s">
        <v>79</v>
      </c>
      <c r="Z195" s="22"/>
      <c r="AA195" s="22"/>
      <c r="AE195" s="16"/>
    </row>
    <row r="196" spans="1:31" outlineLevel="1">
      <c r="A196" s="30">
        <v>394</v>
      </c>
      <c r="B196" s="6" t="s">
        <v>84</v>
      </c>
      <c r="C196" s="5">
        <v>-5988962.3831715994</v>
      </c>
      <c r="D196" s="6">
        <f ca="1">E196+F196</f>
        <v>-5906849.78827566</v>
      </c>
      <c r="E196" s="6">
        <v>-5906849.78827566</v>
      </c>
      <c r="F196" s="6"/>
      <c r="G196" s="7">
        <v>-82112.59489593959</v>
      </c>
      <c r="H196" s="7"/>
      <c r="I196" s="7"/>
      <c r="J196" s="7"/>
      <c r="K196" s="6">
        <f t="shared" ca="1" si="56"/>
        <v>0</v>
      </c>
      <c r="L196" s="7">
        <f t="shared" ca="1" si="57"/>
        <v>-5988962.3831715994</v>
      </c>
      <c r="N196" s="6"/>
      <c r="O196" s="6"/>
      <c r="P196" s="6"/>
      <c r="Q196" s="6"/>
      <c r="R196" s="6"/>
      <c r="S196" s="7"/>
      <c r="T196" s="7"/>
      <c r="U196" s="7"/>
      <c r="W196" s="7" t="s">
        <v>21</v>
      </c>
      <c r="Z196" s="22"/>
      <c r="AA196" s="22"/>
      <c r="AE196" s="16"/>
    </row>
    <row r="197" spans="1:31" outlineLevel="1">
      <c r="A197" s="30"/>
      <c r="B197" s="6"/>
      <c r="C197" s="5"/>
      <c r="D197" s="6"/>
      <c r="E197" s="6"/>
      <c r="F197" s="6"/>
      <c r="G197" s="7"/>
      <c r="H197" s="7"/>
      <c r="I197" s="7"/>
      <c r="J197" s="7"/>
      <c r="K197" s="6"/>
      <c r="L197" s="7"/>
      <c r="N197" s="6"/>
      <c r="O197" s="6"/>
      <c r="P197" s="6"/>
      <c r="Q197" s="6"/>
      <c r="R197" s="6"/>
      <c r="S197" s="7"/>
      <c r="T197" s="7"/>
      <c r="U197" s="7"/>
      <c r="W197" s="7"/>
      <c r="Z197" s="22"/>
      <c r="AA197" s="22"/>
      <c r="AE197" s="16"/>
    </row>
    <row r="198" spans="1:31" outlineLevel="1">
      <c r="A198" s="30"/>
      <c r="B198" s="6"/>
      <c r="C198" s="5"/>
      <c r="D198" s="6"/>
      <c r="E198" s="6"/>
      <c r="F198" s="6"/>
      <c r="G198" s="7"/>
      <c r="H198" s="7"/>
      <c r="I198" s="7"/>
      <c r="J198" s="7"/>
      <c r="K198" s="6"/>
      <c r="L198" s="7"/>
      <c r="N198" s="6"/>
      <c r="O198" s="6"/>
      <c r="P198" s="6"/>
      <c r="Q198" s="6"/>
      <c r="R198" s="6"/>
      <c r="S198" s="7"/>
      <c r="T198" s="7"/>
      <c r="U198" s="7"/>
      <c r="W198" s="7"/>
      <c r="Z198" s="22"/>
      <c r="AA198" s="22"/>
      <c r="AE198" s="16"/>
    </row>
    <row r="199" spans="1:31" outlineLevel="1">
      <c r="A199" s="30">
        <v>395</v>
      </c>
      <c r="B199" s="6" t="s">
        <v>85</v>
      </c>
      <c r="C199" s="5">
        <v>-1034658.279366962</v>
      </c>
      <c r="D199" s="6">
        <f ca="1">E199+F199</f>
        <v>-1048577.0033333299</v>
      </c>
      <c r="E199" s="6">
        <v>-1048577.0033333299</v>
      </c>
      <c r="F199" s="6"/>
      <c r="G199" s="7">
        <v>13918.723966367859</v>
      </c>
      <c r="H199" s="7"/>
      <c r="I199" s="7"/>
      <c r="J199" s="7"/>
      <c r="K199" s="6">
        <f t="shared" ca="1" si="56"/>
        <v>0</v>
      </c>
      <c r="L199" s="7">
        <f t="shared" ca="1" si="57"/>
        <v>-1034658.279366962</v>
      </c>
      <c r="N199" s="6"/>
      <c r="O199" s="6"/>
      <c r="P199" s="6"/>
      <c r="Q199" s="6"/>
      <c r="R199" s="6"/>
      <c r="S199" s="7"/>
      <c r="T199" s="7"/>
      <c r="U199" s="7"/>
      <c r="W199" s="7" t="s">
        <v>79</v>
      </c>
      <c r="Z199" s="22"/>
      <c r="AA199" s="22"/>
      <c r="AE199" s="16"/>
    </row>
    <row r="200" spans="1:31" outlineLevel="1">
      <c r="A200" s="30">
        <v>396</v>
      </c>
      <c r="B200" s="6" t="s">
        <v>86</v>
      </c>
      <c r="C200" s="5">
        <v>-722083.13738274877</v>
      </c>
      <c r="D200" s="6">
        <f ca="1">E200+F200</f>
        <v>-724286.10351799906</v>
      </c>
      <c r="E200" s="6">
        <v>-724286.10351799906</v>
      </c>
      <c r="F200" s="6"/>
      <c r="G200" s="7">
        <v>2202.9661352502599</v>
      </c>
      <c r="H200" s="7"/>
      <c r="I200" s="7"/>
      <c r="J200" s="7"/>
      <c r="K200" s="6">
        <f t="shared" ca="1" si="56"/>
        <v>0</v>
      </c>
      <c r="L200" s="7">
        <f t="shared" ca="1" si="57"/>
        <v>-722083.13738274877</v>
      </c>
      <c r="N200" s="6"/>
      <c r="O200" s="6"/>
      <c r="P200" s="6"/>
      <c r="Q200" s="6"/>
      <c r="R200" s="6"/>
      <c r="S200" s="7"/>
      <c r="T200" s="7"/>
      <c r="U200" s="7"/>
      <c r="W200" s="7" t="s">
        <v>79</v>
      </c>
      <c r="Z200" s="22"/>
      <c r="AA200" s="22"/>
      <c r="AE200" s="16"/>
    </row>
    <row r="201" spans="1:31" outlineLevel="1">
      <c r="A201" s="30">
        <v>397</v>
      </c>
      <c r="B201" s="6" t="s">
        <v>87</v>
      </c>
      <c r="C201" s="5">
        <v>-11957492.781556735</v>
      </c>
      <c r="D201" s="6">
        <f ca="1">E201+F201</f>
        <v>-11906869.789925899</v>
      </c>
      <c r="E201" s="6">
        <v>-11906869.789925899</v>
      </c>
      <c r="F201" s="6"/>
      <c r="G201" s="7">
        <v>-50622.991630835371</v>
      </c>
      <c r="H201" s="7"/>
      <c r="I201" s="7"/>
      <c r="J201" s="7"/>
      <c r="K201" s="6">
        <f ca="1">+I201+J201</f>
        <v>0</v>
      </c>
      <c r="L201" s="7">
        <f ca="1">D201+G201+H201+K201</f>
        <v>-11957492.781556735</v>
      </c>
      <c r="N201" s="6"/>
      <c r="O201" s="6"/>
      <c r="P201" s="6"/>
      <c r="Q201" s="6"/>
      <c r="R201" s="6"/>
      <c r="S201" s="7"/>
      <c r="T201" s="7"/>
      <c r="U201" s="7"/>
      <c r="W201" s="7" t="s">
        <v>21</v>
      </c>
      <c r="Z201" s="22"/>
      <c r="AA201" s="22"/>
      <c r="AE201" s="16"/>
    </row>
    <row r="202" spans="1:31" outlineLevel="1">
      <c r="A202" s="30">
        <v>398</v>
      </c>
      <c r="B202" s="6" t="s">
        <v>88</v>
      </c>
      <c r="C202" s="5">
        <v>-276463.89689930039</v>
      </c>
      <c r="D202" s="6">
        <f ca="1">E202+F202</f>
        <v>-278235.29011449998</v>
      </c>
      <c r="E202" s="6">
        <v>-278235.29011449998</v>
      </c>
      <c r="F202" s="6"/>
      <c r="G202" s="7">
        <v>1771.3932151995978</v>
      </c>
      <c r="H202" s="7"/>
      <c r="I202" s="7"/>
      <c r="J202" s="7"/>
      <c r="K202" s="6">
        <f ca="1">+I202+J202</f>
        <v>0</v>
      </c>
      <c r="L202" s="7">
        <f ca="1">D202+G202+H202+K202</f>
        <v>-276463.89689930039</v>
      </c>
      <c r="N202" s="6"/>
      <c r="O202" s="6"/>
      <c r="P202" s="6"/>
      <c r="Q202" s="6"/>
      <c r="R202" s="6"/>
      <c r="S202" s="7"/>
      <c r="T202" s="7"/>
      <c r="U202" s="7"/>
      <c r="W202" s="7" t="s">
        <v>21</v>
      </c>
      <c r="Z202" s="22"/>
      <c r="AA202" s="22"/>
      <c r="AE202" s="16"/>
    </row>
    <row r="203" spans="1:31" outlineLevel="1">
      <c r="A203" s="30">
        <v>399</v>
      </c>
      <c r="B203" s="6" t="s">
        <v>95</v>
      </c>
      <c r="C203" s="5">
        <v>-96949.429278249998</v>
      </c>
      <c r="D203" s="6">
        <f ca="1">E203+F203</f>
        <v>-96949.429278249998</v>
      </c>
      <c r="E203" s="6">
        <v>-96949.429278249998</v>
      </c>
      <c r="F203" s="6"/>
      <c r="G203" s="7"/>
      <c r="H203" s="7"/>
      <c r="I203" s="7"/>
      <c r="J203" s="7"/>
      <c r="K203" s="6">
        <f t="shared" ca="1" si="56"/>
        <v>0</v>
      </c>
      <c r="L203" s="7">
        <f t="shared" ca="1" si="57"/>
        <v>-96949.429278249998</v>
      </c>
      <c r="N203" s="6"/>
      <c r="O203" s="6"/>
      <c r="P203" s="6"/>
      <c r="Q203" s="6"/>
      <c r="R203" s="6"/>
      <c r="S203" s="7"/>
      <c r="T203" s="7"/>
      <c r="U203" s="7"/>
      <c r="W203" s="7" t="s">
        <v>21</v>
      </c>
      <c r="Z203" s="22"/>
      <c r="AA203" s="22"/>
      <c r="AE203" s="16"/>
    </row>
    <row r="204" spans="1:31" s="8" customFormat="1" outlineLevel="1">
      <c r="A204" s="10"/>
      <c r="B204" s="8" t="s">
        <v>22</v>
      </c>
      <c r="C204" s="8">
        <f t="shared" ref="C204:L204" ca="1" si="58">SUM(C189:C203)</f>
        <v>-62525338.83594925</v>
      </c>
      <c r="D204" s="8">
        <f t="shared" ca="1" si="58"/>
        <v>-63009860.237161845</v>
      </c>
      <c r="E204" s="8">
        <f t="shared" ca="1" si="58"/>
        <v>-63009860.237161845</v>
      </c>
      <c r="F204" s="8">
        <f t="shared" ca="1" si="58"/>
        <v>0</v>
      </c>
      <c r="G204" s="8">
        <f t="shared" ca="1" si="58"/>
        <v>484521.40121259296</v>
      </c>
      <c r="H204" s="8">
        <f t="shared" ca="1" si="58"/>
        <v>0</v>
      </c>
      <c r="I204" s="8">
        <f t="shared" ca="1" si="58"/>
        <v>0</v>
      </c>
      <c r="J204" s="8">
        <f t="shared" ca="1" si="58"/>
        <v>0</v>
      </c>
      <c r="K204" s="8">
        <f t="shared" ca="1" si="58"/>
        <v>0</v>
      </c>
      <c r="L204" s="8">
        <f t="shared" ca="1" si="58"/>
        <v>-62525338.83594925</v>
      </c>
      <c r="M204" s="4"/>
      <c r="V204" s="4"/>
      <c r="Z204" s="22"/>
      <c r="AA204" s="22"/>
      <c r="AE204" s="11"/>
    </row>
    <row r="205" spans="1:31" s="8" customFormat="1" outlineLevel="1">
      <c r="A205" s="10"/>
      <c r="M205" s="4"/>
      <c r="V205" s="4"/>
      <c r="Z205" s="22"/>
      <c r="AA205" s="22"/>
      <c r="AE205" s="11"/>
    </row>
    <row r="206" spans="1:31" outlineLevel="1">
      <c r="A206" s="29"/>
      <c r="B206" s="1" t="s">
        <v>90</v>
      </c>
      <c r="Z206" s="22"/>
      <c r="AA206" s="22"/>
      <c r="AE206" s="18"/>
    </row>
    <row r="207" spans="1:31" outlineLevel="1">
      <c r="A207" s="30">
        <v>108</v>
      </c>
      <c r="B207" s="6" t="s">
        <v>96</v>
      </c>
      <c r="C207" s="5">
        <v>4351638.8274900001</v>
      </c>
      <c r="D207" s="6">
        <f ca="1">E207+F207</f>
        <v>4351638.8274900001</v>
      </c>
      <c r="E207" s="6">
        <v>4351638.8274900001</v>
      </c>
      <c r="F207" s="6"/>
      <c r="G207" s="6"/>
      <c r="H207" s="6"/>
      <c r="I207" s="6"/>
      <c r="J207" s="6"/>
      <c r="K207" s="6">
        <f ca="1">+I207+J207</f>
        <v>0</v>
      </c>
      <c r="L207" s="7">
        <f ca="1">D207+G207+H207+K207</f>
        <v>4351638.8274900001</v>
      </c>
      <c r="N207" s="6"/>
      <c r="O207" s="6"/>
      <c r="P207" s="6"/>
      <c r="Q207" s="6"/>
      <c r="R207" s="6"/>
      <c r="S207" s="7"/>
      <c r="T207" s="7"/>
      <c r="U207" s="7"/>
      <c r="W207" s="7" t="s">
        <v>55</v>
      </c>
      <c r="Z207" s="22"/>
      <c r="AA207" s="22"/>
      <c r="AE207" s="18"/>
    </row>
    <row r="208" spans="1:31" outlineLevel="1">
      <c r="A208" s="31">
        <v>230</v>
      </c>
      <c r="B208" s="32" t="s">
        <v>97</v>
      </c>
      <c r="C208" s="5">
        <v>-9046121</v>
      </c>
      <c r="D208" s="6">
        <f ca="1">E208+F208</f>
        <v>-9046121</v>
      </c>
      <c r="E208" s="7">
        <f ca="1">-8781927-264194</f>
        <v>-9046121</v>
      </c>
      <c r="F208" s="7"/>
      <c r="G208" s="7"/>
      <c r="H208" s="7"/>
      <c r="I208" s="7"/>
      <c r="J208" s="7"/>
      <c r="K208" s="6">
        <f ca="1">+I208+J208</f>
        <v>0</v>
      </c>
      <c r="L208" s="7">
        <f ca="1">D208+G208+H208+K208</f>
        <v>-9046121</v>
      </c>
      <c r="N208" s="6"/>
      <c r="O208" s="6"/>
      <c r="P208" s="6"/>
      <c r="Q208" s="6"/>
      <c r="R208" s="6"/>
      <c r="S208" s="7"/>
      <c r="T208" s="7"/>
      <c r="U208" s="7"/>
      <c r="W208" s="7" t="s">
        <v>55</v>
      </c>
      <c r="Z208" s="22"/>
      <c r="AA208" s="22"/>
      <c r="AE208" s="18"/>
    </row>
    <row r="209" spans="1:31" outlineLevel="1">
      <c r="A209" s="31">
        <v>253</v>
      </c>
      <c r="B209" s="32" t="s">
        <v>98</v>
      </c>
      <c r="C209" s="5">
        <v>-3108529.921452499</v>
      </c>
      <c r="D209" s="6">
        <f ca="1">E209+F209</f>
        <v>-3108529.921452499</v>
      </c>
      <c r="E209" s="7">
        <v>-3108529.921452499</v>
      </c>
      <c r="F209" s="7"/>
      <c r="G209" s="7"/>
      <c r="H209" s="7"/>
      <c r="I209" s="7"/>
      <c r="J209" s="7"/>
      <c r="K209" s="6">
        <f ca="1">+I209+J209</f>
        <v>0</v>
      </c>
      <c r="L209" s="7">
        <f ca="1">D209+G209+H209+K209</f>
        <v>-3108529.921452499</v>
      </c>
      <c r="N209" s="6"/>
      <c r="O209" s="6"/>
      <c r="P209" s="6"/>
      <c r="Q209" s="6"/>
      <c r="R209" s="6"/>
      <c r="S209" s="7"/>
      <c r="T209" s="7"/>
      <c r="U209" s="7"/>
      <c r="W209" s="7" t="s">
        <v>55</v>
      </c>
      <c r="Z209" s="22"/>
      <c r="AA209" s="22"/>
      <c r="AE209" s="18"/>
    </row>
    <row r="210" spans="1:31" outlineLevel="1">
      <c r="A210" s="31">
        <v>182.3</v>
      </c>
      <c r="B210" s="32" t="s">
        <v>99</v>
      </c>
      <c r="C210" s="5">
        <v>0</v>
      </c>
      <c r="D210" s="6">
        <f ca="1">E210+F210</f>
        <v>0</v>
      </c>
      <c r="E210" s="6">
        <v>0</v>
      </c>
      <c r="F210" s="7"/>
      <c r="G210" s="7"/>
      <c r="H210" s="7"/>
      <c r="I210" s="7"/>
      <c r="J210" s="7"/>
      <c r="K210" s="6">
        <f ca="1">+I210+J210</f>
        <v>0</v>
      </c>
      <c r="L210" s="7">
        <f ca="1">D210+G210+H210+K210</f>
        <v>0</v>
      </c>
      <c r="N210" s="6"/>
      <c r="O210" s="6"/>
      <c r="P210" s="6"/>
      <c r="Q210" s="6"/>
      <c r="R210" s="6"/>
      <c r="S210" s="7"/>
      <c r="T210" s="7"/>
      <c r="U210" s="7"/>
      <c r="W210" s="7" t="s">
        <v>55</v>
      </c>
      <c r="Z210" s="22"/>
      <c r="AA210" s="22"/>
      <c r="AE210" s="18"/>
    </row>
    <row r="211" spans="1:31" outlineLevel="1">
      <c r="A211" s="31"/>
      <c r="B211" s="32" t="s">
        <v>100</v>
      </c>
      <c r="C211" s="5">
        <v>17635</v>
      </c>
      <c r="D211" s="6">
        <f ca="1">E211+F211</f>
        <v>17635</v>
      </c>
      <c r="E211" s="6">
        <f ca="1">15935+1700</f>
        <v>17635</v>
      </c>
      <c r="F211" s="7"/>
      <c r="G211" s="7"/>
      <c r="H211" s="7"/>
      <c r="I211" s="7"/>
      <c r="J211" s="7"/>
      <c r="K211" s="6">
        <f ca="1">+I211+J211</f>
        <v>0</v>
      </c>
      <c r="L211" s="7">
        <f ca="1">D211+G211+H211+K211</f>
        <v>17635</v>
      </c>
      <c r="N211" s="6"/>
      <c r="O211" s="6"/>
      <c r="P211" s="6"/>
      <c r="Q211" s="6"/>
      <c r="R211" s="6"/>
      <c r="S211" s="7"/>
      <c r="T211" s="7"/>
      <c r="U211" s="7"/>
      <c r="W211" s="7" t="s">
        <v>55</v>
      </c>
      <c r="Z211" s="22"/>
      <c r="AA211" s="22"/>
      <c r="AE211" s="18"/>
    </row>
    <row r="212" spans="1:31" s="8" customFormat="1" outlineLevel="1">
      <c r="A212" s="23"/>
      <c r="B212" s="8" t="s">
        <v>22</v>
      </c>
      <c r="C212" s="8">
        <f t="shared" ref="C212:L212" ca="1" si="59">SUM(C207:C211)</f>
        <v>-7785377.0939624989</v>
      </c>
      <c r="D212" s="8">
        <f t="shared" ca="1" si="59"/>
        <v>-7785377.0939624989</v>
      </c>
      <c r="E212" s="8">
        <f t="shared" ca="1" si="59"/>
        <v>-7785377.0939624989</v>
      </c>
      <c r="F212" s="8">
        <f t="shared" ca="1" si="59"/>
        <v>0</v>
      </c>
      <c r="G212" s="8">
        <f t="shared" ca="1" si="59"/>
        <v>0</v>
      </c>
      <c r="H212" s="8">
        <f t="shared" ca="1" si="59"/>
        <v>0</v>
      </c>
      <c r="I212" s="8">
        <f t="shared" ca="1" si="59"/>
        <v>0</v>
      </c>
      <c r="J212" s="8">
        <f t="shared" ca="1" si="59"/>
        <v>0</v>
      </c>
      <c r="K212" s="8">
        <f t="shared" ca="1" si="59"/>
        <v>0</v>
      </c>
      <c r="L212" s="8">
        <f t="shared" ca="1" si="59"/>
        <v>-7785377.0939624989</v>
      </c>
      <c r="M212" s="4"/>
      <c r="V212" s="4"/>
      <c r="Z212" s="22"/>
      <c r="AA212" s="22"/>
      <c r="AE212" s="11"/>
    </row>
    <row r="213" spans="1:31" s="8" customFormat="1" outlineLevel="1">
      <c r="A213" s="10"/>
      <c r="M213" s="4"/>
      <c r="V213" s="4"/>
      <c r="Z213" s="22"/>
      <c r="AA213" s="22"/>
      <c r="AE213" s="11"/>
    </row>
    <row r="214" spans="1:31" s="12" customFormat="1">
      <c r="A214" s="24"/>
      <c r="B214" s="12" t="s">
        <v>101</v>
      </c>
      <c r="C214" s="12">
        <f t="shared" ref="C214:L214" ca="1" si="60">SUM(C212,C204,C186,C163,C152,C142,C130,C115)</f>
        <v>-1372435513.860914</v>
      </c>
      <c r="D214" s="12">
        <f t="shared" ca="1" si="60"/>
        <v>-1375171804.721786</v>
      </c>
      <c r="E214" s="12">
        <f t="shared" ca="1" si="60"/>
        <v>-1375171804.721786</v>
      </c>
      <c r="F214" s="12">
        <f t="shared" ca="1" si="60"/>
        <v>0</v>
      </c>
      <c r="G214" s="12">
        <f t="shared" ca="1" si="60"/>
        <v>2736290.8608724587</v>
      </c>
      <c r="H214" s="12">
        <f t="shared" ca="1" si="60"/>
        <v>0</v>
      </c>
      <c r="I214" s="12">
        <f ca="1">SUM(I212,I204,I186,I163,I152,I142,I130,I115)</f>
        <v>0</v>
      </c>
      <c r="J214" s="12">
        <f ca="1">SUM(J212,J204,J186,J163,J152,J142,J130,J115)</f>
        <v>0</v>
      </c>
      <c r="K214" s="12">
        <f t="shared" ca="1" si="60"/>
        <v>0</v>
      </c>
      <c r="L214" s="12">
        <f t="shared" ca="1" si="60"/>
        <v>-1372435513.860914</v>
      </c>
      <c r="M214" s="4"/>
      <c r="Z214" s="22"/>
      <c r="AA214" s="22"/>
      <c r="AE214" s="13"/>
    </row>
    <row r="215" spans="1:31">
      <c r="E215" s="9"/>
      <c r="Z215" s="22"/>
      <c r="AA215" s="22"/>
      <c r="AE215" s="18"/>
    </row>
    <row r="216" spans="1:31" ht="15.6">
      <c r="A216" s="28" t="s">
        <v>102</v>
      </c>
      <c r="Z216" s="22"/>
      <c r="AA216" s="22"/>
      <c r="AE216" s="18"/>
    </row>
    <row r="217" spans="1:31">
      <c r="Z217" s="22"/>
      <c r="AA217" s="22"/>
      <c r="AE217" s="18"/>
    </row>
    <row r="218" spans="1:31" outlineLevel="1">
      <c r="B218" s="1" t="s">
        <v>103</v>
      </c>
      <c r="Z218" s="22"/>
      <c r="AA218" s="22"/>
      <c r="AE218" s="18"/>
    </row>
    <row r="219" spans="1:31" outlineLevel="1">
      <c r="A219" s="31" t="s">
        <v>104</v>
      </c>
      <c r="B219" s="32" t="s">
        <v>105</v>
      </c>
      <c r="C219" s="5">
        <v>-20859704</v>
      </c>
      <c r="D219" s="6">
        <f t="shared" ref="D219:D224" ca="1" si="61">E219+F219</f>
        <v>-20859704</v>
      </c>
      <c r="E219" s="7">
        <v>-20859704</v>
      </c>
      <c r="F219" s="6"/>
      <c r="G219" s="6"/>
      <c r="H219" s="7"/>
      <c r="I219" s="7"/>
      <c r="J219" s="7"/>
      <c r="K219" s="6">
        <f t="shared" ref="K219:K224" ca="1" si="62">+I219+J219</f>
        <v>0</v>
      </c>
      <c r="L219" s="7">
        <f t="shared" ref="L219:L224" ca="1" si="63">D219+G219+H219+K219</f>
        <v>-20859704</v>
      </c>
      <c r="N219" s="6" t="s">
        <v>56</v>
      </c>
      <c r="O219" s="6" t="s">
        <v>63</v>
      </c>
      <c r="P219" s="6"/>
      <c r="Q219" s="6"/>
      <c r="R219" s="6" t="s">
        <v>106</v>
      </c>
      <c r="S219" s="7"/>
      <c r="T219" s="7"/>
      <c r="U219" s="7"/>
      <c r="W219" s="7"/>
      <c r="AE219" s="18"/>
    </row>
    <row r="220" spans="1:31" outlineLevel="1">
      <c r="A220" s="31" t="s">
        <v>104</v>
      </c>
      <c r="B220" s="32" t="s">
        <v>107</v>
      </c>
      <c r="C220" s="5">
        <v>8654564</v>
      </c>
      <c r="D220" s="6">
        <f t="shared" ca="1" si="61"/>
        <v>8654564</v>
      </c>
      <c r="E220" s="7">
        <v>8654564</v>
      </c>
      <c r="F220" s="6"/>
      <c r="G220" s="7"/>
      <c r="H220" s="7"/>
      <c r="I220" s="7"/>
      <c r="J220" s="7"/>
      <c r="K220" s="6">
        <f t="shared" ca="1" si="62"/>
        <v>0</v>
      </c>
      <c r="L220" s="7">
        <f t="shared" ca="1" si="63"/>
        <v>8654564</v>
      </c>
      <c r="N220" s="6" t="s">
        <v>35</v>
      </c>
      <c r="O220" s="6" t="s">
        <v>29</v>
      </c>
      <c r="P220" s="6" t="s">
        <v>39</v>
      </c>
      <c r="Q220" s="6"/>
      <c r="R220" s="6"/>
      <c r="S220" s="7"/>
      <c r="T220" s="7"/>
      <c r="U220" s="7"/>
      <c r="W220" s="7"/>
      <c r="AE220" s="18"/>
    </row>
    <row r="221" spans="1:31" outlineLevel="1">
      <c r="A221" s="31" t="s">
        <v>104</v>
      </c>
      <c r="B221" s="32" t="s">
        <v>108</v>
      </c>
      <c r="C221" s="5">
        <v>0</v>
      </c>
      <c r="D221" s="6">
        <f t="shared" ca="1" si="61"/>
        <v>0</v>
      </c>
      <c r="E221" s="7">
        <v>0</v>
      </c>
      <c r="F221" s="6"/>
      <c r="G221" s="7"/>
      <c r="H221" s="7"/>
      <c r="I221" s="7"/>
      <c r="J221" s="7"/>
      <c r="K221" s="6">
        <f t="shared" ca="1" si="62"/>
        <v>0</v>
      </c>
      <c r="L221" s="7">
        <f t="shared" ca="1" si="63"/>
        <v>0</v>
      </c>
      <c r="N221" s="6" t="s">
        <v>56</v>
      </c>
      <c r="O221" s="6" t="s">
        <v>63</v>
      </c>
      <c r="P221" s="6"/>
      <c r="Q221" s="6"/>
      <c r="R221" s="6" t="s">
        <v>106</v>
      </c>
      <c r="S221" s="7"/>
      <c r="T221" s="7"/>
      <c r="U221" s="7"/>
      <c r="W221" s="7"/>
      <c r="AE221" s="18"/>
    </row>
    <row r="222" spans="1:31" outlineLevel="1">
      <c r="A222" s="31" t="s">
        <v>104</v>
      </c>
      <c r="B222" s="32" t="s">
        <v>109</v>
      </c>
      <c r="C222" s="5">
        <v>-9302099.4113999996</v>
      </c>
      <c r="D222" s="6">
        <f t="shared" ca="1" si="61"/>
        <v>-9302099.4113999996</v>
      </c>
      <c r="E222" s="7">
        <v>-9302099.4113999996</v>
      </c>
      <c r="F222" s="6"/>
      <c r="G222" s="7"/>
      <c r="H222" s="7"/>
      <c r="I222" s="7"/>
      <c r="J222" s="7"/>
      <c r="K222" s="6">
        <f t="shared" ca="1" si="62"/>
        <v>0</v>
      </c>
      <c r="L222" s="7">
        <f t="shared" ca="1" si="63"/>
        <v>-9302099.4113999996</v>
      </c>
      <c r="N222" s="6" t="s">
        <v>56</v>
      </c>
      <c r="O222" s="6" t="s">
        <v>63</v>
      </c>
      <c r="P222" s="6"/>
      <c r="Q222" s="6"/>
      <c r="R222" s="6" t="s">
        <v>110</v>
      </c>
      <c r="S222" s="7"/>
      <c r="T222" s="7"/>
      <c r="U222" s="7"/>
      <c r="W222" s="7"/>
      <c r="AE222" s="18"/>
    </row>
    <row r="223" spans="1:31" outlineLevel="1">
      <c r="A223" s="31" t="s">
        <v>104</v>
      </c>
      <c r="B223" s="32" t="s">
        <v>111</v>
      </c>
      <c r="C223" s="5">
        <v>-511214276</v>
      </c>
      <c r="D223" s="6">
        <f t="shared" ca="1" si="61"/>
        <v>-502155618</v>
      </c>
      <c r="E223" s="7">
        <f ca="1">-501002523-13775872+12622777</f>
        <v>-502155618</v>
      </c>
      <c r="F223" s="6"/>
      <c r="G223" s="7">
        <f ca="1">-3546872+134349-5646135</f>
        <v>-9058658</v>
      </c>
      <c r="H223" s="7"/>
      <c r="I223" s="7"/>
      <c r="J223" s="7"/>
      <c r="K223" s="6">
        <f t="shared" ca="1" si="62"/>
        <v>0</v>
      </c>
      <c r="L223" s="7">
        <f t="shared" ca="1" si="63"/>
        <v>-511214276</v>
      </c>
      <c r="N223" s="6"/>
      <c r="O223" s="6"/>
      <c r="P223" s="6"/>
      <c r="Q223" s="6"/>
      <c r="R223" s="6"/>
      <c r="S223" s="7"/>
      <c r="T223" s="7"/>
      <c r="U223" s="7"/>
      <c r="W223" s="7" t="s">
        <v>112</v>
      </c>
      <c r="AE223" s="18"/>
    </row>
    <row r="224" spans="1:31" outlineLevel="1">
      <c r="A224" s="31" t="s">
        <v>104</v>
      </c>
      <c r="B224" s="32" t="s">
        <v>113</v>
      </c>
      <c r="C224" s="5">
        <v>77638932</v>
      </c>
      <c r="D224" s="6">
        <f t="shared" ca="1" si="61"/>
        <v>77638932</v>
      </c>
      <c r="E224" s="7">
        <f ca="1">77640607-1675</f>
        <v>77638932</v>
      </c>
      <c r="F224" s="7"/>
      <c r="G224" s="7"/>
      <c r="H224" s="7"/>
      <c r="I224" s="7"/>
      <c r="J224" s="7"/>
      <c r="K224" s="6">
        <f t="shared" ca="1" si="62"/>
        <v>0</v>
      </c>
      <c r="L224" s="7">
        <f t="shared" ca="1" si="63"/>
        <v>77638932</v>
      </c>
      <c r="N224" s="6"/>
      <c r="O224" s="6"/>
      <c r="P224" s="6"/>
      <c r="Q224" s="6"/>
      <c r="R224" s="6"/>
      <c r="S224" s="7"/>
      <c r="T224" s="7"/>
      <c r="U224" s="7"/>
      <c r="W224" s="7" t="s">
        <v>114</v>
      </c>
      <c r="AE224" s="16"/>
    </row>
    <row r="225" spans="1:31" s="8" customFormat="1" outlineLevel="1">
      <c r="A225" s="23"/>
      <c r="B225" s="8" t="s">
        <v>115</v>
      </c>
      <c r="C225" s="8">
        <f t="shared" ref="C225:L225" ca="1" si="64">SUM(C219:C224)</f>
        <v>-455082583.41140002</v>
      </c>
      <c r="D225" s="8">
        <f t="shared" ca="1" si="64"/>
        <v>-446023925.41140002</v>
      </c>
      <c r="E225" s="8">
        <f t="shared" ca="1" si="64"/>
        <v>-446023925.41140002</v>
      </c>
      <c r="F225" s="8">
        <f t="shared" ca="1" si="64"/>
        <v>0</v>
      </c>
      <c r="G225" s="8">
        <f t="shared" ca="1" si="64"/>
        <v>-9058658</v>
      </c>
      <c r="H225" s="8">
        <f t="shared" ca="1" si="64"/>
        <v>0</v>
      </c>
      <c r="I225" s="8">
        <f t="shared" ca="1" si="64"/>
        <v>0</v>
      </c>
      <c r="J225" s="8">
        <f t="shared" ca="1" si="64"/>
        <v>0</v>
      </c>
      <c r="K225" s="8">
        <f t="shared" ca="1" si="64"/>
        <v>0</v>
      </c>
      <c r="L225" s="8">
        <f t="shared" ca="1" si="64"/>
        <v>-455082583.41140002</v>
      </c>
      <c r="M225" s="4"/>
      <c r="V225" s="4"/>
      <c r="Z225" s="22"/>
      <c r="AA225" s="22"/>
    </row>
    <row r="227" spans="1:31">
      <c r="A227" s="24" t="s">
        <v>116</v>
      </c>
      <c r="C227" s="12">
        <f t="shared" ref="C227:L227" ca="1" si="65">SUM(C214,C107,C225)</f>
        <v>1760693632.7807987</v>
      </c>
      <c r="D227" s="12">
        <f t="shared" ca="1" si="65"/>
        <v>1727319760.5882256</v>
      </c>
      <c r="E227" s="12">
        <f t="shared" ca="1" si="65"/>
        <v>1727319760.5882256</v>
      </c>
      <c r="F227" s="12">
        <f t="shared" ca="1" si="65"/>
        <v>0</v>
      </c>
      <c r="G227" s="12">
        <f t="shared" ca="1" si="65"/>
        <v>33373872.192573681</v>
      </c>
      <c r="H227" s="12">
        <f t="shared" ca="1" si="65"/>
        <v>0</v>
      </c>
      <c r="I227" s="12">
        <f ca="1">SUM(I214,I107,I225)</f>
        <v>0</v>
      </c>
      <c r="J227" s="12">
        <f ca="1">SUM(J214,J107,J225)</f>
        <v>0</v>
      </c>
      <c r="K227" s="12">
        <f t="shared" ca="1" si="65"/>
        <v>0</v>
      </c>
      <c r="L227" s="12">
        <f t="shared" ca="1" si="65"/>
        <v>1760693632.7807987</v>
      </c>
    </row>
    <row r="229" spans="1:31" ht="15.6">
      <c r="A229" s="28" t="s">
        <v>117</v>
      </c>
      <c r="E229" s="9"/>
    </row>
    <row r="231" spans="1:31" ht="15.6">
      <c r="A231" s="28" t="s">
        <v>118</v>
      </c>
    </row>
    <row r="232" spans="1:31" outlineLevel="1">
      <c r="B232" s="1"/>
      <c r="D232" s="41"/>
    </row>
    <row r="233" spans="1:31" outlineLevel="1">
      <c r="B233" s="1" t="s">
        <v>119</v>
      </c>
    </row>
    <row r="234" spans="1:31" outlineLevel="1">
      <c r="A234" s="30">
        <v>710</v>
      </c>
      <c r="B234" s="6" t="s">
        <v>120</v>
      </c>
      <c r="C234" s="5">
        <v>0</v>
      </c>
      <c r="D234" s="6">
        <f t="shared" ref="D234:D242" ca="1" si="66">E234+F234</f>
        <v>0</v>
      </c>
      <c r="E234" s="6">
        <v>0</v>
      </c>
      <c r="F234" s="6"/>
      <c r="G234" s="6">
        <v>0</v>
      </c>
      <c r="H234" s="6"/>
      <c r="I234" s="6"/>
      <c r="J234" s="6"/>
      <c r="K234" s="6">
        <f t="shared" ref="K234:K242" ca="1" si="67">+I234+J234</f>
        <v>0</v>
      </c>
      <c r="L234" s="7">
        <f t="shared" ref="L234:L242" ca="1" si="68">D234+G234+H234+K234</f>
        <v>0</v>
      </c>
      <c r="N234" s="6"/>
      <c r="O234" s="6"/>
      <c r="P234" s="6"/>
      <c r="Q234" s="6"/>
      <c r="R234" s="6"/>
      <c r="S234" s="7"/>
      <c r="T234" s="7"/>
      <c r="U234" s="7"/>
      <c r="W234" s="7" t="s">
        <v>121</v>
      </c>
      <c r="AE234" s="7" t="s">
        <v>121</v>
      </c>
    </row>
    <row r="235" spans="1:31" outlineLevel="1">
      <c r="A235" s="30">
        <v>717</v>
      </c>
      <c r="B235" s="6" t="s">
        <v>122</v>
      </c>
      <c r="C235" s="5">
        <v>163659.76729634861</v>
      </c>
      <c r="D235" s="6">
        <f t="shared" ca="1" si="66"/>
        <v>161094.99</v>
      </c>
      <c r="E235" s="6">
        <v>161094.99</v>
      </c>
      <c r="F235" s="6"/>
      <c r="G235" s="6">
        <v>2564.7772963486341</v>
      </c>
      <c r="H235" s="6"/>
      <c r="I235" s="6"/>
      <c r="J235" s="6"/>
      <c r="K235" s="6">
        <f t="shared" ca="1" si="67"/>
        <v>0</v>
      </c>
      <c r="L235" s="7">
        <f t="shared" ca="1" si="68"/>
        <v>163659.76729634861</v>
      </c>
      <c r="N235" s="6" t="s">
        <v>28</v>
      </c>
      <c r="O235" s="6" t="s">
        <v>29</v>
      </c>
      <c r="P235" s="6" t="s">
        <v>30</v>
      </c>
      <c r="Q235" s="6"/>
      <c r="R235" s="6"/>
      <c r="S235" s="7"/>
      <c r="T235" s="7"/>
      <c r="U235" s="7"/>
      <c r="W235" s="7"/>
    </row>
    <row r="236" spans="1:31" outlineLevel="1">
      <c r="A236" s="30">
        <v>735</v>
      </c>
      <c r="B236" s="6" t="s">
        <v>123</v>
      </c>
      <c r="C236" s="5">
        <v>0</v>
      </c>
      <c r="D236" s="6">
        <f t="shared" ca="1" si="66"/>
        <v>0</v>
      </c>
      <c r="E236" s="6">
        <v>0</v>
      </c>
      <c r="F236" s="6"/>
      <c r="G236" s="6">
        <v>0</v>
      </c>
      <c r="H236" s="6"/>
      <c r="I236" s="6"/>
      <c r="J236" s="6"/>
      <c r="K236" s="6">
        <f t="shared" ca="1" si="67"/>
        <v>0</v>
      </c>
      <c r="L236" s="7">
        <f t="shared" ca="1" si="68"/>
        <v>0</v>
      </c>
      <c r="N236" s="6" t="s">
        <v>28</v>
      </c>
      <c r="O236" s="6" t="s">
        <v>29</v>
      </c>
      <c r="P236" s="6" t="s">
        <v>30</v>
      </c>
      <c r="Q236" s="6"/>
      <c r="R236" s="6"/>
      <c r="S236" s="7"/>
      <c r="T236" s="7"/>
      <c r="U236" s="7"/>
      <c r="W236" s="7"/>
    </row>
    <row r="237" spans="1:31" outlineLevel="1">
      <c r="A237" s="30">
        <v>741</v>
      </c>
      <c r="B237" s="6" t="s">
        <v>124</v>
      </c>
      <c r="C237" s="5">
        <v>0</v>
      </c>
      <c r="D237" s="6">
        <f t="shared" ca="1" si="66"/>
        <v>0</v>
      </c>
      <c r="E237" s="6">
        <v>0</v>
      </c>
      <c r="F237" s="6"/>
      <c r="G237" s="6">
        <v>0</v>
      </c>
      <c r="H237" s="6"/>
      <c r="I237" s="6"/>
      <c r="J237" s="6"/>
      <c r="K237" s="6">
        <f t="shared" ca="1" si="67"/>
        <v>0</v>
      </c>
      <c r="L237" s="7">
        <f t="shared" ca="1" si="68"/>
        <v>0</v>
      </c>
      <c r="N237" s="6" t="s">
        <v>28</v>
      </c>
      <c r="O237" s="6" t="s">
        <v>29</v>
      </c>
      <c r="P237" s="6" t="s">
        <v>30</v>
      </c>
      <c r="Q237" s="6"/>
      <c r="R237" s="6"/>
      <c r="S237" s="7"/>
      <c r="T237" s="7"/>
      <c r="U237" s="7"/>
      <c r="W237" s="7"/>
    </row>
    <row r="238" spans="1:31" outlineLevel="1">
      <c r="A238" s="30">
        <v>742</v>
      </c>
      <c r="B238" s="6" t="s">
        <v>125</v>
      </c>
      <c r="C238" s="5">
        <v>0</v>
      </c>
      <c r="D238" s="6">
        <f t="shared" ca="1" si="66"/>
        <v>0</v>
      </c>
      <c r="E238" s="6"/>
      <c r="F238" s="6"/>
      <c r="G238" s="6">
        <v>0</v>
      </c>
      <c r="H238" s="6"/>
      <c r="I238" s="6"/>
      <c r="J238" s="6"/>
      <c r="K238" s="6">
        <f t="shared" ca="1" si="67"/>
        <v>0</v>
      </c>
      <c r="L238" s="7">
        <f t="shared" ca="1" si="68"/>
        <v>0</v>
      </c>
      <c r="N238" s="6" t="s">
        <v>28</v>
      </c>
      <c r="O238" s="6" t="s">
        <v>29</v>
      </c>
      <c r="P238" s="6" t="s">
        <v>30</v>
      </c>
      <c r="Q238" s="6"/>
      <c r="R238" s="6"/>
      <c r="S238" s="7"/>
      <c r="T238" s="7"/>
      <c r="U238" s="7"/>
      <c r="W238" s="7"/>
    </row>
    <row r="239" spans="1:31" hidden="1" outlineLevel="1">
      <c r="A239" s="31" t="s">
        <v>32</v>
      </c>
      <c r="B239" s="7" t="s">
        <v>32</v>
      </c>
      <c r="C239" s="5">
        <v>0</v>
      </c>
      <c r="D239" s="6">
        <f t="shared" ca="1" si="66"/>
        <v>0</v>
      </c>
      <c r="E239" s="7"/>
      <c r="F239" s="7"/>
      <c r="G239" s="7"/>
      <c r="H239" s="7"/>
      <c r="I239" s="7"/>
      <c r="J239" s="7"/>
      <c r="K239" s="6">
        <f t="shared" ca="1" si="67"/>
        <v>0</v>
      </c>
      <c r="L239" s="7">
        <f t="shared" ca="1" si="68"/>
        <v>0</v>
      </c>
      <c r="N239" s="6"/>
      <c r="O239" s="6"/>
      <c r="P239" s="6"/>
      <c r="Q239" s="6"/>
      <c r="R239" s="6"/>
      <c r="S239" s="7"/>
      <c r="T239" s="7"/>
      <c r="U239" s="7"/>
      <c r="W239" s="7"/>
    </row>
    <row r="240" spans="1:31" hidden="1" outlineLevel="1">
      <c r="A240" s="31" t="s">
        <v>32</v>
      </c>
      <c r="B240" s="7" t="s">
        <v>32</v>
      </c>
      <c r="C240" s="5">
        <v>0</v>
      </c>
      <c r="D240" s="6">
        <f t="shared" ca="1" si="66"/>
        <v>0</v>
      </c>
      <c r="E240" s="7"/>
      <c r="F240" s="7"/>
      <c r="G240" s="7"/>
      <c r="H240" s="7"/>
      <c r="I240" s="7"/>
      <c r="J240" s="7"/>
      <c r="K240" s="6">
        <f t="shared" ca="1" si="67"/>
        <v>0</v>
      </c>
      <c r="L240" s="7">
        <f t="shared" ca="1" si="68"/>
        <v>0</v>
      </c>
      <c r="N240" s="6"/>
      <c r="O240" s="6"/>
      <c r="P240" s="6"/>
      <c r="Q240" s="6"/>
      <c r="R240" s="6"/>
      <c r="S240" s="7"/>
      <c r="T240" s="7"/>
      <c r="U240" s="7"/>
      <c r="W240" s="7"/>
    </row>
    <row r="241" spans="1:23" hidden="1" outlineLevel="1">
      <c r="A241" s="31" t="s">
        <v>32</v>
      </c>
      <c r="B241" s="7" t="s">
        <v>32</v>
      </c>
      <c r="C241" s="5">
        <v>0</v>
      </c>
      <c r="D241" s="6">
        <f t="shared" ca="1" si="66"/>
        <v>0</v>
      </c>
      <c r="E241" s="7"/>
      <c r="F241" s="7"/>
      <c r="G241" s="7"/>
      <c r="H241" s="7"/>
      <c r="I241" s="7"/>
      <c r="J241" s="7"/>
      <c r="K241" s="6">
        <f t="shared" ca="1" si="67"/>
        <v>0</v>
      </c>
      <c r="L241" s="7">
        <f t="shared" ca="1" si="68"/>
        <v>0</v>
      </c>
      <c r="N241" s="6"/>
      <c r="O241" s="6"/>
      <c r="P241" s="6"/>
      <c r="Q241" s="6"/>
      <c r="R241" s="6"/>
      <c r="S241" s="7"/>
      <c r="T241" s="7"/>
      <c r="U241" s="7"/>
      <c r="W241" s="7"/>
    </row>
    <row r="242" spans="1:23" hidden="1" outlineLevel="1">
      <c r="A242" s="31" t="s">
        <v>32</v>
      </c>
      <c r="B242" s="7" t="s">
        <v>32</v>
      </c>
      <c r="C242" s="5">
        <v>0</v>
      </c>
      <c r="D242" s="6">
        <f t="shared" ca="1" si="66"/>
        <v>0</v>
      </c>
      <c r="E242" s="7"/>
      <c r="F242" s="7"/>
      <c r="G242" s="7"/>
      <c r="H242" s="7"/>
      <c r="I242" s="7"/>
      <c r="J242" s="7"/>
      <c r="K242" s="6">
        <f t="shared" ca="1" si="67"/>
        <v>0</v>
      </c>
      <c r="L242" s="7">
        <f t="shared" ca="1" si="68"/>
        <v>0</v>
      </c>
      <c r="N242" s="6"/>
      <c r="O242" s="6"/>
      <c r="P242" s="6"/>
      <c r="Q242" s="6"/>
      <c r="R242" s="6"/>
      <c r="S242" s="7"/>
      <c r="T242" s="7"/>
      <c r="U242" s="7"/>
      <c r="W242" s="7"/>
    </row>
    <row r="243" spans="1:23" outlineLevel="1">
      <c r="B243" s="8" t="s">
        <v>22</v>
      </c>
      <c r="C243" s="8">
        <f t="shared" ref="C243:L243" ca="1" si="69">SUM(C234:C242)</f>
        <v>163659.76729634861</v>
      </c>
      <c r="D243" s="8">
        <f t="shared" ca="1" si="69"/>
        <v>161094.99</v>
      </c>
      <c r="E243" s="8">
        <f t="shared" ca="1" si="69"/>
        <v>161094.99</v>
      </c>
      <c r="F243" s="8">
        <f t="shared" ca="1" si="69"/>
        <v>0</v>
      </c>
      <c r="G243" s="8">
        <f t="shared" ca="1" si="69"/>
        <v>2564.7772963486341</v>
      </c>
      <c r="H243" s="8">
        <f t="shared" ca="1" si="69"/>
        <v>0</v>
      </c>
      <c r="I243" s="8">
        <f t="shared" ca="1" si="69"/>
        <v>0</v>
      </c>
      <c r="J243" s="8">
        <f t="shared" ca="1" si="69"/>
        <v>0</v>
      </c>
      <c r="K243" s="8">
        <f t="shared" ca="1" si="69"/>
        <v>0</v>
      </c>
      <c r="L243" s="8">
        <f t="shared" ca="1" si="69"/>
        <v>163659.76729634861</v>
      </c>
      <c r="N243" s="8"/>
      <c r="O243" s="8"/>
      <c r="P243" s="8"/>
      <c r="Q243" s="8"/>
      <c r="R243" s="8"/>
      <c r="S243" s="8"/>
      <c r="T243" s="8"/>
      <c r="U243" s="8"/>
      <c r="W243" s="8"/>
    </row>
    <row r="244" spans="1:23" outlineLevel="1">
      <c r="C244" s="15"/>
    </row>
    <row r="245" spans="1:23" outlineLevel="1">
      <c r="B245" s="1" t="s">
        <v>126</v>
      </c>
      <c r="D245" s="9"/>
      <c r="E245" s="9"/>
      <c r="F245" s="9"/>
    </row>
    <row r="246" spans="1:23" outlineLevel="1">
      <c r="A246" s="30">
        <v>804</v>
      </c>
      <c r="B246" s="6" t="s">
        <v>127</v>
      </c>
      <c r="C246" s="5">
        <v>0</v>
      </c>
      <c r="D246" s="6">
        <f t="shared" ref="D246:D252" ca="1" si="70">E246+F246</f>
        <v>0</v>
      </c>
      <c r="E246" s="6"/>
      <c r="F246" s="6"/>
      <c r="G246" s="6"/>
      <c r="H246" s="6">
        <v>332449117.06799847</v>
      </c>
      <c r="I246" s="6"/>
      <c r="J246" s="6"/>
      <c r="K246" s="6">
        <f t="shared" ref="K246:K253" ca="1" si="71">+I246+J246</f>
        <v>0</v>
      </c>
      <c r="L246" s="7">
        <f t="shared" ref="L246:L253" ca="1" si="72">D246+G246+H246+K246</f>
        <v>332449117.06799847</v>
      </c>
      <c r="N246" s="6"/>
      <c r="O246" s="6"/>
      <c r="P246" s="6"/>
      <c r="Q246" s="6"/>
      <c r="R246" s="6"/>
      <c r="S246" s="7"/>
      <c r="T246" s="7"/>
      <c r="U246" s="7"/>
      <c r="W246" s="7" t="s">
        <v>128</v>
      </c>
    </row>
    <row r="247" spans="1:23" outlineLevel="1">
      <c r="A247" s="30">
        <v>805</v>
      </c>
      <c r="B247" s="6" t="s">
        <v>129</v>
      </c>
      <c r="C247" s="5">
        <v>0</v>
      </c>
      <c r="D247" s="6">
        <f t="shared" ca="1" si="70"/>
        <v>0</v>
      </c>
      <c r="E247" s="6"/>
      <c r="F247" s="6"/>
      <c r="G247" s="6"/>
      <c r="H247" s="6">
        <v>60.169999999998254</v>
      </c>
      <c r="I247" s="6"/>
      <c r="J247" s="6"/>
      <c r="K247" s="6">
        <f t="shared" ca="1" si="71"/>
        <v>0</v>
      </c>
      <c r="L247" s="7">
        <f t="shared" ca="1" si="72"/>
        <v>60.169999999998254</v>
      </c>
      <c r="N247" s="6"/>
      <c r="O247" s="6"/>
      <c r="P247" s="6"/>
      <c r="Q247" s="6"/>
      <c r="R247" s="6"/>
      <c r="S247" s="7"/>
      <c r="T247" s="7"/>
      <c r="U247" s="7"/>
      <c r="W247" s="7" t="s">
        <v>128</v>
      </c>
    </row>
    <row r="248" spans="1:23" outlineLevel="1">
      <c r="A248" s="30">
        <v>805.1</v>
      </c>
      <c r="B248" s="6" t="s">
        <v>130</v>
      </c>
      <c r="C248" s="5">
        <v>0</v>
      </c>
      <c r="D248" s="6">
        <f t="shared" ca="1" si="70"/>
        <v>0</v>
      </c>
      <c r="E248" s="6"/>
      <c r="F248" s="6"/>
      <c r="G248" s="6"/>
      <c r="H248" s="6">
        <v>18541458.74000001</v>
      </c>
      <c r="I248" s="6"/>
      <c r="J248" s="6"/>
      <c r="K248" s="6">
        <f t="shared" ca="1" si="71"/>
        <v>0</v>
      </c>
      <c r="L248" s="7">
        <f t="shared" ca="1" si="72"/>
        <v>18541458.74000001</v>
      </c>
      <c r="N248" s="6"/>
      <c r="O248" s="6"/>
      <c r="P248" s="6"/>
      <c r="Q248" s="6"/>
      <c r="R248" s="6"/>
      <c r="S248" s="7"/>
      <c r="T248" s="7"/>
      <c r="U248" s="7"/>
      <c r="W248" s="7" t="s">
        <v>128</v>
      </c>
    </row>
    <row r="249" spans="1:23" outlineLevel="1">
      <c r="A249" s="30">
        <v>807.2</v>
      </c>
      <c r="B249" s="6" t="s">
        <v>131</v>
      </c>
      <c r="C249" s="5">
        <v>407168.27906369255</v>
      </c>
      <c r="D249" s="6">
        <f t="shared" ca="1" si="70"/>
        <v>403105.68999999901</v>
      </c>
      <c r="E249" s="6">
        <v>403105.68999999901</v>
      </c>
      <c r="F249" s="6"/>
      <c r="G249" s="6">
        <v>4062.5890636935328</v>
      </c>
      <c r="H249" s="6"/>
      <c r="I249" s="6"/>
      <c r="J249" s="6"/>
      <c r="K249" s="6">
        <f t="shared" ca="1" si="71"/>
        <v>0</v>
      </c>
      <c r="L249" s="7">
        <f t="shared" ca="1" si="72"/>
        <v>407168.27906369255</v>
      </c>
      <c r="N249" s="6" t="s">
        <v>28</v>
      </c>
      <c r="O249" s="6" t="s">
        <v>36</v>
      </c>
      <c r="P249" s="6"/>
      <c r="Q249" s="7" t="s">
        <v>37</v>
      </c>
      <c r="R249" s="6"/>
      <c r="S249" s="7"/>
      <c r="T249" s="7"/>
      <c r="U249" s="7"/>
      <c r="W249" s="7"/>
    </row>
    <row r="250" spans="1:23" outlineLevel="1">
      <c r="A250" s="30">
        <v>807.4</v>
      </c>
      <c r="B250" s="6" t="s">
        <v>132</v>
      </c>
      <c r="C250" s="5">
        <v>172106.49387075566</v>
      </c>
      <c r="D250" s="6">
        <f t="shared" ca="1" si="70"/>
        <v>167880.02</v>
      </c>
      <c r="E250" s="6">
        <v>167880.02</v>
      </c>
      <c r="F250" s="6"/>
      <c r="G250" s="6">
        <v>4226.4738707556571</v>
      </c>
      <c r="H250" s="6"/>
      <c r="I250" s="6"/>
      <c r="J250" s="6"/>
      <c r="K250" s="6">
        <f t="shared" ca="1" si="71"/>
        <v>0</v>
      </c>
      <c r="L250" s="7">
        <f t="shared" ca="1" si="72"/>
        <v>172106.49387075566</v>
      </c>
      <c r="N250" s="6" t="s">
        <v>28</v>
      </c>
      <c r="O250" s="6" t="s">
        <v>36</v>
      </c>
      <c r="P250" s="6"/>
      <c r="Q250" s="7" t="s">
        <v>133</v>
      </c>
      <c r="R250" s="6"/>
      <c r="S250" s="7"/>
      <c r="T250" s="7"/>
      <c r="U250" s="7"/>
      <c r="W250" s="7"/>
    </row>
    <row r="251" spans="1:23" outlineLevel="1">
      <c r="A251" s="30">
        <v>808.1</v>
      </c>
      <c r="B251" s="6" t="s">
        <v>134</v>
      </c>
      <c r="C251" s="5">
        <v>0</v>
      </c>
      <c r="D251" s="6">
        <f t="shared" ca="1" si="70"/>
        <v>0</v>
      </c>
      <c r="E251" s="6"/>
      <c r="F251" s="6"/>
      <c r="G251" s="6"/>
      <c r="H251" s="6">
        <v>34704562.609999999</v>
      </c>
      <c r="I251" s="6"/>
      <c r="J251" s="6"/>
      <c r="K251" s="6">
        <f t="shared" ca="1" si="71"/>
        <v>0</v>
      </c>
      <c r="L251" s="7">
        <f t="shared" ca="1" si="72"/>
        <v>34704562.609999999</v>
      </c>
      <c r="N251" s="6"/>
      <c r="O251" s="6"/>
      <c r="P251" s="6"/>
      <c r="Q251" s="7"/>
      <c r="R251" s="6"/>
      <c r="S251" s="7"/>
      <c r="T251" s="7"/>
      <c r="U251" s="7"/>
      <c r="W251" s="7" t="s">
        <v>128</v>
      </c>
    </row>
    <row r="252" spans="1:23" outlineLevel="1">
      <c r="A252" s="30">
        <v>808.2</v>
      </c>
      <c r="B252" s="6" t="s">
        <v>135</v>
      </c>
      <c r="C252" s="5">
        <v>0</v>
      </c>
      <c r="D252" s="6">
        <f t="shared" ca="1" si="70"/>
        <v>0</v>
      </c>
      <c r="E252" s="6"/>
      <c r="F252" s="6"/>
      <c r="G252" s="6"/>
      <c r="H252" s="6">
        <v>-28473807.599999901</v>
      </c>
      <c r="I252" s="6"/>
      <c r="J252" s="6"/>
      <c r="K252" s="6">
        <f t="shared" ca="1" si="71"/>
        <v>0</v>
      </c>
      <c r="L252" s="7">
        <f t="shared" ca="1" si="72"/>
        <v>-28473807.599999901</v>
      </c>
      <c r="N252" s="6"/>
      <c r="O252" s="6"/>
      <c r="P252" s="6"/>
      <c r="Q252" s="7"/>
      <c r="R252" s="6"/>
      <c r="S252" s="7"/>
      <c r="T252" s="7"/>
      <c r="U252" s="7"/>
      <c r="W252" s="7" t="s">
        <v>128</v>
      </c>
    </row>
    <row r="253" spans="1:23" outlineLevel="1">
      <c r="A253" s="30">
        <v>812</v>
      </c>
      <c r="B253" s="6" t="s">
        <v>136</v>
      </c>
      <c r="C253" s="5">
        <v>-63807.0099999999</v>
      </c>
      <c r="D253" s="6">
        <f ca="1">E253+F253</f>
        <v>-63807.0099999999</v>
      </c>
      <c r="E253" s="6">
        <v>-63807.0099999999</v>
      </c>
      <c r="F253" s="6"/>
      <c r="G253" s="6">
        <v>0</v>
      </c>
      <c r="H253" s="6"/>
      <c r="I253" s="6"/>
      <c r="J253" s="6"/>
      <c r="K253" s="6">
        <f t="shared" ca="1" si="71"/>
        <v>0</v>
      </c>
      <c r="L253" s="7">
        <f t="shared" ca="1" si="72"/>
        <v>-63807.0099999999</v>
      </c>
      <c r="N253" s="6" t="s">
        <v>28</v>
      </c>
      <c r="O253" s="6" t="s">
        <v>36</v>
      </c>
      <c r="P253" s="6"/>
      <c r="Q253" s="7" t="s">
        <v>37</v>
      </c>
      <c r="R253" s="6"/>
      <c r="S253" s="7"/>
      <c r="T253" s="7"/>
      <c r="U253" s="7"/>
      <c r="W253" s="7"/>
    </row>
    <row r="254" spans="1:23" outlineLevel="1">
      <c r="A254" s="30"/>
      <c r="B254" s="6"/>
      <c r="C254" s="5"/>
      <c r="D254" s="6"/>
      <c r="E254" s="6"/>
      <c r="F254" s="6"/>
      <c r="G254" s="6"/>
      <c r="H254" s="6"/>
      <c r="I254" s="6"/>
      <c r="J254" s="6"/>
      <c r="K254" s="6"/>
      <c r="L254" s="7"/>
      <c r="N254" s="6"/>
      <c r="O254" s="6"/>
      <c r="P254" s="6"/>
      <c r="Q254" s="7"/>
      <c r="R254" s="6"/>
      <c r="S254" s="7"/>
      <c r="T254" s="7"/>
      <c r="U254" s="7"/>
      <c r="W254" s="7"/>
    </row>
    <row r="255" spans="1:23" outlineLevel="1">
      <c r="B255" s="8" t="s">
        <v>22</v>
      </c>
      <c r="C255" s="8">
        <f t="shared" ref="C255:L255" ca="1" si="73">SUM(C246:C254)</f>
        <v>515467.76293444831</v>
      </c>
      <c r="D255" s="8">
        <f t="shared" ca="1" si="73"/>
        <v>507178.69999999914</v>
      </c>
      <c r="E255" s="8">
        <f t="shared" ca="1" si="73"/>
        <v>507178.69999999914</v>
      </c>
      <c r="F255" s="8">
        <f t="shared" ca="1" si="73"/>
        <v>0</v>
      </c>
      <c r="G255" s="8">
        <f t="shared" ca="1" si="73"/>
        <v>8289.0629344491899</v>
      </c>
      <c r="H255" s="8">
        <f ca="1">SUM(H246:H254)</f>
        <v>357221390.9879986</v>
      </c>
      <c r="I255" s="8">
        <f t="shared" ca="1" si="73"/>
        <v>0</v>
      </c>
      <c r="J255" s="8">
        <f t="shared" ca="1" si="73"/>
        <v>0</v>
      </c>
      <c r="K255" s="8">
        <f t="shared" ca="1" si="73"/>
        <v>0</v>
      </c>
      <c r="L255" s="8">
        <f t="shared" ca="1" si="73"/>
        <v>357736858.75093305</v>
      </c>
      <c r="N255" s="8"/>
      <c r="O255" s="8"/>
      <c r="P255" s="8"/>
      <c r="Q255" s="8"/>
      <c r="R255" s="8"/>
      <c r="S255" s="8"/>
      <c r="T255" s="8"/>
      <c r="U255" s="8"/>
      <c r="W255" s="8"/>
    </row>
    <row r="256" spans="1:23" outlineLevel="1">
      <c r="C256" s="15"/>
      <c r="H256" s="9"/>
    </row>
    <row r="257" spans="1:38" outlineLevel="1">
      <c r="B257" s="1" t="s">
        <v>137</v>
      </c>
      <c r="C257" s="9"/>
    </row>
    <row r="258" spans="1:38" outlineLevel="1">
      <c r="A258" s="30"/>
      <c r="B258" s="6" t="s">
        <v>34</v>
      </c>
      <c r="C258" s="5">
        <v>265352.50357485877</v>
      </c>
      <c r="D258" s="6">
        <f ca="1">E258+F258</f>
        <v>262404.84599999979</v>
      </c>
      <c r="E258" s="6">
        <f ca="1">AG279</f>
        <v>262404.84599999979</v>
      </c>
      <c r="F258" s="6"/>
      <c r="G258" s="7">
        <f ca="1">AK279</f>
        <v>2947.6575748590099</v>
      </c>
      <c r="H258" s="7"/>
      <c r="I258" s="7"/>
      <c r="J258" s="7"/>
      <c r="K258" s="6">
        <f t="shared" ref="K258:K278" ca="1" si="74">+I258+J258</f>
        <v>0</v>
      </c>
      <c r="L258" s="7">
        <f t="shared" ref="L258:L278" ca="1" si="75">D258+G258+H258+K258</f>
        <v>265352.50357485877</v>
      </c>
      <c r="N258" s="6" t="s">
        <v>35</v>
      </c>
      <c r="O258" s="6" t="s">
        <v>36</v>
      </c>
      <c r="P258" s="6"/>
      <c r="Q258" s="6" t="s">
        <v>37</v>
      </c>
      <c r="R258" s="6"/>
      <c r="S258" s="7"/>
      <c r="T258" s="7"/>
      <c r="U258" s="7"/>
      <c r="W258" s="7"/>
      <c r="Z258" s="22"/>
      <c r="AA258" s="22"/>
    </row>
    <row r="259" spans="1:38" outlineLevel="1">
      <c r="A259" s="30">
        <v>814</v>
      </c>
      <c r="B259" s="6" t="s">
        <v>138</v>
      </c>
      <c r="C259" s="5">
        <v>126396.40948098811</v>
      </c>
      <c r="D259" s="6">
        <f t="shared" ref="D259:D291" ca="1" si="76">E259+F259</f>
        <v>123481.416</v>
      </c>
      <c r="E259" s="6">
        <f ca="1">AH259</f>
        <v>123481.416</v>
      </c>
      <c r="F259" s="6"/>
      <c r="G259" s="7">
        <f ca="1">AL259</f>
        <v>2914.9934809881029</v>
      </c>
      <c r="H259" s="7"/>
      <c r="I259" s="7"/>
      <c r="J259" s="7"/>
      <c r="K259" s="6">
        <f t="shared" ca="1" si="74"/>
        <v>0</v>
      </c>
      <c r="L259" s="7">
        <f t="shared" ca="1" si="75"/>
        <v>126396.40948098811</v>
      </c>
      <c r="N259" s="39"/>
      <c r="O259" s="6"/>
      <c r="P259" s="6"/>
      <c r="Q259" s="7"/>
      <c r="R259" s="7"/>
      <c r="S259" s="7"/>
      <c r="T259" s="7"/>
      <c r="U259" s="7"/>
      <c r="W259" s="7" t="s">
        <v>139</v>
      </c>
      <c r="Z259" s="22"/>
      <c r="AA259" s="22"/>
      <c r="AF259" s="6">
        <v>154351.76999999999</v>
      </c>
      <c r="AG259" s="34">
        <f t="shared" ref="AG259:AG278" ca="1" si="77">AF259*JP_Bal</f>
        <v>30870.353999999999</v>
      </c>
      <c r="AH259" s="34">
        <f ca="1">AF259-AG259</f>
        <v>123481.416</v>
      </c>
      <c r="AJ259" s="6">
        <v>3643.7418512351287</v>
      </c>
      <c r="AK259" s="34">
        <f t="shared" ref="AK259:AK278" ca="1" si="78">AJ259*JP_Bal</f>
        <v>728.74837024702583</v>
      </c>
      <c r="AL259" s="34">
        <f ca="1">AJ259-AK259</f>
        <v>2914.9934809881029</v>
      </c>
    </row>
    <row r="260" spans="1:38" outlineLevel="1">
      <c r="A260" s="30">
        <v>815</v>
      </c>
      <c r="B260" s="6" t="s">
        <v>140</v>
      </c>
      <c r="C260" s="5">
        <v>0</v>
      </c>
      <c r="D260" s="6">
        <f t="shared" ca="1" si="76"/>
        <v>0</v>
      </c>
      <c r="E260" s="6">
        <f t="shared" ref="E260:E278" ca="1" si="79">AH260</f>
        <v>0</v>
      </c>
      <c r="F260" s="6"/>
      <c r="G260" s="7">
        <f t="shared" ref="G260:G278" ca="1" si="80">AL260</f>
        <v>0</v>
      </c>
      <c r="H260" s="7"/>
      <c r="I260" s="7"/>
      <c r="J260" s="7"/>
      <c r="K260" s="6">
        <f t="shared" ca="1" si="74"/>
        <v>0</v>
      </c>
      <c r="L260" s="7">
        <f t="shared" ca="1" si="75"/>
        <v>0</v>
      </c>
      <c r="N260" s="6"/>
      <c r="O260" s="6"/>
      <c r="P260" s="6"/>
      <c r="Q260" s="7"/>
      <c r="R260" s="7"/>
      <c r="S260" s="7"/>
      <c r="T260" s="7"/>
      <c r="U260" s="7"/>
      <c r="W260" s="7" t="s">
        <v>141</v>
      </c>
      <c r="Z260" s="22"/>
      <c r="AA260" s="22"/>
      <c r="AF260" s="6">
        <v>0</v>
      </c>
      <c r="AG260" s="34">
        <f t="shared" ca="1" si="77"/>
        <v>0</v>
      </c>
      <c r="AH260" s="34">
        <f t="shared" ref="AH260:AH278" ca="1" si="81">AF260-AG260</f>
        <v>0</v>
      </c>
      <c r="AJ260" s="6">
        <v>0</v>
      </c>
      <c r="AK260" s="34">
        <f t="shared" ca="1" si="78"/>
        <v>0</v>
      </c>
      <c r="AL260" s="34">
        <f t="shared" ref="AL260:AL278" ca="1" si="82">AJ260-AK260</f>
        <v>0</v>
      </c>
    </row>
    <row r="261" spans="1:38" outlineLevel="1">
      <c r="A261" s="30">
        <v>816</v>
      </c>
      <c r="B261" s="6" t="s">
        <v>142</v>
      </c>
      <c r="C261" s="5">
        <v>7197.4880000000003</v>
      </c>
      <c r="D261" s="6">
        <f t="shared" ca="1" si="76"/>
        <v>7197.4880000000003</v>
      </c>
      <c r="E261" s="6">
        <f t="shared" ca="1" si="79"/>
        <v>7197.4880000000003</v>
      </c>
      <c r="F261" s="6"/>
      <c r="G261" s="7">
        <f t="shared" ca="1" si="80"/>
        <v>0</v>
      </c>
      <c r="H261" s="7"/>
      <c r="I261" s="7"/>
      <c r="J261" s="7"/>
      <c r="K261" s="6">
        <f t="shared" ca="1" si="74"/>
        <v>0</v>
      </c>
      <c r="L261" s="7">
        <f t="shared" ca="1" si="75"/>
        <v>7197.4880000000003</v>
      </c>
      <c r="N261" s="6"/>
      <c r="O261" s="6"/>
      <c r="P261" s="6"/>
      <c r="Q261" s="7"/>
      <c r="R261" s="7"/>
      <c r="S261" s="7"/>
      <c r="T261" s="7"/>
      <c r="U261" s="7"/>
      <c r="W261" s="7" t="s">
        <v>141</v>
      </c>
      <c r="Z261" s="22"/>
      <c r="AA261" s="22"/>
      <c r="AF261" s="6">
        <v>8996.86</v>
      </c>
      <c r="AG261" s="34">
        <f t="shared" ca="1" si="77"/>
        <v>1799.3720000000003</v>
      </c>
      <c r="AH261" s="34">
        <f t="shared" ca="1" si="81"/>
        <v>7197.4880000000003</v>
      </c>
      <c r="AJ261" s="6">
        <v>0</v>
      </c>
      <c r="AK261" s="34">
        <f t="shared" ca="1" si="78"/>
        <v>0</v>
      </c>
      <c r="AL261" s="34">
        <f t="shared" ca="1" si="82"/>
        <v>0</v>
      </c>
    </row>
    <row r="262" spans="1:38" outlineLevel="1">
      <c r="A262" s="30">
        <v>817</v>
      </c>
      <c r="B262" s="6" t="s">
        <v>143</v>
      </c>
      <c r="C262" s="5">
        <v>23353.879999999997</v>
      </c>
      <c r="D262" s="6">
        <f t="shared" ca="1" si="76"/>
        <v>23353.879999999997</v>
      </c>
      <c r="E262" s="6">
        <f t="shared" ca="1" si="79"/>
        <v>23353.879999999997</v>
      </c>
      <c r="F262" s="6"/>
      <c r="G262" s="7">
        <f t="shared" ca="1" si="80"/>
        <v>0</v>
      </c>
      <c r="H262" s="7"/>
      <c r="I262" s="7"/>
      <c r="J262" s="7"/>
      <c r="K262" s="6">
        <f t="shared" ca="1" si="74"/>
        <v>0</v>
      </c>
      <c r="L262" s="7">
        <f t="shared" ca="1" si="75"/>
        <v>23353.879999999997</v>
      </c>
      <c r="N262" s="6"/>
      <c r="O262" s="6"/>
      <c r="P262" s="6"/>
      <c r="Q262" s="7"/>
      <c r="R262" s="7"/>
      <c r="S262" s="7"/>
      <c r="T262" s="7"/>
      <c r="U262" s="7"/>
      <c r="W262" s="7" t="s">
        <v>141</v>
      </c>
      <c r="Z262" s="22"/>
      <c r="AA262" s="22"/>
      <c r="AF262" s="6">
        <v>29192.35</v>
      </c>
      <c r="AG262" s="34">
        <f t="shared" ca="1" si="77"/>
        <v>5838.47</v>
      </c>
      <c r="AH262" s="34">
        <f t="shared" ca="1" si="81"/>
        <v>23353.879999999997</v>
      </c>
      <c r="AJ262" s="6">
        <v>0</v>
      </c>
      <c r="AK262" s="34">
        <f t="shared" ca="1" si="78"/>
        <v>0</v>
      </c>
      <c r="AL262" s="34">
        <f t="shared" ca="1" si="82"/>
        <v>0</v>
      </c>
    </row>
    <row r="263" spans="1:38" outlineLevel="1">
      <c r="A263" s="30">
        <v>818</v>
      </c>
      <c r="B263" s="6" t="s">
        <v>144</v>
      </c>
      <c r="C263" s="5">
        <v>195443.69753227266</v>
      </c>
      <c r="D263" s="6">
        <f t="shared" ca="1" si="76"/>
        <v>192182.79199999999</v>
      </c>
      <c r="E263" s="6">
        <f t="shared" ca="1" si="79"/>
        <v>192182.79199999999</v>
      </c>
      <c r="F263" s="6"/>
      <c r="G263" s="7">
        <f t="shared" ca="1" si="80"/>
        <v>3260.9055322726749</v>
      </c>
      <c r="H263" s="7"/>
      <c r="I263" s="7"/>
      <c r="J263" s="7"/>
      <c r="K263" s="6">
        <f t="shared" ca="1" si="74"/>
        <v>0</v>
      </c>
      <c r="L263" s="7">
        <f t="shared" ca="1" si="75"/>
        <v>195443.69753227266</v>
      </c>
      <c r="N263" s="6"/>
      <c r="O263" s="6"/>
      <c r="P263" s="6"/>
      <c r="Q263" s="7"/>
      <c r="R263" s="7"/>
      <c r="S263" s="7"/>
      <c r="T263" s="7"/>
      <c r="U263" s="7"/>
      <c r="W263" s="7" t="s">
        <v>141</v>
      </c>
      <c r="Z263" s="22"/>
      <c r="AA263" s="22"/>
      <c r="AF263" s="6">
        <v>240228.49</v>
      </c>
      <c r="AG263" s="34">
        <f t="shared" ca="1" si="77"/>
        <v>48045.698000000004</v>
      </c>
      <c r="AH263" s="34">
        <f t="shared" ca="1" si="81"/>
        <v>192182.79199999999</v>
      </c>
      <c r="AJ263" s="6">
        <v>4076.1319153408435</v>
      </c>
      <c r="AK263" s="34">
        <f t="shared" ca="1" si="78"/>
        <v>815.22638306816873</v>
      </c>
      <c r="AL263" s="34">
        <f t="shared" ca="1" si="82"/>
        <v>3260.9055322726749</v>
      </c>
    </row>
    <row r="264" spans="1:38" outlineLevel="1">
      <c r="A264" s="30">
        <v>819</v>
      </c>
      <c r="B264" s="6" t="s">
        <v>145</v>
      </c>
      <c r="C264" s="5">
        <v>23257.288</v>
      </c>
      <c r="D264" s="6">
        <f t="shared" ca="1" si="76"/>
        <v>23257.288</v>
      </c>
      <c r="E264" s="6">
        <f t="shared" ca="1" si="79"/>
        <v>23257.288</v>
      </c>
      <c r="F264" s="6"/>
      <c r="G264" s="7">
        <f t="shared" ca="1" si="80"/>
        <v>0</v>
      </c>
      <c r="H264" s="7"/>
      <c r="I264" s="7"/>
      <c r="J264" s="7"/>
      <c r="K264" s="6">
        <f t="shared" ca="1" si="74"/>
        <v>0</v>
      </c>
      <c r="L264" s="7">
        <f t="shared" ca="1" si="75"/>
        <v>23257.288</v>
      </c>
      <c r="N264" s="6"/>
      <c r="O264" s="6"/>
      <c r="P264" s="6"/>
      <c r="Q264" s="7"/>
      <c r="R264" s="7"/>
      <c r="S264" s="7"/>
      <c r="T264" s="7"/>
      <c r="U264" s="7"/>
      <c r="W264" s="7" t="s">
        <v>141</v>
      </c>
      <c r="Z264" s="22"/>
      <c r="AA264" s="22"/>
      <c r="AF264" s="6">
        <v>29071.61</v>
      </c>
      <c r="AG264" s="34">
        <f t="shared" ca="1" si="77"/>
        <v>5814.3220000000001</v>
      </c>
      <c r="AH264" s="34">
        <f t="shared" ca="1" si="81"/>
        <v>23257.288</v>
      </c>
      <c r="AJ264" s="6">
        <v>0</v>
      </c>
      <c r="AK264" s="34">
        <f t="shared" ca="1" si="78"/>
        <v>0</v>
      </c>
      <c r="AL264" s="34">
        <f t="shared" ca="1" si="82"/>
        <v>0</v>
      </c>
    </row>
    <row r="265" spans="1:38" outlineLevel="1">
      <c r="A265" s="30">
        <v>820</v>
      </c>
      <c r="B265" s="6" t="s">
        <v>146</v>
      </c>
      <c r="C265" s="5">
        <v>4188.6959999999999</v>
      </c>
      <c r="D265" s="6">
        <f t="shared" ca="1" si="76"/>
        <v>4188.6959999999999</v>
      </c>
      <c r="E265" s="6">
        <f t="shared" ca="1" si="79"/>
        <v>4188.6959999999999</v>
      </c>
      <c r="F265" s="6"/>
      <c r="G265" s="7">
        <f t="shared" ca="1" si="80"/>
        <v>0</v>
      </c>
      <c r="H265" s="7"/>
      <c r="I265" s="7"/>
      <c r="J265" s="7"/>
      <c r="K265" s="6">
        <f t="shared" ca="1" si="74"/>
        <v>0</v>
      </c>
      <c r="L265" s="7">
        <f t="shared" ca="1" si="75"/>
        <v>4188.6959999999999</v>
      </c>
      <c r="N265" s="6"/>
      <c r="O265" s="6"/>
      <c r="P265" s="6"/>
      <c r="Q265" s="7"/>
      <c r="R265" s="7"/>
      <c r="S265" s="7"/>
      <c r="T265" s="7"/>
      <c r="U265" s="7"/>
      <c r="W265" s="7" t="s">
        <v>141</v>
      </c>
      <c r="Z265" s="22"/>
      <c r="AA265" s="22"/>
      <c r="AF265" s="6">
        <v>5235.87</v>
      </c>
      <c r="AG265" s="34">
        <f t="shared" ca="1" si="77"/>
        <v>1047.174</v>
      </c>
      <c r="AH265" s="34">
        <f t="shared" ca="1" si="81"/>
        <v>4188.6959999999999</v>
      </c>
      <c r="AJ265" s="6">
        <v>0</v>
      </c>
      <c r="AK265" s="34">
        <f t="shared" ca="1" si="78"/>
        <v>0</v>
      </c>
      <c r="AL265" s="34">
        <f t="shared" ca="1" si="82"/>
        <v>0</v>
      </c>
    </row>
    <row r="266" spans="1:38" outlineLevel="1">
      <c r="A266" s="30">
        <v>821</v>
      </c>
      <c r="B266" s="6" t="s">
        <v>147</v>
      </c>
      <c r="C266" s="5">
        <v>23573.488000000001</v>
      </c>
      <c r="D266" s="6">
        <f t="shared" ca="1" si="76"/>
        <v>23573.488000000001</v>
      </c>
      <c r="E266" s="6">
        <f t="shared" ca="1" si="79"/>
        <v>23573.488000000001</v>
      </c>
      <c r="F266" s="6"/>
      <c r="G266" s="7">
        <f t="shared" ca="1" si="80"/>
        <v>0</v>
      </c>
      <c r="H266" s="7"/>
      <c r="I266" s="7"/>
      <c r="J266" s="7"/>
      <c r="K266" s="6">
        <f t="shared" ca="1" si="74"/>
        <v>0</v>
      </c>
      <c r="L266" s="7">
        <f t="shared" ca="1" si="75"/>
        <v>23573.488000000001</v>
      </c>
      <c r="N266" s="6"/>
      <c r="O266" s="6"/>
      <c r="P266" s="6"/>
      <c r="Q266" s="7"/>
      <c r="R266" s="7"/>
      <c r="S266" s="7"/>
      <c r="T266" s="7"/>
      <c r="U266" s="7"/>
      <c r="W266" s="7" t="s">
        <v>141</v>
      </c>
      <c r="Z266" s="22"/>
      <c r="AA266" s="22"/>
      <c r="AF266" s="6">
        <v>29466.86</v>
      </c>
      <c r="AG266" s="34">
        <f t="shared" ca="1" si="77"/>
        <v>5893.3720000000003</v>
      </c>
      <c r="AH266" s="34">
        <f t="shared" ca="1" si="81"/>
        <v>23573.488000000001</v>
      </c>
      <c r="AJ266" s="6">
        <v>0</v>
      </c>
      <c r="AK266" s="34">
        <f t="shared" ca="1" si="78"/>
        <v>0</v>
      </c>
      <c r="AL266" s="34">
        <f t="shared" ca="1" si="82"/>
        <v>0</v>
      </c>
    </row>
    <row r="267" spans="1:38" outlineLevel="1">
      <c r="A267" s="30">
        <v>823</v>
      </c>
      <c r="B267" s="6" t="s">
        <v>148</v>
      </c>
      <c r="C267" s="5">
        <v>0</v>
      </c>
      <c r="D267" s="6">
        <f t="shared" ca="1" si="76"/>
        <v>0</v>
      </c>
      <c r="E267" s="6">
        <f t="shared" ca="1" si="79"/>
        <v>0</v>
      </c>
      <c r="F267" s="6"/>
      <c r="G267" s="7">
        <f t="shared" ca="1" si="80"/>
        <v>0</v>
      </c>
      <c r="H267" s="7"/>
      <c r="I267" s="7"/>
      <c r="J267" s="7"/>
      <c r="K267" s="6">
        <f t="shared" ca="1" si="74"/>
        <v>0</v>
      </c>
      <c r="L267" s="7">
        <f t="shared" ca="1" si="75"/>
        <v>0</v>
      </c>
      <c r="N267" s="6"/>
      <c r="O267" s="6"/>
      <c r="P267" s="6"/>
      <c r="Q267" s="7"/>
      <c r="R267" s="7"/>
      <c r="S267" s="7"/>
      <c r="T267" s="7"/>
      <c r="U267" s="7"/>
      <c r="W267" s="7" t="s">
        <v>141</v>
      </c>
      <c r="Z267" s="22"/>
      <c r="AA267" s="22"/>
      <c r="AF267" s="6">
        <v>0</v>
      </c>
      <c r="AG267" s="34">
        <f t="shared" ca="1" si="77"/>
        <v>0</v>
      </c>
      <c r="AH267" s="34">
        <f t="shared" ca="1" si="81"/>
        <v>0</v>
      </c>
      <c r="AJ267" s="6">
        <v>0</v>
      </c>
      <c r="AK267" s="34">
        <f t="shared" ca="1" si="78"/>
        <v>0</v>
      </c>
      <c r="AL267" s="34">
        <f t="shared" ca="1" si="82"/>
        <v>0</v>
      </c>
    </row>
    <row r="268" spans="1:38" outlineLevel="1">
      <c r="A268" s="30">
        <v>824</v>
      </c>
      <c r="B268" s="6" t="s">
        <v>149</v>
      </c>
      <c r="C268" s="5">
        <v>67784.397162199763</v>
      </c>
      <c r="D268" s="6">
        <f t="shared" ca="1" si="76"/>
        <v>67676.415999999997</v>
      </c>
      <c r="E268" s="6">
        <f t="shared" ca="1" si="79"/>
        <v>67676.415999999997</v>
      </c>
      <c r="F268" s="6"/>
      <c r="G268" s="7">
        <f t="shared" ca="1" si="80"/>
        <v>107.98116219976825</v>
      </c>
      <c r="H268" s="7"/>
      <c r="I268" s="7"/>
      <c r="J268" s="7"/>
      <c r="K268" s="6">
        <f t="shared" ca="1" si="74"/>
        <v>0</v>
      </c>
      <c r="L268" s="7">
        <f t="shared" ca="1" si="75"/>
        <v>67784.397162199763</v>
      </c>
      <c r="N268" s="6"/>
      <c r="O268" s="6"/>
      <c r="P268" s="6"/>
      <c r="Q268" s="7"/>
      <c r="R268" s="7"/>
      <c r="S268" s="7"/>
      <c r="T268" s="7"/>
      <c r="U268" s="7"/>
      <c r="W268" s="7" t="s">
        <v>141</v>
      </c>
      <c r="Z268" s="22"/>
      <c r="AA268" s="22"/>
      <c r="AF268" s="6">
        <v>84595.520000000004</v>
      </c>
      <c r="AG268" s="34">
        <f t="shared" ca="1" si="77"/>
        <v>16919.104000000003</v>
      </c>
      <c r="AH268" s="34">
        <f t="shared" ca="1" si="81"/>
        <v>67676.415999999997</v>
      </c>
      <c r="AJ268" s="6">
        <v>134.97645274971032</v>
      </c>
      <c r="AK268" s="34">
        <f t="shared" ca="1" si="78"/>
        <v>26.995290549942066</v>
      </c>
      <c r="AL268" s="34">
        <f t="shared" ca="1" si="82"/>
        <v>107.98116219976825</v>
      </c>
    </row>
    <row r="269" spans="1:38" outlineLevel="1">
      <c r="A269" s="30">
        <v>825</v>
      </c>
      <c r="B269" s="6" t="s">
        <v>150</v>
      </c>
      <c r="C269" s="5">
        <v>26019.768</v>
      </c>
      <c r="D269" s="6">
        <f t="shared" ca="1" si="76"/>
        <v>26019.768</v>
      </c>
      <c r="E269" s="6">
        <f t="shared" ca="1" si="79"/>
        <v>26019.768</v>
      </c>
      <c r="F269" s="6"/>
      <c r="G269" s="7">
        <f t="shared" ca="1" si="80"/>
        <v>0</v>
      </c>
      <c r="H269" s="7"/>
      <c r="I269" s="7"/>
      <c r="J269" s="7"/>
      <c r="K269" s="6">
        <f t="shared" ca="1" si="74"/>
        <v>0</v>
      </c>
      <c r="L269" s="7">
        <f t="shared" ca="1" si="75"/>
        <v>26019.768</v>
      </c>
      <c r="N269" s="6"/>
      <c r="O269" s="6"/>
      <c r="P269" s="6"/>
      <c r="Q269" s="7"/>
      <c r="R269" s="7"/>
      <c r="S269" s="7"/>
      <c r="T269" s="7"/>
      <c r="U269" s="7"/>
      <c r="W269" s="7" t="s">
        <v>141</v>
      </c>
      <c r="Z269" s="22"/>
      <c r="AA269" s="22"/>
      <c r="AF269" s="6">
        <v>32524.71</v>
      </c>
      <c r="AG269" s="34">
        <f t="shared" ca="1" si="77"/>
        <v>6504.942</v>
      </c>
      <c r="AH269" s="34">
        <f t="shared" ca="1" si="81"/>
        <v>26019.768</v>
      </c>
      <c r="AJ269" s="6">
        <v>0</v>
      </c>
      <c r="AK269" s="34">
        <f t="shared" ca="1" si="78"/>
        <v>0</v>
      </c>
      <c r="AL269" s="34">
        <f t="shared" ca="1" si="82"/>
        <v>0</v>
      </c>
    </row>
    <row r="270" spans="1:38" outlineLevel="1">
      <c r="A270" s="30">
        <v>826</v>
      </c>
      <c r="B270" s="6" t="s">
        <v>151</v>
      </c>
      <c r="C270" s="5">
        <v>0</v>
      </c>
      <c r="D270" s="6">
        <f t="shared" ca="1" si="76"/>
        <v>0</v>
      </c>
      <c r="E270" s="6">
        <f t="shared" ca="1" si="79"/>
        <v>0</v>
      </c>
      <c r="F270" s="6"/>
      <c r="G270" s="7">
        <f t="shared" ca="1" si="80"/>
        <v>0</v>
      </c>
      <c r="H270" s="7"/>
      <c r="I270" s="7"/>
      <c r="J270" s="7"/>
      <c r="K270" s="6">
        <f t="shared" ca="1" si="74"/>
        <v>0</v>
      </c>
      <c r="L270" s="7">
        <f t="shared" ca="1" si="75"/>
        <v>0</v>
      </c>
      <c r="N270" s="6"/>
      <c r="O270" s="6"/>
      <c r="P270" s="6"/>
      <c r="Q270" s="7"/>
      <c r="R270" s="7"/>
      <c r="S270" s="7"/>
      <c r="T270" s="7"/>
      <c r="U270" s="7"/>
      <c r="W270" s="7" t="s">
        <v>141</v>
      </c>
      <c r="Z270" s="22"/>
      <c r="AA270" s="22"/>
      <c r="AF270" s="6">
        <v>0</v>
      </c>
      <c r="AG270" s="34">
        <f t="shared" ca="1" si="77"/>
        <v>0</v>
      </c>
      <c r="AH270" s="34">
        <f t="shared" ca="1" si="81"/>
        <v>0</v>
      </c>
      <c r="AJ270" s="6">
        <v>0</v>
      </c>
      <c r="AK270" s="34">
        <f t="shared" ca="1" si="78"/>
        <v>0</v>
      </c>
      <c r="AL270" s="34">
        <f t="shared" ca="1" si="82"/>
        <v>0</v>
      </c>
    </row>
    <row r="271" spans="1:38" outlineLevel="1">
      <c r="A271" s="30">
        <v>830</v>
      </c>
      <c r="B271" s="6" t="s">
        <v>152</v>
      </c>
      <c r="C271" s="5">
        <v>110976.36901294044</v>
      </c>
      <c r="D271" s="6">
        <f t="shared" ca="1" si="76"/>
        <v>108209.976</v>
      </c>
      <c r="E271" s="6">
        <f t="shared" ca="1" si="79"/>
        <v>108209.976</v>
      </c>
      <c r="F271" s="6"/>
      <c r="G271" s="7">
        <f t="shared" ca="1" si="80"/>
        <v>2766.3930129404521</v>
      </c>
      <c r="H271" s="7"/>
      <c r="I271" s="7"/>
      <c r="J271" s="7"/>
      <c r="K271" s="6">
        <f t="shared" ca="1" si="74"/>
        <v>0</v>
      </c>
      <c r="L271" s="7">
        <f t="shared" ca="1" si="75"/>
        <v>110976.36901294044</v>
      </c>
      <c r="N271" s="6"/>
      <c r="O271" s="6"/>
      <c r="P271" s="6"/>
      <c r="Q271" s="7"/>
      <c r="R271" s="7"/>
      <c r="S271" s="7"/>
      <c r="T271" s="7"/>
      <c r="U271" s="7"/>
      <c r="W271" s="7" t="s">
        <v>141</v>
      </c>
      <c r="Z271" s="22"/>
      <c r="AA271" s="22"/>
      <c r="AF271" s="6">
        <v>135262.47</v>
      </c>
      <c r="AG271" s="34">
        <f t="shared" ca="1" si="77"/>
        <v>27052.494000000002</v>
      </c>
      <c r="AH271" s="34">
        <f t="shared" ca="1" si="81"/>
        <v>108209.976</v>
      </c>
      <c r="AJ271" s="6">
        <v>3457.9912661755652</v>
      </c>
      <c r="AK271" s="34">
        <f t="shared" ca="1" si="78"/>
        <v>691.59825323511313</v>
      </c>
      <c r="AL271" s="34">
        <f t="shared" ca="1" si="82"/>
        <v>2766.3930129404521</v>
      </c>
    </row>
    <row r="272" spans="1:38" outlineLevel="1">
      <c r="A272" s="30">
        <v>831</v>
      </c>
      <c r="B272" s="6" t="s">
        <v>153</v>
      </c>
      <c r="C272" s="5">
        <v>33888.588895949666</v>
      </c>
      <c r="D272" s="6">
        <f t="shared" ca="1" si="76"/>
        <v>33796.871999999996</v>
      </c>
      <c r="E272" s="6">
        <f t="shared" ca="1" si="79"/>
        <v>33796.871999999996</v>
      </c>
      <c r="F272" s="6"/>
      <c r="G272" s="7">
        <f t="shared" ca="1" si="80"/>
        <v>91.716895949670558</v>
      </c>
      <c r="H272" s="7"/>
      <c r="I272" s="7"/>
      <c r="J272" s="7"/>
      <c r="K272" s="6">
        <f t="shared" ca="1" si="74"/>
        <v>0</v>
      </c>
      <c r="L272" s="7">
        <f t="shared" ca="1" si="75"/>
        <v>33888.588895949666</v>
      </c>
      <c r="N272" s="6"/>
      <c r="O272" s="6"/>
      <c r="P272" s="6"/>
      <c r="Q272" s="7"/>
      <c r="R272" s="7"/>
      <c r="S272" s="7"/>
      <c r="T272" s="7"/>
      <c r="U272" s="7"/>
      <c r="W272" s="7" t="s">
        <v>141</v>
      </c>
      <c r="Z272" s="22"/>
      <c r="AA272" s="22"/>
      <c r="AF272" s="6">
        <v>42246.09</v>
      </c>
      <c r="AG272" s="34">
        <f t="shared" ca="1" si="77"/>
        <v>8449.2179999999989</v>
      </c>
      <c r="AH272" s="34">
        <f t="shared" ca="1" si="81"/>
        <v>33796.871999999996</v>
      </c>
      <c r="AJ272" s="6">
        <v>114.6461199370882</v>
      </c>
      <c r="AK272" s="34">
        <f t="shared" ca="1" si="78"/>
        <v>22.929223987417643</v>
      </c>
      <c r="AL272" s="34">
        <f t="shared" ca="1" si="82"/>
        <v>91.716895949670558</v>
      </c>
    </row>
    <row r="273" spans="1:38" outlineLevel="1">
      <c r="A273" s="30">
        <v>832</v>
      </c>
      <c r="B273" s="6" t="s">
        <v>154</v>
      </c>
      <c r="C273" s="5">
        <v>133850.6938090293</v>
      </c>
      <c r="D273" s="6">
        <f t="shared" ca="1" si="76"/>
        <v>133597.424</v>
      </c>
      <c r="E273" s="6">
        <f t="shared" ca="1" si="79"/>
        <v>133597.424</v>
      </c>
      <c r="F273" s="6"/>
      <c r="G273" s="7">
        <f t="shared" ca="1" si="80"/>
        <v>253.26980902929145</v>
      </c>
      <c r="H273" s="7"/>
      <c r="I273" s="7"/>
      <c r="J273" s="7"/>
      <c r="K273" s="6">
        <f t="shared" ca="1" si="74"/>
        <v>0</v>
      </c>
      <c r="L273" s="7">
        <f t="shared" ca="1" si="75"/>
        <v>133850.6938090293</v>
      </c>
      <c r="N273" s="6"/>
      <c r="O273" s="6"/>
      <c r="P273" s="6"/>
      <c r="Q273" s="7"/>
      <c r="R273" s="7"/>
      <c r="S273" s="7"/>
      <c r="T273" s="7"/>
      <c r="U273" s="7"/>
      <c r="W273" s="7" t="s">
        <v>141</v>
      </c>
      <c r="Z273" s="22"/>
      <c r="AA273" s="22"/>
      <c r="AF273" s="6">
        <v>166996.78</v>
      </c>
      <c r="AG273" s="34">
        <f t="shared" ca="1" si="77"/>
        <v>33399.356</v>
      </c>
      <c r="AH273" s="34">
        <f t="shared" ca="1" si="81"/>
        <v>133597.424</v>
      </c>
      <c r="AJ273" s="6">
        <v>316.58726128661431</v>
      </c>
      <c r="AK273" s="34">
        <f t="shared" ca="1" si="78"/>
        <v>63.317452257322863</v>
      </c>
      <c r="AL273" s="34">
        <f t="shared" ca="1" si="82"/>
        <v>253.26980902929145</v>
      </c>
    </row>
    <row r="274" spans="1:38" outlineLevel="1">
      <c r="A274" s="30">
        <v>833</v>
      </c>
      <c r="B274" s="6" t="s">
        <v>155</v>
      </c>
      <c r="C274" s="5">
        <v>15801.483535523828</v>
      </c>
      <c r="D274" s="6">
        <f t="shared" ca="1" si="76"/>
        <v>15649.727999999921</v>
      </c>
      <c r="E274" s="6">
        <f t="shared" ca="1" si="79"/>
        <v>15649.727999999921</v>
      </c>
      <c r="F274" s="6"/>
      <c r="G274" s="7">
        <f t="shared" ca="1" si="80"/>
        <v>151.75553552390741</v>
      </c>
      <c r="H274" s="7"/>
      <c r="I274" s="7"/>
      <c r="J274" s="7"/>
      <c r="K274" s="6">
        <f t="shared" ca="1" si="74"/>
        <v>0</v>
      </c>
      <c r="L274" s="7">
        <f t="shared" ca="1" si="75"/>
        <v>15801.483535523828</v>
      </c>
      <c r="N274" s="6"/>
      <c r="O274" s="6"/>
      <c r="P274" s="6"/>
      <c r="Q274" s="7"/>
      <c r="R274" s="7"/>
      <c r="S274" s="7"/>
      <c r="T274" s="7"/>
      <c r="U274" s="7"/>
      <c r="W274" s="7" t="s">
        <v>141</v>
      </c>
      <c r="Z274" s="22"/>
      <c r="AA274" s="22"/>
      <c r="AF274" s="6">
        <v>19562.159999999902</v>
      </c>
      <c r="AG274" s="34">
        <f t="shared" ca="1" si="77"/>
        <v>3912.4319999999807</v>
      </c>
      <c r="AH274" s="34">
        <f t="shared" ca="1" si="81"/>
        <v>15649.727999999921</v>
      </c>
      <c r="AJ274" s="6">
        <v>189.69441940488426</v>
      </c>
      <c r="AK274" s="34">
        <f t="shared" ca="1" si="78"/>
        <v>37.938883880976853</v>
      </c>
      <c r="AL274" s="34">
        <f t="shared" ca="1" si="82"/>
        <v>151.75553552390741</v>
      </c>
    </row>
    <row r="275" spans="1:38" outlineLevel="1">
      <c r="A275" s="30">
        <v>834</v>
      </c>
      <c r="B275" s="6" t="s">
        <v>156</v>
      </c>
      <c r="C275" s="5">
        <v>232857.61080083787</v>
      </c>
      <c r="D275" s="6">
        <f t="shared" ca="1" si="76"/>
        <v>230652.5039999992</v>
      </c>
      <c r="E275" s="6">
        <f t="shared" ca="1" si="79"/>
        <v>230652.5039999992</v>
      </c>
      <c r="F275" s="6"/>
      <c r="G275" s="7">
        <f t="shared" ca="1" si="80"/>
        <v>2205.1068008386674</v>
      </c>
      <c r="H275" s="7"/>
      <c r="I275" s="7"/>
      <c r="J275" s="7"/>
      <c r="K275" s="6">
        <f t="shared" ca="1" si="74"/>
        <v>0</v>
      </c>
      <c r="L275" s="7">
        <f t="shared" ca="1" si="75"/>
        <v>232857.61080083787</v>
      </c>
      <c r="N275" s="6"/>
      <c r="O275" s="6"/>
      <c r="P275" s="6"/>
      <c r="Q275" s="7"/>
      <c r="R275" s="7"/>
      <c r="S275" s="7"/>
      <c r="T275" s="7"/>
      <c r="U275" s="7"/>
      <c r="W275" s="7" t="s">
        <v>141</v>
      </c>
      <c r="Z275" s="22"/>
      <c r="AA275" s="22"/>
      <c r="AF275" s="6">
        <v>288315.62999999902</v>
      </c>
      <c r="AG275" s="34">
        <f t="shared" ca="1" si="77"/>
        <v>57663.125999999807</v>
      </c>
      <c r="AH275" s="34">
        <f t="shared" ca="1" si="81"/>
        <v>230652.5039999992</v>
      </c>
      <c r="AJ275" s="6">
        <v>2756.383501048334</v>
      </c>
      <c r="AK275" s="34">
        <f t="shared" ca="1" si="78"/>
        <v>551.27670020966684</v>
      </c>
      <c r="AL275" s="34">
        <f t="shared" ca="1" si="82"/>
        <v>2205.1068008386674</v>
      </c>
    </row>
    <row r="276" spans="1:38" outlineLevel="1">
      <c r="A276" s="30">
        <v>835</v>
      </c>
      <c r="B276" s="6" t="s">
        <v>157</v>
      </c>
      <c r="C276" s="5">
        <v>72.481491782144531</v>
      </c>
      <c r="D276" s="6">
        <f ca="1">E276+F276</f>
        <v>71.224000000000004</v>
      </c>
      <c r="E276" s="6">
        <f ca="1">AH276</f>
        <v>71.224000000000004</v>
      </c>
      <c r="F276" s="6"/>
      <c r="G276" s="7">
        <f t="shared" ca="1" si="80"/>
        <v>1.2574917821445302</v>
      </c>
      <c r="H276" s="7"/>
      <c r="I276" s="7"/>
      <c r="J276" s="7"/>
      <c r="K276" s="6">
        <f ca="1">+I276+J276</f>
        <v>0</v>
      </c>
      <c r="L276" s="7">
        <f ca="1">D276+G276+H276+K276</f>
        <v>72.481491782144531</v>
      </c>
      <c r="N276" s="6"/>
      <c r="O276" s="6"/>
      <c r="P276" s="6"/>
      <c r="Q276" s="7"/>
      <c r="R276" s="7"/>
      <c r="S276" s="7"/>
      <c r="T276" s="7"/>
      <c r="U276" s="7"/>
      <c r="W276" s="7" t="s">
        <v>141</v>
      </c>
      <c r="Z276" s="22"/>
      <c r="AA276" s="22"/>
      <c r="AF276" s="6">
        <v>89.03</v>
      </c>
      <c r="AG276" s="34">
        <f t="shared" ca="1" si="77"/>
        <v>17.806000000000001</v>
      </c>
      <c r="AH276" s="34">
        <f ca="1">AF276-AG276</f>
        <v>71.224000000000004</v>
      </c>
      <c r="AJ276" s="6">
        <v>1.5718647276806628</v>
      </c>
      <c r="AK276" s="34">
        <f t="shared" ca="1" si="78"/>
        <v>0.3143729455361326</v>
      </c>
      <c r="AL276" s="34">
        <f t="shared" ca="1" si="82"/>
        <v>1.2574917821445302</v>
      </c>
    </row>
    <row r="277" spans="1:38" outlineLevel="1">
      <c r="A277" s="30">
        <v>836</v>
      </c>
      <c r="B277" s="6" t="s">
        <v>158</v>
      </c>
      <c r="C277" s="5">
        <v>17884.162577911364</v>
      </c>
      <c r="D277" s="6">
        <f t="shared" ca="1" si="76"/>
        <v>17846.912</v>
      </c>
      <c r="E277" s="6">
        <f t="shared" ca="1" si="79"/>
        <v>17846.912</v>
      </c>
      <c r="F277" s="6"/>
      <c r="G277" s="7">
        <f t="shared" ca="1" si="80"/>
        <v>37.250577911361887</v>
      </c>
      <c r="H277" s="7"/>
      <c r="I277" s="7"/>
      <c r="J277" s="7"/>
      <c r="K277" s="6">
        <f t="shared" ca="1" si="74"/>
        <v>0</v>
      </c>
      <c r="L277" s="7">
        <f t="shared" ca="1" si="75"/>
        <v>17884.162577911364</v>
      </c>
      <c r="N277" s="6"/>
      <c r="O277" s="6"/>
      <c r="P277" s="6"/>
      <c r="Q277" s="7"/>
      <c r="R277" s="7"/>
      <c r="S277" s="7"/>
      <c r="T277" s="7"/>
      <c r="U277" s="7"/>
      <c r="W277" s="7" t="s">
        <v>141</v>
      </c>
      <c r="Z277" s="22"/>
      <c r="AA277" s="22"/>
      <c r="AF277" s="6">
        <v>22308.639999999999</v>
      </c>
      <c r="AG277" s="34">
        <f t="shared" ca="1" si="77"/>
        <v>4461.7280000000001</v>
      </c>
      <c r="AH277" s="34">
        <f t="shared" ca="1" si="81"/>
        <v>17846.912</v>
      </c>
      <c r="AJ277" s="6">
        <v>46.563222389202359</v>
      </c>
      <c r="AK277" s="34">
        <f t="shared" ca="1" si="78"/>
        <v>9.3126444778404718</v>
      </c>
      <c r="AL277" s="34">
        <f t="shared" ca="1" si="82"/>
        <v>37.250577911361887</v>
      </c>
    </row>
    <row r="278" spans="1:38" outlineLevel="1">
      <c r="A278" s="30">
        <v>837</v>
      </c>
      <c r="B278" s="6" t="s">
        <v>159</v>
      </c>
      <c r="C278" s="5">
        <v>18863.511999999999</v>
      </c>
      <c r="D278" s="6">
        <f t="shared" ca="1" si="76"/>
        <v>18863.511999999999</v>
      </c>
      <c r="E278" s="6">
        <f t="shared" ca="1" si="79"/>
        <v>18863.511999999999</v>
      </c>
      <c r="F278" s="6"/>
      <c r="G278" s="7">
        <f t="shared" ca="1" si="80"/>
        <v>0</v>
      </c>
      <c r="H278" s="7"/>
      <c r="I278" s="7"/>
      <c r="J278" s="7"/>
      <c r="K278" s="6">
        <f t="shared" ca="1" si="74"/>
        <v>0</v>
      </c>
      <c r="L278" s="7">
        <f t="shared" ca="1" si="75"/>
        <v>18863.511999999999</v>
      </c>
      <c r="N278" s="6"/>
      <c r="O278" s="6"/>
      <c r="P278" s="6"/>
      <c r="Q278" s="7"/>
      <c r="R278" s="7"/>
      <c r="S278" s="7"/>
      <c r="T278" s="7"/>
      <c r="U278" s="7"/>
      <c r="W278" s="7" t="s">
        <v>141</v>
      </c>
      <c r="Z278" s="22"/>
      <c r="AA278" s="22"/>
      <c r="AF278" s="6">
        <v>23579.39</v>
      </c>
      <c r="AG278" s="34">
        <f t="shared" ca="1" si="77"/>
        <v>4715.8779999999997</v>
      </c>
      <c r="AH278" s="34">
        <f t="shared" ca="1" si="81"/>
        <v>18863.511999999999</v>
      </c>
      <c r="AJ278" s="6">
        <v>0</v>
      </c>
      <c r="AK278" s="34">
        <f t="shared" ca="1" si="78"/>
        <v>0</v>
      </c>
      <c r="AL278" s="34">
        <f t="shared" ca="1" si="82"/>
        <v>0</v>
      </c>
    </row>
    <row r="279" spans="1:38" outlineLevel="1">
      <c r="B279" s="8" t="s">
        <v>22</v>
      </c>
      <c r="C279" s="8">
        <f ca="1">SUM(C258:C278)</f>
        <v>1326762.517874294</v>
      </c>
      <c r="D279" s="8">
        <f t="shared" ref="D279:L279" ca="1" si="83">SUM(D258:D278)</f>
        <v>1312024.2299999988</v>
      </c>
      <c r="E279" s="8">
        <f t="shared" ca="1" si="83"/>
        <v>1312024.2299999988</v>
      </c>
      <c r="F279" s="8">
        <f t="shared" ca="1" si="83"/>
        <v>0</v>
      </c>
      <c r="G279" s="8">
        <f t="shared" ca="1" si="83"/>
        <v>14738.287874295051</v>
      </c>
      <c r="H279" s="8">
        <f t="shared" ca="1" si="83"/>
        <v>0</v>
      </c>
      <c r="I279" s="8">
        <f t="shared" ca="1" si="83"/>
        <v>0</v>
      </c>
      <c r="J279" s="8">
        <f t="shared" ca="1" si="83"/>
        <v>0</v>
      </c>
      <c r="K279" s="8">
        <f t="shared" ca="1" si="83"/>
        <v>0</v>
      </c>
      <c r="L279" s="8">
        <f t="shared" ca="1" si="83"/>
        <v>1326762.517874294</v>
      </c>
      <c r="N279" s="8"/>
      <c r="O279" s="8"/>
      <c r="P279" s="8"/>
      <c r="Q279" s="8"/>
      <c r="R279" s="8"/>
      <c r="S279" s="8"/>
      <c r="T279" s="8"/>
      <c r="U279" s="8"/>
      <c r="W279" s="8"/>
      <c r="AF279" s="8">
        <f ca="1">SUM(AF259:AF278)</f>
        <v>1312024.2299999986</v>
      </c>
      <c r="AG279" s="8">
        <f ca="1">SUM(AG259:AG278)</f>
        <v>262404.84599999979</v>
      </c>
      <c r="AH279" s="8">
        <f ca="1">SUM(AH259:AH278)</f>
        <v>1049619.3839999991</v>
      </c>
      <c r="AJ279" s="8">
        <f ca="1">SUM(AJ259:AJ278)</f>
        <v>14738.287874295054</v>
      </c>
      <c r="AK279" s="8">
        <f ca="1">SUM(AK259:AK278)</f>
        <v>2947.6575748590099</v>
      </c>
      <c r="AL279" s="8">
        <f ca="1">SUM(AL259:AL278)</f>
        <v>11790.630299436039</v>
      </c>
    </row>
    <row r="280" spans="1:38" outlineLevel="1">
      <c r="C280" s="15"/>
    </row>
    <row r="281" spans="1:38" outlineLevel="1">
      <c r="B281" s="1" t="s">
        <v>160</v>
      </c>
    </row>
    <row r="282" spans="1:38" outlineLevel="1">
      <c r="A282" s="30">
        <v>841</v>
      </c>
      <c r="B282" s="6" t="s">
        <v>161</v>
      </c>
      <c r="C282" s="5">
        <v>447562.0130661283</v>
      </c>
      <c r="D282" s="6">
        <f t="shared" ca="1" si="76"/>
        <v>440585.93</v>
      </c>
      <c r="E282" s="7">
        <v>440585.93</v>
      </c>
      <c r="F282" s="6"/>
      <c r="G282" s="7">
        <v>6976.0830661282926</v>
      </c>
      <c r="H282" s="7"/>
      <c r="I282" s="7"/>
      <c r="J282" s="7"/>
      <c r="K282" s="6">
        <f t="shared" ref="K282:K291" ca="1" si="84">+I282+J282</f>
        <v>0</v>
      </c>
      <c r="L282" s="7">
        <f t="shared" ref="L282:L291" ca="1" si="85">D282+G282+H282+K282</f>
        <v>447562.0130661283</v>
      </c>
      <c r="N282" s="6"/>
      <c r="O282" s="6"/>
      <c r="P282" s="6"/>
      <c r="Q282" s="7"/>
      <c r="R282" s="7"/>
      <c r="S282" s="7"/>
      <c r="T282" s="7"/>
      <c r="U282" s="7"/>
      <c r="W282" s="7" t="s">
        <v>162</v>
      </c>
      <c r="Z282" s="22"/>
      <c r="AA282" s="22"/>
    </row>
    <row r="283" spans="1:38" outlineLevel="1">
      <c r="A283" s="30">
        <v>843.2</v>
      </c>
      <c r="B283" s="6" t="s">
        <v>163</v>
      </c>
      <c r="C283" s="5">
        <v>0</v>
      </c>
      <c r="D283" s="6">
        <f t="shared" ca="1" si="76"/>
        <v>0</v>
      </c>
      <c r="E283" s="7">
        <v>0</v>
      </c>
      <c r="F283" s="7"/>
      <c r="G283" s="7"/>
      <c r="H283" s="7"/>
      <c r="I283" s="7"/>
      <c r="J283" s="7"/>
      <c r="K283" s="6">
        <f t="shared" ca="1" si="84"/>
        <v>0</v>
      </c>
      <c r="L283" s="7">
        <f t="shared" ca="1" si="85"/>
        <v>0</v>
      </c>
      <c r="N283" s="6"/>
      <c r="O283" s="6"/>
      <c r="P283" s="6"/>
      <c r="Q283" s="7"/>
      <c r="R283" s="7"/>
      <c r="S283" s="7"/>
      <c r="T283" s="7"/>
      <c r="U283" s="7"/>
      <c r="W283" s="7" t="s">
        <v>162</v>
      </c>
      <c r="Z283" s="22"/>
      <c r="AA283" s="22"/>
    </row>
    <row r="284" spans="1:38" outlineLevel="1">
      <c r="A284" s="30">
        <v>843.3</v>
      </c>
      <c r="B284" s="6" t="s">
        <v>164</v>
      </c>
      <c r="C284" s="5">
        <v>0</v>
      </c>
      <c r="D284" s="6">
        <f t="shared" ca="1" si="76"/>
        <v>0</v>
      </c>
      <c r="E284" s="7">
        <v>0</v>
      </c>
      <c r="F284" s="7"/>
      <c r="G284" s="7"/>
      <c r="H284" s="7"/>
      <c r="I284" s="7"/>
      <c r="J284" s="7"/>
      <c r="K284" s="6">
        <f t="shared" ca="1" si="84"/>
        <v>0</v>
      </c>
      <c r="L284" s="7">
        <f t="shared" ca="1" si="85"/>
        <v>0</v>
      </c>
      <c r="N284" s="6"/>
      <c r="O284" s="6"/>
      <c r="P284" s="6"/>
      <c r="Q284" s="7"/>
      <c r="R284" s="7"/>
      <c r="S284" s="7"/>
      <c r="T284" s="7"/>
      <c r="U284" s="7"/>
      <c r="W284" s="7" t="s">
        <v>162</v>
      </c>
      <c r="Z284" s="22"/>
      <c r="AA284" s="22"/>
    </row>
    <row r="285" spans="1:38" outlineLevel="1">
      <c r="A285" s="30">
        <v>843.6</v>
      </c>
      <c r="B285" s="6" t="s">
        <v>165</v>
      </c>
      <c r="C285" s="5">
        <v>0</v>
      </c>
      <c r="D285" s="6">
        <f t="shared" ca="1" si="76"/>
        <v>0</v>
      </c>
      <c r="E285" s="7">
        <v>0</v>
      </c>
      <c r="F285" s="7"/>
      <c r="G285" s="7"/>
      <c r="H285" s="7"/>
      <c r="I285" s="7"/>
      <c r="J285" s="7"/>
      <c r="K285" s="6">
        <f t="shared" ca="1" si="84"/>
        <v>0</v>
      </c>
      <c r="L285" s="7">
        <f t="shared" ca="1" si="85"/>
        <v>0</v>
      </c>
      <c r="N285" s="6"/>
      <c r="O285" s="6"/>
      <c r="P285" s="6"/>
      <c r="Q285" s="7"/>
      <c r="R285" s="7"/>
      <c r="S285" s="7"/>
      <c r="T285" s="7"/>
      <c r="U285" s="7"/>
      <c r="W285" s="7" t="s">
        <v>162</v>
      </c>
      <c r="Z285" s="22"/>
      <c r="AA285" s="22"/>
    </row>
    <row r="286" spans="1:38" outlineLevel="1">
      <c r="A286" s="30">
        <v>843.8</v>
      </c>
      <c r="B286" s="6" t="s">
        <v>166</v>
      </c>
      <c r="C286" s="5">
        <v>0</v>
      </c>
      <c r="D286" s="6">
        <f t="shared" ca="1" si="76"/>
        <v>0</v>
      </c>
      <c r="E286" s="7">
        <v>0</v>
      </c>
      <c r="F286" s="7"/>
      <c r="G286" s="7"/>
      <c r="H286" s="7"/>
      <c r="I286" s="7"/>
      <c r="J286" s="7"/>
      <c r="K286" s="6">
        <f t="shared" ca="1" si="84"/>
        <v>0</v>
      </c>
      <c r="L286" s="7">
        <f t="shared" ca="1" si="85"/>
        <v>0</v>
      </c>
      <c r="N286" s="6"/>
      <c r="O286" s="6"/>
      <c r="P286" s="6"/>
      <c r="Q286" s="7"/>
      <c r="R286" s="7"/>
      <c r="S286" s="7"/>
      <c r="T286" s="7"/>
      <c r="U286" s="7"/>
      <c r="W286" s="7" t="s">
        <v>162</v>
      </c>
      <c r="Z286" s="22"/>
      <c r="AA286" s="22"/>
    </row>
    <row r="287" spans="1:38" outlineLevel="1">
      <c r="A287" s="30">
        <v>843.9</v>
      </c>
      <c r="B287" s="6" t="s">
        <v>167</v>
      </c>
      <c r="C287" s="5">
        <v>22</v>
      </c>
      <c r="D287" s="6">
        <f t="shared" ca="1" si="76"/>
        <v>22</v>
      </c>
      <c r="E287" s="7">
        <v>22</v>
      </c>
      <c r="F287" s="7"/>
      <c r="G287" s="7"/>
      <c r="H287" s="7"/>
      <c r="I287" s="7"/>
      <c r="J287" s="7"/>
      <c r="K287" s="6">
        <f t="shared" ca="1" si="84"/>
        <v>0</v>
      </c>
      <c r="L287" s="7">
        <f t="shared" ca="1" si="85"/>
        <v>22</v>
      </c>
      <c r="N287" s="6"/>
      <c r="O287" s="6"/>
      <c r="P287" s="6"/>
      <c r="Q287" s="7"/>
      <c r="R287" s="7"/>
      <c r="S287" s="7"/>
      <c r="T287" s="7"/>
      <c r="U287" s="7"/>
      <c r="W287" s="7" t="s">
        <v>162</v>
      </c>
      <c r="Z287" s="22"/>
      <c r="AA287" s="22"/>
    </row>
    <row r="288" spans="1:38" hidden="1" outlineLevel="1">
      <c r="A288" s="31" t="s">
        <v>32</v>
      </c>
      <c r="B288" s="7" t="s">
        <v>32</v>
      </c>
      <c r="C288" s="5">
        <v>0</v>
      </c>
      <c r="D288" s="6">
        <f ca="1">E288+F288</f>
        <v>0</v>
      </c>
      <c r="E288" s="7"/>
      <c r="F288" s="7"/>
      <c r="G288" s="7"/>
      <c r="H288" s="7"/>
      <c r="I288" s="7"/>
      <c r="J288" s="7"/>
      <c r="K288" s="6">
        <f t="shared" ca="1" si="84"/>
        <v>0</v>
      </c>
      <c r="L288" s="7">
        <f t="shared" ca="1" si="85"/>
        <v>0</v>
      </c>
      <c r="N288" s="6"/>
      <c r="O288" s="6"/>
      <c r="P288" s="6"/>
      <c r="Q288" s="7"/>
      <c r="R288" s="7"/>
      <c r="S288" s="7"/>
      <c r="T288" s="7"/>
      <c r="U288" s="7"/>
      <c r="W288" s="7"/>
      <c r="Z288" s="22"/>
      <c r="AA288" s="22"/>
    </row>
    <row r="289" spans="1:27" hidden="1" outlineLevel="1">
      <c r="A289" s="31" t="s">
        <v>32</v>
      </c>
      <c r="B289" s="7" t="s">
        <v>32</v>
      </c>
      <c r="C289" s="5">
        <v>0</v>
      </c>
      <c r="D289" s="6">
        <f t="shared" ca="1" si="76"/>
        <v>0</v>
      </c>
      <c r="E289" s="7"/>
      <c r="F289" s="7"/>
      <c r="G289" s="7"/>
      <c r="H289" s="7"/>
      <c r="I289" s="7"/>
      <c r="J289" s="7"/>
      <c r="K289" s="6">
        <f t="shared" ca="1" si="84"/>
        <v>0</v>
      </c>
      <c r="L289" s="7">
        <f t="shared" ca="1" si="85"/>
        <v>0</v>
      </c>
      <c r="N289" s="6"/>
      <c r="O289" s="6"/>
      <c r="P289" s="6"/>
      <c r="Q289" s="7"/>
      <c r="R289" s="7"/>
      <c r="S289" s="7"/>
      <c r="T289" s="7"/>
      <c r="U289" s="7"/>
      <c r="W289" s="7"/>
      <c r="Z289" s="22"/>
      <c r="AA289" s="22"/>
    </row>
    <row r="290" spans="1:27" hidden="1" outlineLevel="1">
      <c r="A290" s="31" t="s">
        <v>32</v>
      </c>
      <c r="B290" s="7" t="s">
        <v>32</v>
      </c>
      <c r="C290" s="5">
        <v>0</v>
      </c>
      <c r="D290" s="6">
        <f t="shared" ca="1" si="76"/>
        <v>0</v>
      </c>
      <c r="E290" s="7"/>
      <c r="F290" s="7"/>
      <c r="G290" s="7"/>
      <c r="H290" s="7"/>
      <c r="I290" s="7"/>
      <c r="J290" s="7"/>
      <c r="K290" s="6">
        <f t="shared" ca="1" si="84"/>
        <v>0</v>
      </c>
      <c r="L290" s="7">
        <f t="shared" ca="1" si="85"/>
        <v>0</v>
      </c>
      <c r="N290" s="6"/>
      <c r="O290" s="6"/>
      <c r="P290" s="6"/>
      <c r="Q290" s="7"/>
      <c r="R290" s="7"/>
      <c r="S290" s="7"/>
      <c r="T290" s="7"/>
      <c r="U290" s="7"/>
      <c r="W290" s="7"/>
      <c r="Z290" s="22"/>
      <c r="AA290" s="22"/>
    </row>
    <row r="291" spans="1:27" hidden="1" outlineLevel="1">
      <c r="A291" s="31" t="s">
        <v>32</v>
      </c>
      <c r="B291" s="7" t="s">
        <v>32</v>
      </c>
      <c r="C291" s="5">
        <v>0</v>
      </c>
      <c r="D291" s="6">
        <f t="shared" ca="1" si="76"/>
        <v>0</v>
      </c>
      <c r="E291" s="6"/>
      <c r="F291" s="6"/>
      <c r="G291" s="6"/>
      <c r="H291" s="7"/>
      <c r="I291" s="7"/>
      <c r="J291" s="7"/>
      <c r="K291" s="6">
        <f t="shared" ca="1" si="84"/>
        <v>0</v>
      </c>
      <c r="L291" s="7">
        <f t="shared" ca="1" si="85"/>
        <v>0</v>
      </c>
      <c r="N291" s="6"/>
      <c r="O291" s="6"/>
      <c r="P291" s="6"/>
      <c r="Q291" s="7"/>
      <c r="R291" s="7"/>
      <c r="S291" s="7"/>
      <c r="T291" s="7"/>
      <c r="U291" s="7"/>
      <c r="W291" s="7"/>
      <c r="Z291" s="22"/>
      <c r="AA291" s="22"/>
    </row>
    <row r="292" spans="1:27" outlineLevel="1">
      <c r="B292" s="8" t="s">
        <v>22</v>
      </c>
      <c r="C292" s="8">
        <f ca="1">SUM(C282:C291)</f>
        <v>447584.0130661283</v>
      </c>
      <c r="D292" s="8">
        <f t="shared" ref="D292:L292" ca="1" si="86">SUM(D282:D291)</f>
        <v>440607.93</v>
      </c>
      <c r="E292" s="8">
        <f t="shared" ca="1" si="86"/>
        <v>440607.93</v>
      </c>
      <c r="F292" s="8">
        <f t="shared" ca="1" si="86"/>
        <v>0</v>
      </c>
      <c r="G292" s="8">
        <f t="shared" ca="1" si="86"/>
        <v>6976.0830661282926</v>
      </c>
      <c r="H292" s="8">
        <f t="shared" ca="1" si="86"/>
        <v>0</v>
      </c>
      <c r="I292" s="8">
        <f t="shared" ca="1" si="86"/>
        <v>0</v>
      </c>
      <c r="J292" s="8">
        <f t="shared" ca="1" si="86"/>
        <v>0</v>
      </c>
      <c r="K292" s="8">
        <f t="shared" ca="1" si="86"/>
        <v>0</v>
      </c>
      <c r="L292" s="8">
        <f t="shared" ca="1" si="86"/>
        <v>447584.0130661283</v>
      </c>
      <c r="N292" s="8"/>
      <c r="O292" s="8"/>
      <c r="P292" s="8"/>
      <c r="Q292" s="8"/>
      <c r="R292" s="8"/>
      <c r="S292" s="8"/>
      <c r="T292" s="8"/>
      <c r="U292" s="8"/>
      <c r="W292" s="8"/>
    </row>
    <row r="293" spans="1:27" outlineLevel="1">
      <c r="C293" s="15"/>
    </row>
    <row r="294" spans="1:27" outlineLevel="1">
      <c r="B294" s="1" t="s">
        <v>168</v>
      </c>
    </row>
    <row r="295" spans="1:27" outlineLevel="1">
      <c r="A295" s="30">
        <v>850</v>
      </c>
      <c r="B295" s="6" t="s">
        <v>169</v>
      </c>
      <c r="C295" s="5">
        <v>0</v>
      </c>
      <c r="D295" s="6">
        <f t="shared" ref="D295:D302" ca="1" si="87">E295+F295</f>
        <v>0</v>
      </c>
      <c r="E295" s="6">
        <v>0</v>
      </c>
      <c r="F295" s="6"/>
      <c r="G295" s="7">
        <v>0</v>
      </c>
      <c r="H295" s="7"/>
      <c r="I295" s="7"/>
      <c r="J295" s="7"/>
      <c r="K295" s="6">
        <f t="shared" ref="K295:K302" ca="1" si="88">+I295+J295</f>
        <v>0</v>
      </c>
      <c r="L295" s="7">
        <f t="shared" ref="L295:L302" ca="1" si="89">D295+G295+H295+K295</f>
        <v>0</v>
      </c>
      <c r="N295" s="6" t="s">
        <v>170</v>
      </c>
      <c r="O295" s="6" t="s">
        <v>29</v>
      </c>
      <c r="P295" s="6" t="s">
        <v>171</v>
      </c>
      <c r="Q295" s="6"/>
      <c r="R295" s="6"/>
      <c r="S295" s="7"/>
      <c r="T295" s="7"/>
      <c r="U295" s="7"/>
      <c r="W295" s="7"/>
      <c r="Z295" s="22"/>
      <c r="AA295" s="22"/>
    </row>
    <row r="296" spans="1:27" outlineLevel="1">
      <c r="A296" s="30">
        <v>856</v>
      </c>
      <c r="B296" s="6" t="s">
        <v>172</v>
      </c>
      <c r="C296" s="5">
        <v>0</v>
      </c>
      <c r="D296" s="6">
        <f ca="1">E296+F296</f>
        <v>0</v>
      </c>
      <c r="E296" s="6">
        <v>0</v>
      </c>
      <c r="F296" s="6"/>
      <c r="G296" s="7">
        <v>0</v>
      </c>
      <c r="H296" s="7"/>
      <c r="I296" s="7"/>
      <c r="J296" s="7"/>
      <c r="K296" s="6">
        <f ca="1">+I296+J296</f>
        <v>0</v>
      </c>
      <c r="L296" s="7">
        <f ca="1">D296+G296+H296+K296</f>
        <v>0</v>
      </c>
      <c r="N296" s="6" t="s">
        <v>170</v>
      </c>
      <c r="O296" s="6" t="s">
        <v>29</v>
      </c>
      <c r="P296" s="6" t="s">
        <v>171</v>
      </c>
      <c r="Q296" s="6"/>
      <c r="R296" s="6"/>
      <c r="S296" s="7"/>
      <c r="T296" s="7"/>
      <c r="U296" s="7"/>
      <c r="W296" s="7"/>
      <c r="Z296" s="22"/>
      <c r="AA296" s="22"/>
    </row>
    <row r="297" spans="1:27" outlineLevel="1">
      <c r="A297" s="30">
        <v>857</v>
      </c>
      <c r="B297" s="6" t="s">
        <v>173</v>
      </c>
      <c r="C297" s="5">
        <v>0</v>
      </c>
      <c r="D297" s="6">
        <f t="shared" ca="1" si="87"/>
        <v>0</v>
      </c>
      <c r="E297" s="6">
        <v>0</v>
      </c>
      <c r="F297" s="6"/>
      <c r="G297" s="7"/>
      <c r="H297" s="7"/>
      <c r="I297" s="7"/>
      <c r="J297" s="7"/>
      <c r="K297" s="6">
        <f t="shared" ca="1" si="88"/>
        <v>0</v>
      </c>
      <c r="L297" s="7">
        <f t="shared" ca="1" si="89"/>
        <v>0</v>
      </c>
      <c r="N297" s="6" t="s">
        <v>170</v>
      </c>
      <c r="O297" s="6" t="s">
        <v>29</v>
      </c>
      <c r="P297" s="6" t="s">
        <v>171</v>
      </c>
      <c r="Q297" s="6"/>
      <c r="R297" s="6"/>
      <c r="S297" s="7"/>
      <c r="T297" s="7"/>
      <c r="U297" s="7"/>
      <c r="W297" s="7"/>
      <c r="Z297" s="22"/>
      <c r="AA297" s="22"/>
    </row>
    <row r="298" spans="1:27" outlineLevel="1">
      <c r="A298" s="30">
        <v>862</v>
      </c>
      <c r="B298" s="6" t="s">
        <v>174</v>
      </c>
      <c r="C298" s="5">
        <v>0</v>
      </c>
      <c r="D298" s="6">
        <f t="shared" ca="1" si="87"/>
        <v>0</v>
      </c>
      <c r="E298" s="6">
        <v>0</v>
      </c>
      <c r="F298" s="6"/>
      <c r="G298" s="7"/>
      <c r="H298" s="7"/>
      <c r="I298" s="7"/>
      <c r="J298" s="7"/>
      <c r="K298" s="6">
        <f t="shared" ca="1" si="88"/>
        <v>0</v>
      </c>
      <c r="L298" s="7">
        <f t="shared" ca="1" si="89"/>
        <v>0</v>
      </c>
      <c r="N298" s="6" t="s">
        <v>170</v>
      </c>
      <c r="O298" s="6" t="s">
        <v>29</v>
      </c>
      <c r="P298" s="6" t="s">
        <v>171</v>
      </c>
      <c r="Q298" s="6"/>
      <c r="R298" s="6"/>
      <c r="S298" s="7"/>
      <c r="T298" s="7"/>
      <c r="U298" s="7"/>
      <c r="W298" s="7"/>
      <c r="Z298" s="22"/>
      <c r="AA298" s="22"/>
    </row>
    <row r="299" spans="1:27" outlineLevel="1">
      <c r="A299" s="30">
        <v>863</v>
      </c>
      <c r="B299" s="6" t="s">
        <v>175</v>
      </c>
      <c r="C299" s="5">
        <v>0</v>
      </c>
      <c r="D299" s="6">
        <f ca="1">E299+F299</f>
        <v>0</v>
      </c>
      <c r="E299" s="6">
        <v>0</v>
      </c>
      <c r="F299" s="6"/>
      <c r="G299" s="7"/>
      <c r="H299" s="7"/>
      <c r="I299" s="7"/>
      <c r="J299" s="7"/>
      <c r="K299" s="6">
        <f t="shared" ca="1" si="88"/>
        <v>0</v>
      </c>
      <c r="L299" s="7">
        <f t="shared" ca="1" si="89"/>
        <v>0</v>
      </c>
      <c r="N299" s="6" t="s">
        <v>170</v>
      </c>
      <c r="O299" s="6" t="s">
        <v>29</v>
      </c>
      <c r="P299" s="6" t="s">
        <v>171</v>
      </c>
      <c r="Q299" s="6"/>
      <c r="R299" s="6"/>
      <c r="S299" s="7"/>
      <c r="T299" s="7"/>
      <c r="U299" s="7"/>
      <c r="W299" s="7"/>
      <c r="Z299" s="22"/>
      <c r="AA299" s="22"/>
    </row>
    <row r="300" spans="1:27" outlineLevel="1">
      <c r="A300" s="30">
        <v>864</v>
      </c>
      <c r="B300" s="6" t="s">
        <v>176</v>
      </c>
      <c r="C300" s="5">
        <v>0</v>
      </c>
      <c r="D300" s="6">
        <f t="shared" ca="1" si="87"/>
        <v>0</v>
      </c>
      <c r="E300" s="6">
        <v>0</v>
      </c>
      <c r="F300" s="6"/>
      <c r="G300" s="7"/>
      <c r="H300" s="7"/>
      <c r="I300" s="7"/>
      <c r="J300" s="7"/>
      <c r="K300" s="6">
        <f t="shared" ca="1" si="88"/>
        <v>0</v>
      </c>
      <c r="L300" s="7">
        <f t="shared" ca="1" si="89"/>
        <v>0</v>
      </c>
      <c r="N300" s="6" t="s">
        <v>170</v>
      </c>
      <c r="O300" s="6" t="s">
        <v>29</v>
      </c>
      <c r="P300" s="6" t="s">
        <v>171</v>
      </c>
      <c r="Q300" s="6"/>
      <c r="R300" s="6"/>
      <c r="S300" s="7"/>
      <c r="T300" s="7"/>
      <c r="U300" s="7"/>
      <c r="W300" s="7"/>
      <c r="Z300" s="22"/>
      <c r="AA300" s="22"/>
    </row>
    <row r="301" spans="1:27" outlineLevel="1">
      <c r="A301" s="30">
        <v>865</v>
      </c>
      <c r="B301" s="6" t="s">
        <v>153</v>
      </c>
      <c r="C301" s="5">
        <v>0</v>
      </c>
      <c r="D301" s="6">
        <f t="shared" ca="1" si="87"/>
        <v>0</v>
      </c>
      <c r="E301" s="6">
        <v>0</v>
      </c>
      <c r="F301" s="6"/>
      <c r="G301" s="7"/>
      <c r="H301" s="7"/>
      <c r="I301" s="7"/>
      <c r="J301" s="7"/>
      <c r="K301" s="6">
        <f t="shared" ca="1" si="88"/>
        <v>0</v>
      </c>
      <c r="L301" s="7">
        <f t="shared" ca="1" si="89"/>
        <v>0</v>
      </c>
      <c r="N301" s="6" t="s">
        <v>170</v>
      </c>
      <c r="O301" s="6" t="s">
        <v>29</v>
      </c>
      <c r="P301" s="6" t="s">
        <v>171</v>
      </c>
      <c r="Q301" s="6"/>
      <c r="R301" s="6"/>
      <c r="S301" s="7"/>
      <c r="T301" s="7"/>
      <c r="U301" s="7"/>
      <c r="W301" s="7"/>
      <c r="Z301" s="22"/>
      <c r="AA301" s="22"/>
    </row>
    <row r="302" spans="1:27" outlineLevel="1">
      <c r="A302" s="30">
        <v>867</v>
      </c>
      <c r="B302" s="6" t="s">
        <v>159</v>
      </c>
      <c r="C302" s="5">
        <v>0</v>
      </c>
      <c r="D302" s="6">
        <f t="shared" ca="1" si="87"/>
        <v>0</v>
      </c>
      <c r="E302" s="6">
        <v>0</v>
      </c>
      <c r="F302" s="6"/>
      <c r="G302" s="7"/>
      <c r="H302" s="7"/>
      <c r="I302" s="7"/>
      <c r="J302" s="7"/>
      <c r="K302" s="6">
        <f t="shared" ca="1" si="88"/>
        <v>0</v>
      </c>
      <c r="L302" s="7">
        <f t="shared" ca="1" si="89"/>
        <v>0</v>
      </c>
      <c r="N302" s="6" t="s">
        <v>170</v>
      </c>
      <c r="O302" s="6" t="s">
        <v>29</v>
      </c>
      <c r="P302" s="6" t="s">
        <v>171</v>
      </c>
      <c r="Q302" s="6"/>
      <c r="R302" s="6"/>
      <c r="S302" s="7"/>
      <c r="T302" s="7"/>
      <c r="U302" s="7"/>
      <c r="W302" s="7"/>
      <c r="Z302" s="22"/>
      <c r="AA302" s="22"/>
    </row>
    <row r="303" spans="1:27" s="8" customFormat="1" outlineLevel="1">
      <c r="A303" s="25"/>
      <c r="B303" s="8" t="s">
        <v>22</v>
      </c>
      <c r="C303" s="8">
        <f t="shared" ref="C303:L303" ca="1" si="90">SUM(C295:C302)</f>
        <v>0</v>
      </c>
      <c r="D303" s="8">
        <f t="shared" ca="1" si="90"/>
        <v>0</v>
      </c>
      <c r="E303" s="8">
        <f t="shared" ca="1" si="90"/>
        <v>0</v>
      </c>
      <c r="F303" s="8">
        <f t="shared" ca="1" si="90"/>
        <v>0</v>
      </c>
      <c r="G303" s="8">
        <f t="shared" ca="1" si="90"/>
        <v>0</v>
      </c>
      <c r="H303" s="8">
        <f t="shared" ca="1" si="90"/>
        <v>0</v>
      </c>
      <c r="I303" s="8">
        <f t="shared" ca="1" si="90"/>
        <v>0</v>
      </c>
      <c r="J303" s="8">
        <f t="shared" ca="1" si="90"/>
        <v>0</v>
      </c>
      <c r="K303" s="8">
        <f t="shared" ca="1" si="90"/>
        <v>0</v>
      </c>
      <c r="L303" s="8">
        <f t="shared" ca="1" si="90"/>
        <v>0</v>
      </c>
      <c r="M303" s="4"/>
      <c r="V303" s="4"/>
    </row>
    <row r="304" spans="1:27" outlineLevel="1">
      <c r="C304" s="15"/>
    </row>
    <row r="305" spans="1:31" outlineLevel="1">
      <c r="B305" s="1" t="s">
        <v>177</v>
      </c>
      <c r="AD305" s="18"/>
      <c r="AE305" s="18"/>
    </row>
    <row r="306" spans="1:31" outlineLevel="1">
      <c r="A306" s="30">
        <v>870</v>
      </c>
      <c r="B306" s="6" t="s">
        <v>178</v>
      </c>
      <c r="C306" s="5">
        <v>1759258.4946902082</v>
      </c>
      <c r="D306" s="6">
        <f t="shared" ref="D306:D330" ca="1" si="91">E306+F306</f>
        <v>1721464.1999999899</v>
      </c>
      <c r="E306" s="6">
        <v>1721464.1999999899</v>
      </c>
      <c r="F306" s="6"/>
      <c r="G306" s="6">
        <v>37794.294690218274</v>
      </c>
      <c r="H306" s="7"/>
      <c r="I306" s="7"/>
      <c r="J306" s="7"/>
      <c r="K306" s="6">
        <f t="shared" ref="K306:K330" ca="1" si="92">+I306+J306</f>
        <v>0</v>
      </c>
      <c r="L306" s="7">
        <f t="shared" ref="L306:L330" ca="1" si="93">D306+G306+H306+K306</f>
        <v>1759258.4946902082</v>
      </c>
      <c r="N306" s="6"/>
      <c r="O306" s="6"/>
      <c r="P306" s="6"/>
      <c r="Q306" s="7"/>
      <c r="R306" s="7"/>
      <c r="S306" s="7"/>
      <c r="T306" s="7"/>
      <c r="U306" s="7"/>
      <c r="W306" s="7" t="s">
        <v>179</v>
      </c>
      <c r="Z306" s="22"/>
      <c r="AA306" s="22"/>
      <c r="AD306" s="18"/>
      <c r="AE306" s="16"/>
    </row>
    <row r="307" spans="1:31" outlineLevel="1">
      <c r="A307" s="30">
        <v>871</v>
      </c>
      <c r="B307" s="6" t="s">
        <v>180</v>
      </c>
      <c r="C307" s="5">
        <v>1185470.4644925199</v>
      </c>
      <c r="D307" s="6">
        <f t="shared" ca="1" si="91"/>
        <v>1157382.42</v>
      </c>
      <c r="E307" s="6">
        <v>1157382.42</v>
      </c>
      <c r="F307" s="6"/>
      <c r="G307" s="6">
        <v>28088.044492519846</v>
      </c>
      <c r="H307" s="7"/>
      <c r="I307" s="7"/>
      <c r="J307" s="7"/>
      <c r="K307" s="6">
        <f t="shared" ca="1" si="92"/>
        <v>0</v>
      </c>
      <c r="L307" s="7">
        <f t="shared" ca="1" si="93"/>
        <v>1185470.4644925199</v>
      </c>
      <c r="N307" s="39" t="s">
        <v>56</v>
      </c>
      <c r="O307" s="6" t="s">
        <v>36</v>
      </c>
      <c r="P307" s="6"/>
      <c r="Q307" s="7" t="s">
        <v>37</v>
      </c>
      <c r="R307" s="7"/>
      <c r="S307" s="7"/>
      <c r="T307" s="7"/>
      <c r="U307" s="7"/>
      <c r="W307" s="7"/>
      <c r="Z307" s="22"/>
      <c r="AA307" s="22"/>
      <c r="AD307" s="18"/>
      <c r="AE307" s="18"/>
    </row>
    <row r="308" spans="1:31" outlineLevel="1">
      <c r="A308" s="30">
        <v>874</v>
      </c>
      <c r="B308" s="6" t="s">
        <v>181</v>
      </c>
      <c r="C308" s="5">
        <v>18689538.767997324</v>
      </c>
      <c r="D308" s="6">
        <f t="shared" ca="1" si="91"/>
        <v>18540085.2099999</v>
      </c>
      <c r="E308" s="6">
        <v>18540085.2099999</v>
      </c>
      <c r="F308" s="6"/>
      <c r="G308" s="6">
        <v>149453.55799742474</v>
      </c>
      <c r="H308" s="7"/>
      <c r="I308" s="7"/>
      <c r="J308" s="7"/>
      <c r="K308" s="6">
        <f t="shared" ca="1" si="92"/>
        <v>0</v>
      </c>
      <c r="L308" s="7">
        <f t="shared" ca="1" si="93"/>
        <v>18689538.767997324</v>
      </c>
      <c r="N308" s="6"/>
      <c r="O308" s="6"/>
      <c r="P308" s="6"/>
      <c r="Q308" s="7"/>
      <c r="R308" s="7"/>
      <c r="S308" s="7"/>
      <c r="T308" s="7"/>
      <c r="U308" s="7"/>
      <c r="W308" s="7" t="s">
        <v>182</v>
      </c>
      <c r="Z308" s="22"/>
      <c r="AA308" s="22"/>
      <c r="AD308" s="18"/>
      <c r="AE308" s="18"/>
    </row>
    <row r="309" spans="1:31" outlineLevel="1">
      <c r="A309" s="30">
        <v>875</v>
      </c>
      <c r="B309" s="6" t="s">
        <v>183</v>
      </c>
      <c r="C309" s="5">
        <v>1785315.122786819</v>
      </c>
      <c r="D309" s="6">
        <f t="shared" ca="1" si="91"/>
        <v>1747225.48</v>
      </c>
      <c r="E309" s="6">
        <f ca="1">2144703.48-397478</f>
        <v>1747225.48</v>
      </c>
      <c r="F309" s="6"/>
      <c r="G309" s="6">
        <v>38089.642786818978</v>
      </c>
      <c r="H309" s="7"/>
      <c r="I309" s="7"/>
      <c r="J309" s="7"/>
      <c r="K309" s="6">
        <f t="shared" ca="1" si="92"/>
        <v>0</v>
      </c>
      <c r="L309" s="7">
        <f t="shared" ca="1" si="93"/>
        <v>1785315.122786819</v>
      </c>
      <c r="N309" s="6" t="s">
        <v>56</v>
      </c>
      <c r="O309" s="6" t="s">
        <v>29</v>
      </c>
      <c r="P309" s="7" t="s">
        <v>171</v>
      </c>
      <c r="Q309" s="7"/>
      <c r="R309" s="7"/>
      <c r="S309" s="7"/>
      <c r="T309" s="7"/>
      <c r="U309" s="7"/>
      <c r="W309" s="7"/>
      <c r="Z309" s="22"/>
      <c r="AA309" s="22"/>
      <c r="AD309" s="18"/>
      <c r="AE309" s="18"/>
    </row>
    <row r="310" spans="1:31" outlineLevel="1">
      <c r="A310" s="30">
        <v>876</v>
      </c>
      <c r="B310" s="6" t="s">
        <v>184</v>
      </c>
      <c r="C310" s="5">
        <v>12990.427437674483</v>
      </c>
      <c r="D310" s="6">
        <f t="shared" ca="1" si="91"/>
        <v>11533.239999999903</v>
      </c>
      <c r="E310" s="6">
        <f ca="1">90367.2399999999-78834</f>
        <v>11533.239999999903</v>
      </c>
      <c r="F310" s="6"/>
      <c r="G310" s="6">
        <v>1457.1874376745795</v>
      </c>
      <c r="H310" s="7"/>
      <c r="I310" s="7"/>
      <c r="J310" s="7"/>
      <c r="K310" s="6">
        <f t="shared" ca="1" si="92"/>
        <v>0</v>
      </c>
      <c r="L310" s="7">
        <f t="shared" ca="1" si="93"/>
        <v>12990.427437674483</v>
      </c>
      <c r="N310" s="6"/>
      <c r="O310" s="6"/>
      <c r="P310" s="6"/>
      <c r="Q310" s="7"/>
      <c r="R310" s="7"/>
      <c r="S310" s="7"/>
      <c r="T310" s="7"/>
      <c r="U310" s="7"/>
      <c r="W310" s="7" t="s">
        <v>185</v>
      </c>
      <c r="Z310" s="22"/>
      <c r="AA310" s="22"/>
      <c r="AD310" s="18"/>
      <c r="AE310" s="18"/>
    </row>
    <row r="311" spans="1:31" outlineLevel="1">
      <c r="A311" s="30">
        <v>878</v>
      </c>
      <c r="B311" s="6" t="s">
        <v>186</v>
      </c>
      <c r="C311" s="5">
        <v>5176786.9461247995</v>
      </c>
      <c r="D311" s="6">
        <f t="shared" ca="1" si="91"/>
        <v>5097057.25</v>
      </c>
      <c r="E311" s="6">
        <f ca="1">5170610.25-61410-12143</f>
        <v>5097057.25</v>
      </c>
      <c r="F311" s="6"/>
      <c r="G311" s="6">
        <v>79729.696124799739</v>
      </c>
      <c r="H311" s="7"/>
      <c r="I311" s="7"/>
      <c r="J311" s="7"/>
      <c r="K311" s="6">
        <f t="shared" ca="1" si="92"/>
        <v>0</v>
      </c>
      <c r="L311" s="7">
        <f t="shared" ca="1" si="93"/>
        <v>5176786.9461247995</v>
      </c>
      <c r="N311" s="6"/>
      <c r="O311" s="6"/>
      <c r="P311" s="6"/>
      <c r="Q311" s="7"/>
      <c r="R311" s="7"/>
      <c r="S311" s="7"/>
      <c r="T311" s="7"/>
      <c r="U311" s="7"/>
      <c r="W311" s="7" t="s">
        <v>187</v>
      </c>
      <c r="Z311" s="22"/>
      <c r="AA311" s="22"/>
      <c r="AD311" s="18"/>
      <c r="AE311" s="18"/>
    </row>
    <row r="312" spans="1:31" outlineLevel="1">
      <c r="A312" s="30">
        <v>879</v>
      </c>
      <c r="B312" s="6" t="s">
        <v>188</v>
      </c>
      <c r="C312" s="5">
        <v>5494783.6038473621</v>
      </c>
      <c r="D312" s="6">
        <f t="shared" ca="1" si="91"/>
        <v>5400430.7800000003</v>
      </c>
      <c r="E312" s="6">
        <v>5400430.7800000003</v>
      </c>
      <c r="F312" s="6"/>
      <c r="G312" s="6">
        <v>94352.82384736219</v>
      </c>
      <c r="H312" s="7"/>
      <c r="I312" s="7"/>
      <c r="J312" s="7"/>
      <c r="K312" s="6">
        <f t="shared" ca="1" si="92"/>
        <v>0</v>
      </c>
      <c r="L312" s="7">
        <f t="shared" ca="1" si="93"/>
        <v>5494783.6038473621</v>
      </c>
      <c r="N312" s="6"/>
      <c r="O312" s="6"/>
      <c r="P312" s="6"/>
      <c r="Q312" s="7"/>
      <c r="R312" s="7"/>
      <c r="S312" s="7"/>
      <c r="T312" s="7"/>
      <c r="U312" s="7"/>
      <c r="W312" s="7" t="s">
        <v>189</v>
      </c>
      <c r="Z312" s="22"/>
      <c r="AA312" s="22"/>
      <c r="AD312" s="18"/>
      <c r="AE312" s="18"/>
    </row>
    <row r="313" spans="1:31" outlineLevel="1">
      <c r="A313" s="30">
        <v>880</v>
      </c>
      <c r="B313" s="6" t="s">
        <v>190</v>
      </c>
      <c r="C313" s="5">
        <v>5115361.1142780976</v>
      </c>
      <c r="D313" s="6">
        <f t="shared" ca="1" si="91"/>
        <v>5040378.8299999898</v>
      </c>
      <c r="E313" s="6">
        <f ca="1">5159684.82999999-119306</f>
        <v>5040378.8299999898</v>
      </c>
      <c r="F313" s="6"/>
      <c r="G313" s="6">
        <v>74982.284278108156</v>
      </c>
      <c r="H313" s="7"/>
      <c r="I313" s="7"/>
      <c r="J313" s="7"/>
      <c r="K313" s="6">
        <f t="shared" ca="1" si="92"/>
        <v>0</v>
      </c>
      <c r="L313" s="7">
        <f t="shared" ca="1" si="93"/>
        <v>5115361.1142780976</v>
      </c>
      <c r="N313" s="6"/>
      <c r="O313" s="6"/>
      <c r="P313" s="6"/>
      <c r="Q313" s="7"/>
      <c r="R313" s="7"/>
      <c r="S313" s="7"/>
      <c r="T313" s="7"/>
      <c r="U313" s="7"/>
      <c r="W313" s="7" t="s">
        <v>191</v>
      </c>
      <c r="Z313" s="22"/>
      <c r="AA313" s="22"/>
      <c r="AD313" s="18"/>
      <c r="AE313" s="16"/>
    </row>
    <row r="314" spans="1:31" outlineLevel="1">
      <c r="A314" s="30">
        <v>881</v>
      </c>
      <c r="B314" s="6" t="s">
        <v>192</v>
      </c>
      <c r="C314" s="5">
        <v>217941.72999999899</v>
      </c>
      <c r="D314" s="6">
        <f t="shared" ca="1" si="91"/>
        <v>217941.72999999899</v>
      </c>
      <c r="E314" s="6">
        <v>217941.72999999899</v>
      </c>
      <c r="F314" s="6"/>
      <c r="G314" s="6">
        <v>0</v>
      </c>
      <c r="H314" s="7"/>
      <c r="I314" s="7"/>
      <c r="J314" s="7"/>
      <c r="K314" s="6">
        <f t="shared" ca="1" si="92"/>
        <v>0</v>
      </c>
      <c r="L314" s="7">
        <f t="shared" ca="1" si="93"/>
        <v>217941.72999999899</v>
      </c>
      <c r="N314" s="6"/>
      <c r="O314" s="6"/>
      <c r="P314" s="6"/>
      <c r="Q314" s="7"/>
      <c r="R314" s="6"/>
      <c r="S314" s="7"/>
      <c r="T314" s="7"/>
      <c r="U314" s="7"/>
      <c r="W314" s="7" t="s">
        <v>191</v>
      </c>
      <c r="Z314" s="22"/>
      <c r="AA314" s="22"/>
      <c r="AD314" s="18"/>
      <c r="AE314" s="18"/>
    </row>
    <row r="315" spans="1:31" outlineLevel="1">
      <c r="A315" s="30" t="s">
        <v>32</v>
      </c>
      <c r="B315" s="6" t="s">
        <v>32</v>
      </c>
      <c r="C315" s="5">
        <v>0</v>
      </c>
      <c r="D315" s="6">
        <f t="shared" ca="1" si="91"/>
        <v>0</v>
      </c>
      <c r="E315" s="6"/>
      <c r="F315" s="6"/>
      <c r="G315" s="7">
        <v>0</v>
      </c>
      <c r="H315" s="7"/>
      <c r="I315" s="7"/>
      <c r="J315" s="7"/>
      <c r="K315" s="6">
        <f t="shared" ca="1" si="92"/>
        <v>0</v>
      </c>
      <c r="L315" s="7">
        <f t="shared" ca="1" si="93"/>
        <v>0</v>
      </c>
      <c r="N315" s="6"/>
      <c r="O315" s="6"/>
      <c r="P315" s="6"/>
      <c r="Q315" s="7"/>
      <c r="R315" s="7"/>
      <c r="S315" s="7"/>
      <c r="T315" s="7"/>
      <c r="U315" s="7"/>
      <c r="W315" s="7"/>
      <c r="Z315" s="22"/>
      <c r="AA315" s="22"/>
      <c r="AD315" s="18"/>
      <c r="AE315" s="18"/>
    </row>
    <row r="316" spans="1:31" outlineLevel="1">
      <c r="A316" s="30">
        <v>886</v>
      </c>
      <c r="B316" s="6" t="s">
        <v>193</v>
      </c>
      <c r="C316" s="5">
        <v>288186.39999999898</v>
      </c>
      <c r="D316" s="6">
        <f t="shared" ca="1" si="91"/>
        <v>288186.39999999898</v>
      </c>
      <c r="E316" s="6">
        <v>288186.39999999898</v>
      </c>
      <c r="F316" s="6"/>
      <c r="G316" s="6">
        <v>0</v>
      </c>
      <c r="H316" s="7"/>
      <c r="I316" s="7"/>
      <c r="J316" s="7"/>
      <c r="K316" s="6">
        <f t="shared" ca="1" si="92"/>
        <v>0</v>
      </c>
      <c r="L316" s="7">
        <f t="shared" ca="1" si="93"/>
        <v>288186.39999999898</v>
      </c>
      <c r="N316" s="6"/>
      <c r="O316" s="6"/>
      <c r="P316" s="6"/>
      <c r="Q316" s="7"/>
      <c r="R316" s="6"/>
      <c r="S316" s="7"/>
      <c r="T316" s="7"/>
      <c r="U316" s="7"/>
      <c r="W316" s="7" t="s">
        <v>191</v>
      </c>
      <c r="Z316" s="22"/>
      <c r="AA316" s="22"/>
      <c r="AD316" s="18"/>
      <c r="AE316" s="18"/>
    </row>
    <row r="317" spans="1:31" outlineLevel="1">
      <c r="A317" s="30">
        <v>887</v>
      </c>
      <c r="B317" s="6" t="s">
        <v>175</v>
      </c>
      <c r="C317" s="5">
        <v>7349761.2462814609</v>
      </c>
      <c r="D317" s="6">
        <f t="shared" ca="1" si="91"/>
        <v>7293140.1600000001</v>
      </c>
      <c r="E317" s="6">
        <f ca="1">7296061.16-2921</f>
        <v>7293140.1600000001</v>
      </c>
      <c r="F317" s="6"/>
      <c r="G317" s="6">
        <v>56621.086281460426</v>
      </c>
      <c r="H317" s="7"/>
      <c r="I317" s="7"/>
      <c r="J317" s="7"/>
      <c r="K317" s="6">
        <f t="shared" ca="1" si="92"/>
        <v>0</v>
      </c>
      <c r="L317" s="7">
        <f t="shared" ca="1" si="93"/>
        <v>7349761.2462814609</v>
      </c>
      <c r="N317" s="6"/>
      <c r="O317" s="6"/>
      <c r="P317" s="6"/>
      <c r="Q317" s="7"/>
      <c r="R317" s="7"/>
      <c r="S317" s="7"/>
      <c r="T317" s="7"/>
      <c r="U317" s="7"/>
      <c r="W317" s="7" t="s">
        <v>194</v>
      </c>
      <c r="Z317" s="22"/>
      <c r="AA317" s="22"/>
      <c r="AD317" s="18"/>
      <c r="AE317" s="18"/>
    </row>
    <row r="318" spans="1:31" outlineLevel="1">
      <c r="A318" s="30">
        <v>889</v>
      </c>
      <c r="B318" s="6" t="s">
        <v>195</v>
      </c>
      <c r="C318" s="5">
        <v>946923.40354866558</v>
      </c>
      <c r="D318" s="6">
        <f t="shared" ca="1" si="91"/>
        <v>935395.96</v>
      </c>
      <c r="E318" s="6">
        <v>935395.96</v>
      </c>
      <c r="F318" s="6"/>
      <c r="G318" s="6">
        <v>11527.443548665655</v>
      </c>
      <c r="H318" s="7"/>
      <c r="I318" s="7"/>
      <c r="J318" s="7"/>
      <c r="K318" s="6">
        <f t="shared" ca="1" si="92"/>
        <v>0</v>
      </c>
      <c r="L318" s="7">
        <f t="shared" ca="1" si="93"/>
        <v>946923.40354866558</v>
      </c>
      <c r="N318" s="6" t="s">
        <v>56</v>
      </c>
      <c r="O318" s="6" t="s">
        <v>29</v>
      </c>
      <c r="P318" s="7" t="s">
        <v>171</v>
      </c>
      <c r="Q318" s="7"/>
      <c r="R318" s="7"/>
      <c r="S318" s="7"/>
      <c r="T318" s="7"/>
      <c r="U318" s="7"/>
      <c r="W318" s="7"/>
      <c r="Z318" s="22"/>
      <c r="AA318" s="22"/>
      <c r="AD318" s="18"/>
      <c r="AE318" s="18"/>
    </row>
    <row r="319" spans="1:31" outlineLevel="1">
      <c r="A319" s="30">
        <v>890</v>
      </c>
      <c r="B319" s="6" t="s">
        <v>196</v>
      </c>
      <c r="C319" s="5">
        <v>107510.12848514321</v>
      </c>
      <c r="D319" s="6">
        <f t="shared" ca="1" si="91"/>
        <v>98881.669999998994</v>
      </c>
      <c r="E319" s="6">
        <f ca="1">502183.669999999-403302</f>
        <v>98881.669999998994</v>
      </c>
      <c r="F319" s="6"/>
      <c r="G319" s="6">
        <v>8628.458485144216</v>
      </c>
      <c r="H319" s="7"/>
      <c r="I319" s="7"/>
      <c r="J319" s="7"/>
      <c r="K319" s="6">
        <f t="shared" ca="1" si="92"/>
        <v>0</v>
      </c>
      <c r="L319" s="7">
        <f t="shared" ca="1" si="93"/>
        <v>107510.12848514321</v>
      </c>
      <c r="N319" s="6"/>
      <c r="O319" s="6"/>
      <c r="P319" s="6"/>
      <c r="Q319" s="7"/>
      <c r="R319" s="7"/>
      <c r="S319" s="7"/>
      <c r="T319" s="7"/>
      <c r="U319" s="7"/>
      <c r="W319" s="7" t="s">
        <v>185</v>
      </c>
      <c r="Z319" s="22"/>
      <c r="AA319" s="22"/>
      <c r="AD319" s="18"/>
      <c r="AE319" s="18"/>
    </row>
    <row r="320" spans="1:31" outlineLevel="1">
      <c r="A320" s="30">
        <v>892</v>
      </c>
      <c r="B320" s="6" t="s">
        <v>197</v>
      </c>
      <c r="C320" s="5">
        <v>4457290.6915108953</v>
      </c>
      <c r="D320" s="6">
        <f t="shared" ca="1" si="91"/>
        <v>4438772.38</v>
      </c>
      <c r="E320" s="6">
        <v>4438772.38</v>
      </c>
      <c r="F320" s="6"/>
      <c r="G320" s="6">
        <v>18518.311510895146</v>
      </c>
      <c r="H320" s="7"/>
      <c r="I320" s="7"/>
      <c r="J320" s="7"/>
      <c r="K320" s="6">
        <f t="shared" ca="1" si="92"/>
        <v>0</v>
      </c>
      <c r="L320" s="7">
        <f t="shared" ca="1" si="93"/>
        <v>4457290.6915108953</v>
      </c>
      <c r="N320" s="6"/>
      <c r="O320" s="6"/>
      <c r="P320" s="6"/>
      <c r="Q320" s="7"/>
      <c r="R320" s="7"/>
      <c r="S320" s="7"/>
      <c r="T320" s="7"/>
      <c r="U320" s="7"/>
      <c r="W320" s="7" t="s">
        <v>198</v>
      </c>
      <c r="Z320" s="22"/>
      <c r="AA320" s="22"/>
      <c r="AD320" s="18"/>
      <c r="AE320" s="18"/>
    </row>
    <row r="321" spans="1:31" outlineLevel="1">
      <c r="A321" s="30">
        <v>893</v>
      </c>
      <c r="B321" s="6" t="s">
        <v>199</v>
      </c>
      <c r="C321" s="5">
        <v>1366141.2667691554</v>
      </c>
      <c r="D321" s="6">
        <f t="shared" ca="1" si="91"/>
        <v>1349758.89</v>
      </c>
      <c r="E321" s="6">
        <f ca="1">1371773.89-22015</f>
        <v>1349758.89</v>
      </c>
      <c r="F321" s="6"/>
      <c r="G321" s="6">
        <v>16382.376769155537</v>
      </c>
      <c r="H321" s="7"/>
      <c r="I321" s="7"/>
      <c r="J321" s="7"/>
      <c r="K321" s="6">
        <f t="shared" ca="1" si="92"/>
        <v>0</v>
      </c>
      <c r="L321" s="7">
        <f t="shared" ca="1" si="93"/>
        <v>1366141.2667691554</v>
      </c>
      <c r="N321" s="6"/>
      <c r="O321" s="6"/>
      <c r="P321" s="6"/>
      <c r="Q321" s="7"/>
      <c r="R321" s="7"/>
      <c r="S321" s="7"/>
      <c r="T321" s="7"/>
      <c r="U321" s="7"/>
      <c r="W321" s="7" t="s">
        <v>187</v>
      </c>
      <c r="Z321" s="22"/>
      <c r="AA321" s="22"/>
      <c r="AD321" s="18"/>
      <c r="AE321" s="18"/>
    </row>
    <row r="322" spans="1:31" outlineLevel="1">
      <c r="A322" s="30">
        <v>894</v>
      </c>
      <c r="B322" s="6" t="s">
        <v>159</v>
      </c>
      <c r="C322" s="5">
        <v>348862.3323814554</v>
      </c>
      <c r="D322" s="6">
        <f t="shared" ca="1" si="91"/>
        <v>330415.8699999901</v>
      </c>
      <c r="E322" s="6">
        <f ca="1">1075496.86999999-745081</f>
        <v>330415.8699999901</v>
      </c>
      <c r="F322" s="6"/>
      <c r="G322" s="6">
        <v>18446.462381465299</v>
      </c>
      <c r="H322" s="7"/>
      <c r="I322" s="7"/>
      <c r="J322" s="7"/>
      <c r="K322" s="6">
        <f t="shared" ca="1" si="92"/>
        <v>0</v>
      </c>
      <c r="L322" s="7">
        <f t="shared" ca="1" si="93"/>
        <v>348862.3323814554</v>
      </c>
      <c r="N322" s="6"/>
      <c r="O322" s="6"/>
      <c r="P322" s="6"/>
      <c r="Q322" s="7"/>
      <c r="R322" s="7"/>
      <c r="S322" s="7"/>
      <c r="T322" s="7"/>
      <c r="U322" s="7"/>
      <c r="W322" s="7" t="s">
        <v>200</v>
      </c>
      <c r="Z322" s="22"/>
      <c r="AA322" s="22"/>
      <c r="AD322" s="18"/>
      <c r="AE322" s="18"/>
    </row>
    <row r="323" spans="1:31" outlineLevel="1">
      <c r="A323" s="30"/>
      <c r="B323" s="6" t="s">
        <v>201</v>
      </c>
      <c r="C323" s="5">
        <v>1742032.4812913521</v>
      </c>
      <c r="D323" s="6">
        <f ca="1">E323+F323</f>
        <v>1742032.4812913521</v>
      </c>
      <c r="E323" s="6">
        <v>1742032.4812913521</v>
      </c>
      <c r="F323" s="6"/>
      <c r="G323" s="7"/>
      <c r="H323" s="7"/>
      <c r="I323" s="7"/>
      <c r="J323" s="7"/>
      <c r="K323" s="6">
        <f ca="1">+I323+J323</f>
        <v>0</v>
      </c>
      <c r="L323" s="7">
        <f ca="1">D323+G323+H323+K323</f>
        <v>1742032.4812913521</v>
      </c>
      <c r="N323" s="7" t="s">
        <v>202</v>
      </c>
      <c r="O323" s="6" t="s">
        <v>203</v>
      </c>
      <c r="P323" s="6"/>
      <c r="Q323" s="7"/>
      <c r="R323" s="7"/>
      <c r="S323" s="7" t="s">
        <v>204</v>
      </c>
      <c r="T323" s="7"/>
      <c r="U323" s="7"/>
      <c r="W323" s="7"/>
      <c r="Z323" s="22"/>
      <c r="AA323" s="22"/>
      <c r="AD323" s="18"/>
      <c r="AE323" s="18"/>
    </row>
    <row r="324" spans="1:31" outlineLevel="1">
      <c r="A324" s="30"/>
      <c r="B324" s="6" t="s">
        <v>205</v>
      </c>
      <c r="C324" s="5">
        <v>100457.39620864793</v>
      </c>
      <c r="D324" s="6">
        <f ca="1">E324+F324</f>
        <v>100457.39620864793</v>
      </c>
      <c r="E324" s="6">
        <v>100457.39620864793</v>
      </c>
      <c r="F324" s="6"/>
      <c r="G324" s="7"/>
      <c r="H324" s="7"/>
      <c r="I324" s="7"/>
      <c r="J324" s="7"/>
      <c r="K324" s="6">
        <f ca="1">+I324+J324</f>
        <v>0</v>
      </c>
      <c r="L324" s="7">
        <f ca="1">D324+G324+H324+K324</f>
        <v>100457.39620864793</v>
      </c>
      <c r="N324" s="7" t="s">
        <v>206</v>
      </c>
      <c r="O324" s="6" t="s">
        <v>207</v>
      </c>
      <c r="P324" s="7"/>
      <c r="Q324" s="7"/>
      <c r="R324" s="7"/>
      <c r="S324" s="7"/>
      <c r="T324" s="7" t="s">
        <v>208</v>
      </c>
      <c r="U324" s="7"/>
      <c r="W324" s="7"/>
      <c r="Z324" s="22"/>
      <c r="AA324" s="22"/>
      <c r="AD324" s="18"/>
      <c r="AE324" s="18"/>
    </row>
    <row r="325" spans="1:31" hidden="1" outlineLevel="1">
      <c r="A325" s="30" t="s">
        <v>32</v>
      </c>
      <c r="B325" s="6" t="s">
        <v>32</v>
      </c>
      <c r="C325" s="5">
        <v>0</v>
      </c>
      <c r="D325" s="6">
        <f t="shared" ca="1" si="91"/>
        <v>0</v>
      </c>
      <c r="E325" s="6"/>
      <c r="F325" s="6"/>
      <c r="G325" s="7"/>
      <c r="H325" s="7"/>
      <c r="I325" s="7"/>
      <c r="J325" s="7"/>
      <c r="K325" s="6">
        <f t="shared" ca="1" si="92"/>
        <v>0</v>
      </c>
      <c r="L325" s="7">
        <f t="shared" ca="1" si="93"/>
        <v>0</v>
      </c>
      <c r="N325" s="6"/>
      <c r="O325" s="6"/>
      <c r="P325" s="6"/>
      <c r="Q325" s="7"/>
      <c r="R325" s="7"/>
      <c r="S325" s="7"/>
      <c r="T325" s="7"/>
      <c r="U325" s="7"/>
      <c r="W325" s="7"/>
      <c r="Z325" s="22"/>
      <c r="AA325" s="22"/>
      <c r="AD325" s="18"/>
      <c r="AE325" s="18"/>
    </row>
    <row r="326" spans="1:31" hidden="1" outlineLevel="1">
      <c r="A326" s="30" t="s">
        <v>32</v>
      </c>
      <c r="B326" s="6" t="s">
        <v>32</v>
      </c>
      <c r="C326" s="5">
        <v>0</v>
      </c>
      <c r="D326" s="6">
        <f t="shared" ca="1" si="91"/>
        <v>0</v>
      </c>
      <c r="E326" s="6"/>
      <c r="F326" s="6"/>
      <c r="G326" s="7"/>
      <c r="H326" s="7"/>
      <c r="I326" s="7"/>
      <c r="J326" s="7"/>
      <c r="K326" s="6">
        <f t="shared" ca="1" si="92"/>
        <v>0</v>
      </c>
      <c r="L326" s="7">
        <f t="shared" ca="1" si="93"/>
        <v>0</v>
      </c>
      <c r="N326" s="6"/>
      <c r="O326" s="6"/>
      <c r="P326" s="6"/>
      <c r="Q326" s="7"/>
      <c r="R326" s="7"/>
      <c r="S326" s="7"/>
      <c r="T326" s="7"/>
      <c r="U326" s="7"/>
      <c r="W326" s="7"/>
      <c r="Z326" s="22"/>
      <c r="AA326" s="22"/>
      <c r="AD326" s="18"/>
      <c r="AE326" s="18"/>
    </row>
    <row r="327" spans="1:31" hidden="1" outlineLevel="1">
      <c r="A327" s="30" t="s">
        <v>32</v>
      </c>
      <c r="B327" s="6" t="s">
        <v>32</v>
      </c>
      <c r="C327" s="5">
        <v>0</v>
      </c>
      <c r="D327" s="6">
        <f ca="1">E327+F327</f>
        <v>0</v>
      </c>
      <c r="E327" s="6"/>
      <c r="F327" s="6"/>
      <c r="G327" s="7"/>
      <c r="H327" s="7"/>
      <c r="I327" s="7"/>
      <c r="J327" s="7"/>
      <c r="K327" s="6">
        <f ca="1">+I327+J327</f>
        <v>0</v>
      </c>
      <c r="L327" s="7">
        <f ca="1">D327+G327+H327+K327</f>
        <v>0</v>
      </c>
      <c r="N327" s="6"/>
      <c r="O327" s="6"/>
      <c r="P327" s="6"/>
      <c r="Q327" s="7"/>
      <c r="R327" s="6"/>
      <c r="S327" s="7"/>
      <c r="T327" s="7"/>
      <c r="U327" s="7"/>
      <c r="W327" s="7"/>
      <c r="Z327" s="22"/>
      <c r="AA327" s="22"/>
      <c r="AD327" s="18"/>
      <c r="AE327" s="18"/>
    </row>
    <row r="328" spans="1:31" hidden="1" outlineLevel="1">
      <c r="A328" s="30" t="s">
        <v>32</v>
      </c>
      <c r="B328" s="6" t="s">
        <v>32</v>
      </c>
      <c r="C328" s="5">
        <v>0</v>
      </c>
      <c r="D328" s="6">
        <f t="shared" ca="1" si="91"/>
        <v>0</v>
      </c>
      <c r="E328" s="6"/>
      <c r="F328" s="6"/>
      <c r="G328" s="7"/>
      <c r="H328" s="7"/>
      <c r="I328" s="7"/>
      <c r="J328" s="7"/>
      <c r="K328" s="6">
        <f t="shared" ca="1" si="92"/>
        <v>0</v>
      </c>
      <c r="L328" s="7">
        <f t="shared" ca="1" si="93"/>
        <v>0</v>
      </c>
      <c r="N328" s="6"/>
      <c r="O328" s="6"/>
      <c r="P328" s="6"/>
      <c r="Q328" s="7"/>
      <c r="R328" s="7"/>
      <c r="S328" s="7"/>
      <c r="T328" s="7"/>
      <c r="U328" s="7"/>
      <c r="W328" s="7"/>
      <c r="Z328" s="22"/>
      <c r="AA328" s="22"/>
      <c r="AD328" s="18"/>
      <c r="AE328" s="18"/>
    </row>
    <row r="329" spans="1:31" hidden="1" outlineLevel="1">
      <c r="A329" s="30" t="s">
        <v>32</v>
      </c>
      <c r="B329" s="6" t="s">
        <v>32</v>
      </c>
      <c r="C329" s="5">
        <v>0</v>
      </c>
      <c r="D329" s="6">
        <f t="shared" ca="1" si="91"/>
        <v>0</v>
      </c>
      <c r="E329" s="6"/>
      <c r="F329" s="6"/>
      <c r="G329" s="7"/>
      <c r="H329" s="7"/>
      <c r="I329" s="7"/>
      <c r="J329" s="7"/>
      <c r="K329" s="6">
        <f t="shared" ca="1" si="92"/>
        <v>0</v>
      </c>
      <c r="L329" s="7">
        <f t="shared" ca="1" si="93"/>
        <v>0</v>
      </c>
      <c r="N329" s="6"/>
      <c r="O329" s="6"/>
      <c r="P329" s="6"/>
      <c r="Q329" s="7"/>
      <c r="R329" s="6"/>
      <c r="S329" s="7"/>
      <c r="T329" s="7"/>
      <c r="U329" s="7"/>
      <c r="W329" s="7"/>
      <c r="Z329" s="22"/>
      <c r="AA329" s="22"/>
      <c r="AD329" s="18"/>
      <c r="AE329" s="18"/>
    </row>
    <row r="330" spans="1:31" hidden="1" outlineLevel="1">
      <c r="A330" s="30" t="s">
        <v>32</v>
      </c>
      <c r="B330" s="6" t="s">
        <v>32</v>
      </c>
      <c r="C330" s="5">
        <v>0</v>
      </c>
      <c r="D330" s="6">
        <f t="shared" ca="1" si="91"/>
        <v>0</v>
      </c>
      <c r="E330" s="6"/>
      <c r="F330" s="6"/>
      <c r="G330" s="7"/>
      <c r="H330" s="7"/>
      <c r="I330" s="7"/>
      <c r="J330" s="7"/>
      <c r="K330" s="6">
        <f t="shared" ca="1" si="92"/>
        <v>0</v>
      </c>
      <c r="L330" s="7">
        <f t="shared" ca="1" si="93"/>
        <v>0</v>
      </c>
      <c r="N330" s="6"/>
      <c r="O330" s="6"/>
      <c r="P330" s="6"/>
      <c r="Q330" s="7"/>
      <c r="R330" s="7"/>
      <c r="S330" s="7"/>
      <c r="T330" s="7"/>
      <c r="U330" s="7"/>
      <c r="W330" s="7"/>
      <c r="Z330" s="22"/>
      <c r="AA330" s="22"/>
      <c r="AD330" s="18"/>
      <c r="AE330" s="18"/>
    </row>
    <row r="331" spans="1:31" s="8" customFormat="1" outlineLevel="1">
      <c r="A331" s="25"/>
      <c r="B331" s="8" t="s">
        <v>22</v>
      </c>
      <c r="C331" s="8">
        <f t="shared" ref="C331:L331" ca="1" si="94">SUM(C306:C330)</f>
        <v>56144612.018131584</v>
      </c>
      <c r="D331" s="8">
        <f t="shared" ca="1" si="94"/>
        <v>55510540.34749987</v>
      </c>
      <c r="E331" s="8">
        <f ca="1">SUM(E306:E330)</f>
        <v>55510540.34749987</v>
      </c>
      <c r="F331" s="8">
        <f t="shared" ca="1" si="94"/>
        <v>0</v>
      </c>
      <c r="G331" s="8">
        <f ca="1">SUM(G306:G330)</f>
        <v>634071.67063171265</v>
      </c>
      <c r="H331" s="8">
        <f t="shared" ca="1" si="94"/>
        <v>0</v>
      </c>
      <c r="I331" s="8">
        <f t="shared" ca="1" si="94"/>
        <v>0</v>
      </c>
      <c r="J331" s="8">
        <f t="shared" ca="1" si="94"/>
        <v>0</v>
      </c>
      <c r="K331" s="8">
        <f t="shared" ca="1" si="94"/>
        <v>0</v>
      </c>
      <c r="L331" s="8">
        <f t="shared" ca="1" si="94"/>
        <v>56144612.018131584</v>
      </c>
      <c r="M331" s="4"/>
      <c r="V331" s="4"/>
      <c r="AD331" s="11"/>
      <c r="AE331" s="11"/>
    </row>
    <row r="332" spans="1:31" outlineLevel="1">
      <c r="C332" s="15"/>
      <c r="AD332" s="18"/>
      <c r="AE332" s="18"/>
    </row>
    <row r="333" spans="1:31" outlineLevel="1">
      <c r="B333" s="1" t="s">
        <v>209</v>
      </c>
      <c r="AD333" s="18"/>
      <c r="AE333" s="18"/>
    </row>
    <row r="334" spans="1:31" outlineLevel="1">
      <c r="A334" s="30">
        <v>901</v>
      </c>
      <c r="B334" s="6" t="s">
        <v>210</v>
      </c>
      <c r="C334" s="5">
        <v>106656.62412392694</v>
      </c>
      <c r="D334" s="6">
        <f ca="1">E334+F334</f>
        <v>105126.075805</v>
      </c>
      <c r="E334" s="6">
        <v>0</v>
      </c>
      <c r="F334" s="6">
        <v>105126.075805</v>
      </c>
      <c r="G334" s="7">
        <v>1530.5483189269462</v>
      </c>
      <c r="H334" s="7"/>
      <c r="I334" s="7"/>
      <c r="J334" s="7"/>
      <c r="K334" s="6">
        <f t="shared" ref="K334:K345" ca="1" si="95">+I334+J334</f>
        <v>0</v>
      </c>
      <c r="L334" s="7">
        <f t="shared" ref="L334:L345" ca="1" si="96">D334+G334+H334+K334</f>
        <v>106656.62412392694</v>
      </c>
      <c r="N334" s="6"/>
      <c r="O334" s="6"/>
      <c r="P334" s="6"/>
      <c r="Q334" s="7"/>
      <c r="R334" s="7"/>
      <c r="S334" s="7"/>
      <c r="T334" s="7"/>
      <c r="U334" s="7"/>
      <c r="W334" s="7" t="s">
        <v>211</v>
      </c>
      <c r="Y334" s="22"/>
      <c r="Z334" s="22"/>
      <c r="AA334" s="22"/>
      <c r="AD334" s="18"/>
      <c r="AE334" s="16"/>
    </row>
    <row r="335" spans="1:31" outlineLevel="1">
      <c r="A335" s="30">
        <v>902</v>
      </c>
      <c r="B335" s="6" t="s">
        <v>212</v>
      </c>
      <c r="C335" s="5">
        <v>6352497.970616322</v>
      </c>
      <c r="D335" s="6">
        <f ca="1">E335+F335</f>
        <v>6347805.9809153844</v>
      </c>
      <c r="E335" s="6">
        <f ca="1">7367629-E336</f>
        <v>6154324.2635449963</v>
      </c>
      <c r="F335" s="6">
        <f ca="1">231626-F336</f>
        <v>193481.71737038787</v>
      </c>
      <c r="G335" s="7">
        <f ca="1">5617-G336</f>
        <v>4691.9897009380147</v>
      </c>
      <c r="H335" s="7"/>
      <c r="I335" s="7"/>
      <c r="J335" s="7"/>
      <c r="K335" s="6">
        <f t="shared" ca="1" si="95"/>
        <v>0</v>
      </c>
      <c r="L335" s="7">
        <f t="shared" ca="1" si="96"/>
        <v>6352497.970616322</v>
      </c>
      <c r="N335" s="7" t="s">
        <v>202</v>
      </c>
      <c r="O335" s="6" t="s">
        <v>203</v>
      </c>
      <c r="P335" s="6"/>
      <c r="Q335" s="7"/>
      <c r="R335" s="7"/>
      <c r="S335" s="7" t="s">
        <v>213</v>
      </c>
      <c r="T335" s="7"/>
      <c r="U335" s="7"/>
      <c r="W335" s="7"/>
      <c r="Y335" s="22"/>
      <c r="Z335" s="22"/>
      <c r="AA335" s="22"/>
      <c r="AD335" s="18"/>
      <c r="AE335" s="16"/>
    </row>
    <row r="336" spans="1:31" outlineLevel="1">
      <c r="A336" s="30">
        <v>902</v>
      </c>
      <c r="B336" s="6" t="s">
        <v>214</v>
      </c>
      <c r="C336" s="5">
        <v>1252374.0293836778</v>
      </c>
      <c r="D336" s="6">
        <f ca="1">E336+F336</f>
        <v>1251449.0190846159</v>
      </c>
      <c r="E336" s="6">
        <f ca="1">7367629*(45699/277501)</f>
        <v>1213304.7364550037</v>
      </c>
      <c r="F336" s="6">
        <f ca="1">231626*(45699/277501)</f>
        <v>38144.282629612142</v>
      </c>
      <c r="G336" s="6">
        <f ca="1">5617*(45699/277501)</f>
        <v>925.01029906198528</v>
      </c>
      <c r="H336" s="7"/>
      <c r="I336" s="7"/>
      <c r="J336" s="7"/>
      <c r="K336" s="6">
        <f ca="1">+I336+J336</f>
        <v>0</v>
      </c>
      <c r="L336" s="7">
        <f ca="1">D336+G336+H336+K336</f>
        <v>1252374.0293836778</v>
      </c>
      <c r="N336" s="7" t="s">
        <v>206</v>
      </c>
      <c r="O336" s="6" t="s">
        <v>207</v>
      </c>
      <c r="P336" s="6"/>
      <c r="Q336" s="7"/>
      <c r="R336" s="7"/>
      <c r="S336" s="7"/>
      <c r="T336" s="7" t="s">
        <v>215</v>
      </c>
      <c r="U336" s="7"/>
      <c r="W336" s="7"/>
      <c r="Y336" s="22"/>
      <c r="Z336" s="22"/>
      <c r="AA336" s="22"/>
      <c r="AD336" s="18"/>
      <c r="AE336" s="16"/>
    </row>
    <row r="337" spans="1:31" outlineLevel="1">
      <c r="A337" s="30">
        <v>903</v>
      </c>
      <c r="B337" s="6" t="s">
        <v>216</v>
      </c>
      <c r="C337" s="5">
        <v>16959737.517700002</v>
      </c>
      <c r="D337" s="6">
        <f t="shared" ref="D337:D343" ca="1" si="97">E337+F337</f>
        <v>13458461.5177</v>
      </c>
      <c r="E337" s="6">
        <f ca="1">1253216-458308</f>
        <v>794908</v>
      </c>
      <c r="F337" s="6">
        <v>12663553.5177</v>
      </c>
      <c r="G337" s="7">
        <f ca="1">3501276-G342</f>
        <v>3501276</v>
      </c>
      <c r="H337" s="7"/>
      <c r="I337" s="7"/>
      <c r="J337" s="7"/>
      <c r="K337" s="6">
        <f t="shared" ca="1" si="95"/>
        <v>0</v>
      </c>
      <c r="L337" s="7">
        <f t="shared" ca="1" si="96"/>
        <v>16959737.517700002</v>
      </c>
      <c r="N337" s="6" t="s">
        <v>56</v>
      </c>
      <c r="O337" s="6" t="s">
        <v>63</v>
      </c>
      <c r="P337" s="6"/>
      <c r="Q337" s="7"/>
      <c r="R337" s="7" t="s">
        <v>217</v>
      </c>
      <c r="S337" s="7"/>
      <c r="T337" s="7"/>
      <c r="U337" s="7"/>
      <c r="W337" s="7"/>
      <c r="Y337" s="22"/>
      <c r="Z337" s="22"/>
      <c r="AA337" s="22"/>
      <c r="AD337" s="18"/>
      <c r="AE337" s="16"/>
    </row>
    <row r="338" spans="1:31" outlineLevel="1">
      <c r="A338" s="30">
        <v>904</v>
      </c>
      <c r="B338" s="6" t="s">
        <v>218</v>
      </c>
      <c r="C338" s="5">
        <v>2372302.0124169751</v>
      </c>
      <c r="D338" s="6">
        <f t="shared" ca="1" si="97"/>
        <v>2537539.3295189701</v>
      </c>
      <c r="E338" s="6">
        <f ca="1">4461726-H339</f>
        <v>2537539.3295189701</v>
      </c>
      <c r="F338" s="6"/>
      <c r="G338" s="7">
        <v>-165237.31710199514</v>
      </c>
      <c r="H338" s="7"/>
      <c r="I338" s="7"/>
      <c r="J338" s="7"/>
      <c r="K338" s="6">
        <f t="shared" ca="1" si="95"/>
        <v>0</v>
      </c>
      <c r="L338" s="7">
        <f t="shared" ca="1" si="96"/>
        <v>2372302.0124169751</v>
      </c>
      <c r="N338" s="6" t="s">
        <v>56</v>
      </c>
      <c r="O338" s="6" t="s">
        <v>63</v>
      </c>
      <c r="P338" s="6"/>
      <c r="Q338" s="7"/>
      <c r="R338" s="7" t="s">
        <v>219</v>
      </c>
      <c r="S338" s="7"/>
      <c r="T338" s="7"/>
      <c r="U338" s="7"/>
      <c r="W338" s="7"/>
      <c r="Y338" s="22"/>
      <c r="Z338" s="22"/>
      <c r="AA338" s="22"/>
      <c r="AD338" s="18"/>
      <c r="AE338" s="16"/>
    </row>
    <row r="339" spans="1:31" outlineLevel="1">
      <c r="A339" s="30">
        <v>904</v>
      </c>
      <c r="B339" s="6" t="s">
        <v>220</v>
      </c>
      <c r="C339" s="5">
        <v>0</v>
      </c>
      <c r="D339" s="6">
        <f t="shared" ca="1" si="97"/>
        <v>0</v>
      </c>
      <c r="E339" s="6">
        <v>0</v>
      </c>
      <c r="F339" s="6"/>
      <c r="G339" s="7"/>
      <c r="H339" s="7">
        <v>1924186.6704810297</v>
      </c>
      <c r="I339" s="7"/>
      <c r="J339" s="7"/>
      <c r="K339" s="6">
        <f t="shared" ca="1" si="95"/>
        <v>0</v>
      </c>
      <c r="L339" s="7">
        <f t="shared" ca="1" si="96"/>
        <v>1924186.6704810297</v>
      </c>
      <c r="N339" s="6" t="s">
        <v>56</v>
      </c>
      <c r="O339" s="6" t="s">
        <v>63</v>
      </c>
      <c r="P339" s="6"/>
      <c r="Q339" s="7"/>
      <c r="R339" s="7" t="s">
        <v>219</v>
      </c>
      <c r="S339" s="7"/>
      <c r="T339" s="7"/>
      <c r="U339" s="7"/>
      <c r="W339" s="7"/>
      <c r="Y339" s="22"/>
      <c r="Z339" s="22"/>
      <c r="AA339" s="22"/>
      <c r="AD339" s="16"/>
      <c r="AE339" s="16"/>
    </row>
    <row r="340" spans="1:31" outlineLevel="1">
      <c r="A340" s="30">
        <v>904</v>
      </c>
      <c r="B340" s="6" t="s">
        <v>221</v>
      </c>
      <c r="C340" s="5">
        <v>118181.80979999999</v>
      </c>
      <c r="D340" s="6">
        <f t="shared" ca="1" si="97"/>
        <v>0</v>
      </c>
      <c r="E340" s="6">
        <v>0</v>
      </c>
      <c r="F340" s="6">
        <v>0</v>
      </c>
      <c r="G340" s="7"/>
      <c r="H340" s="7"/>
      <c r="I340" s="7">
        <v>118181.80979999999</v>
      </c>
      <c r="J340" s="7"/>
      <c r="K340" s="6">
        <f t="shared" ca="1" si="95"/>
        <v>118181.80979999999</v>
      </c>
      <c r="L340" s="7">
        <f t="shared" ca="1" si="96"/>
        <v>118181.80979999999</v>
      </c>
      <c r="N340" s="6" t="s">
        <v>56</v>
      </c>
      <c r="O340" s="6" t="s">
        <v>63</v>
      </c>
      <c r="P340" s="6"/>
      <c r="Q340" s="7"/>
      <c r="R340" s="7" t="s">
        <v>219</v>
      </c>
      <c r="S340" s="7"/>
      <c r="T340" s="7"/>
      <c r="U340" s="7"/>
      <c r="W340" s="7"/>
      <c r="Y340" s="22"/>
      <c r="Z340" s="22"/>
      <c r="AA340" s="22"/>
      <c r="AD340" s="18"/>
      <c r="AE340" s="16"/>
    </row>
    <row r="341" spans="1:31" outlineLevel="1">
      <c r="A341" s="30">
        <v>905</v>
      </c>
      <c r="B341" s="6" t="s">
        <v>222</v>
      </c>
      <c r="C341" s="5">
        <v>2275.2679170000001</v>
      </c>
      <c r="D341" s="6">
        <f t="shared" ca="1" si="97"/>
        <v>2275.2679170000001</v>
      </c>
      <c r="E341" s="6">
        <v>0</v>
      </c>
      <c r="F341" s="6">
        <v>2275.2679170000001</v>
      </c>
      <c r="G341" s="7"/>
      <c r="H341" s="7"/>
      <c r="I341" s="7"/>
      <c r="J341" s="7"/>
      <c r="K341" s="6">
        <f t="shared" ca="1" si="95"/>
        <v>0</v>
      </c>
      <c r="L341" s="7">
        <f t="shared" ca="1" si="96"/>
        <v>2275.2679170000001</v>
      </c>
      <c r="N341" s="6"/>
      <c r="O341" s="6"/>
      <c r="P341" s="6"/>
      <c r="Q341" s="7"/>
      <c r="R341" s="7"/>
      <c r="S341" s="7"/>
      <c r="T341" s="7"/>
      <c r="U341" s="7"/>
      <c r="W341" s="7" t="s">
        <v>211</v>
      </c>
      <c r="Y341" s="22"/>
      <c r="Z341" s="22"/>
      <c r="AA341" s="22"/>
      <c r="AD341" s="18"/>
      <c r="AE341" s="16"/>
    </row>
    <row r="342" spans="1:31" outlineLevel="1">
      <c r="A342" s="30">
        <v>903</v>
      </c>
      <c r="B342" s="6" t="s">
        <v>201</v>
      </c>
      <c r="C342" s="5">
        <v>420769.94400793564</v>
      </c>
      <c r="D342" s="6">
        <f t="shared" ca="1" si="97"/>
        <v>420769.94400793564</v>
      </c>
      <c r="E342" s="6">
        <v>420769.94400793564</v>
      </c>
      <c r="F342" s="6"/>
      <c r="G342" s="7">
        <v>0</v>
      </c>
      <c r="H342" s="7"/>
      <c r="I342" s="7"/>
      <c r="J342" s="7"/>
      <c r="K342" s="6">
        <f ca="1">+I342+J342</f>
        <v>0</v>
      </c>
      <c r="L342" s="7">
        <f ca="1">D342+G342+H342+K342</f>
        <v>420769.94400793564</v>
      </c>
      <c r="N342" s="7" t="s">
        <v>202</v>
      </c>
      <c r="O342" s="6" t="s">
        <v>203</v>
      </c>
      <c r="P342" s="6"/>
      <c r="Q342" s="7"/>
      <c r="R342" s="7"/>
      <c r="S342" s="7" t="s">
        <v>223</v>
      </c>
      <c r="T342" s="7"/>
      <c r="U342" s="7"/>
      <c r="W342" s="7"/>
      <c r="Y342" s="22"/>
      <c r="Z342" s="22"/>
      <c r="AA342" s="22"/>
      <c r="AD342" s="18"/>
      <c r="AE342" s="16"/>
    </row>
    <row r="343" spans="1:31" outlineLevel="1">
      <c r="A343" s="30">
        <v>903</v>
      </c>
      <c r="B343" s="6" t="s">
        <v>205</v>
      </c>
      <c r="C343" s="5">
        <v>37537.965992064273</v>
      </c>
      <c r="D343" s="6">
        <f t="shared" ca="1" si="97"/>
        <v>37537.965992064273</v>
      </c>
      <c r="E343" s="6">
        <v>37537.965992064273</v>
      </c>
      <c r="F343" s="6"/>
      <c r="G343" s="7"/>
      <c r="H343" s="7"/>
      <c r="I343" s="7"/>
      <c r="J343" s="7"/>
      <c r="K343" s="6">
        <f ca="1">+I343+J343</f>
        <v>0</v>
      </c>
      <c r="L343" s="7">
        <f ca="1">D343+G343+H343+K343</f>
        <v>37537.965992064273</v>
      </c>
      <c r="N343" s="7" t="s">
        <v>206</v>
      </c>
      <c r="O343" s="6" t="s">
        <v>207</v>
      </c>
      <c r="P343" s="6"/>
      <c r="Q343" s="7"/>
      <c r="R343" s="7"/>
      <c r="S343" s="7"/>
      <c r="T343" s="7" t="s">
        <v>224</v>
      </c>
      <c r="U343" s="7"/>
      <c r="W343" s="7"/>
      <c r="Y343" s="22"/>
      <c r="Z343" s="22"/>
      <c r="AA343" s="22"/>
      <c r="AD343" s="18"/>
      <c r="AE343" s="16"/>
    </row>
    <row r="344" spans="1:31" hidden="1" outlineLevel="1">
      <c r="A344" s="30" t="s">
        <v>32</v>
      </c>
      <c r="B344" s="6" t="s">
        <v>32</v>
      </c>
      <c r="C344" s="5">
        <v>0</v>
      </c>
      <c r="D344" s="6">
        <f ca="1">E344+F344</f>
        <v>0</v>
      </c>
      <c r="E344" s="6"/>
      <c r="F344" s="6"/>
      <c r="G344" s="7"/>
      <c r="H344" s="7"/>
      <c r="I344" s="7"/>
      <c r="J344" s="7"/>
      <c r="K344" s="6">
        <f t="shared" ca="1" si="95"/>
        <v>0</v>
      </c>
      <c r="L344" s="7">
        <f t="shared" ca="1" si="96"/>
        <v>0</v>
      </c>
      <c r="N344" s="6"/>
      <c r="O344" s="6"/>
      <c r="P344" s="6"/>
      <c r="Q344" s="7"/>
      <c r="R344" s="7"/>
      <c r="S344" s="7"/>
      <c r="T344" s="7"/>
      <c r="U344" s="7"/>
      <c r="W344" s="7"/>
      <c r="Y344" s="22"/>
      <c r="Z344" s="22"/>
      <c r="AA344" s="22"/>
      <c r="AD344" s="18"/>
      <c r="AE344" s="18"/>
    </row>
    <row r="345" spans="1:31" hidden="1" outlineLevel="1">
      <c r="A345" s="30" t="s">
        <v>32</v>
      </c>
      <c r="B345" s="6" t="s">
        <v>32</v>
      </c>
      <c r="C345" s="5">
        <v>0</v>
      </c>
      <c r="D345" s="6">
        <f ca="1">E345+F345</f>
        <v>0</v>
      </c>
      <c r="E345" s="6"/>
      <c r="F345" s="6"/>
      <c r="G345" s="7"/>
      <c r="H345" s="7"/>
      <c r="I345" s="7"/>
      <c r="J345" s="7"/>
      <c r="K345" s="6">
        <f t="shared" ca="1" si="95"/>
        <v>0</v>
      </c>
      <c r="L345" s="7">
        <f t="shared" ca="1" si="96"/>
        <v>0</v>
      </c>
      <c r="N345" s="6"/>
      <c r="O345" s="6"/>
      <c r="P345" s="6"/>
      <c r="Q345" s="7"/>
      <c r="R345" s="7"/>
      <c r="S345" s="7"/>
      <c r="T345" s="7"/>
      <c r="U345" s="7"/>
      <c r="W345" s="7"/>
      <c r="Y345" s="22"/>
      <c r="Z345" s="22"/>
      <c r="AA345" s="22"/>
      <c r="AD345" s="18"/>
      <c r="AE345" s="18"/>
    </row>
    <row r="346" spans="1:31" s="8" customFormat="1" outlineLevel="1">
      <c r="A346" s="25"/>
      <c r="B346" s="8" t="s">
        <v>22</v>
      </c>
      <c r="C346" s="8">
        <f t="shared" ref="C346:L346" ca="1" si="98">SUM(C334:C345)</f>
        <v>27622333.141957901</v>
      </c>
      <c r="D346" s="8">
        <f t="shared" ca="1" si="98"/>
        <v>24160965.100940969</v>
      </c>
      <c r="E346" s="8">
        <f ca="1">SUM(E334:E345)</f>
        <v>11158384.23951897</v>
      </c>
      <c r="F346" s="8">
        <f ca="1">SUM(F334:F345)</f>
        <v>13002580.861421999</v>
      </c>
      <c r="G346" s="8">
        <f ca="1">SUM(G334:G345)</f>
        <v>3343186.2312169322</v>
      </c>
      <c r="H346" s="8">
        <f t="shared" ca="1" si="98"/>
        <v>1924186.6704810297</v>
      </c>
      <c r="I346" s="8">
        <f t="shared" ca="1" si="98"/>
        <v>118181.80979999999</v>
      </c>
      <c r="J346" s="8">
        <f t="shared" ca="1" si="98"/>
        <v>0</v>
      </c>
      <c r="K346" s="8">
        <f t="shared" ca="1" si="98"/>
        <v>118181.80979999999</v>
      </c>
      <c r="L346" s="8">
        <f t="shared" ca="1" si="98"/>
        <v>29546519.812438931</v>
      </c>
      <c r="V346" s="4"/>
      <c r="AD346" s="11"/>
      <c r="AE346" s="11"/>
    </row>
    <row r="347" spans="1:31" outlineLevel="1">
      <c r="C347" s="15"/>
      <c r="L347" s="9"/>
      <c r="AD347" s="18"/>
      <c r="AE347" s="18"/>
    </row>
    <row r="348" spans="1:31" outlineLevel="1">
      <c r="B348" s="1" t="s">
        <v>225</v>
      </c>
      <c r="C348" s="9"/>
    </row>
    <row r="349" spans="1:31" outlineLevel="1">
      <c r="A349" s="30">
        <v>908</v>
      </c>
      <c r="B349" s="6" t="s">
        <v>226</v>
      </c>
      <c r="C349" s="5">
        <v>0</v>
      </c>
      <c r="D349" s="6">
        <f t="shared" ref="D349:D356" ca="1" si="99">E349+F349</f>
        <v>0</v>
      </c>
      <c r="E349" s="6">
        <v>0</v>
      </c>
      <c r="F349" s="6"/>
      <c r="G349" s="7"/>
      <c r="H349" s="7"/>
      <c r="I349" s="7"/>
      <c r="J349" s="7"/>
      <c r="K349" s="6">
        <f t="shared" ref="K349:K356" ca="1" si="100">+I349+J349</f>
        <v>0</v>
      </c>
      <c r="L349" s="7">
        <f t="shared" ref="L349:L356" ca="1" si="101">D349+G349+H349+K349</f>
        <v>0</v>
      </c>
      <c r="N349" s="7" t="s">
        <v>202</v>
      </c>
      <c r="O349" s="6" t="s">
        <v>203</v>
      </c>
      <c r="P349" s="6"/>
      <c r="Q349" s="7"/>
      <c r="R349" s="7"/>
      <c r="S349" s="7" t="s">
        <v>227</v>
      </c>
      <c r="T349" s="7"/>
      <c r="U349" s="7"/>
      <c r="W349" s="7"/>
      <c r="Y349" s="22"/>
      <c r="Z349" s="22"/>
      <c r="AA349" s="22"/>
    </row>
    <row r="350" spans="1:31" outlineLevel="1">
      <c r="A350" s="30">
        <v>908</v>
      </c>
      <c r="B350" s="6" t="s">
        <v>205</v>
      </c>
      <c r="C350" s="5">
        <v>0</v>
      </c>
      <c r="D350" s="6">
        <f t="shared" ca="1" si="99"/>
        <v>0</v>
      </c>
      <c r="E350" s="6">
        <v>0</v>
      </c>
      <c r="F350" s="6"/>
      <c r="G350" s="7"/>
      <c r="H350" s="7"/>
      <c r="I350" s="7"/>
      <c r="J350" s="7"/>
      <c r="K350" s="6">
        <f t="shared" ca="1" si="100"/>
        <v>0</v>
      </c>
      <c r="L350" s="7">
        <f t="shared" ca="1" si="101"/>
        <v>0</v>
      </c>
      <c r="N350" s="7" t="s">
        <v>206</v>
      </c>
      <c r="O350" s="6" t="s">
        <v>207</v>
      </c>
      <c r="P350" s="6"/>
      <c r="Q350" s="7"/>
      <c r="R350" s="7"/>
      <c r="S350" s="7"/>
      <c r="T350" s="7" t="s">
        <v>228</v>
      </c>
      <c r="U350" s="7"/>
      <c r="W350" s="7"/>
      <c r="Y350" s="22"/>
      <c r="Z350" s="22"/>
      <c r="AA350" s="22"/>
    </row>
    <row r="351" spans="1:31" outlineLevel="1">
      <c r="A351" s="30">
        <v>908</v>
      </c>
      <c r="B351" s="6" t="s">
        <v>229</v>
      </c>
      <c r="C351" s="5">
        <v>-11574158.121181343</v>
      </c>
      <c r="D351" s="6">
        <f ca="1">E351+F351</f>
        <v>6564270.1188779995</v>
      </c>
      <c r="E351" s="6">
        <f ca="1">5976367-SUM(E349:E350)</f>
        <v>5976367</v>
      </c>
      <c r="F351" s="6">
        <v>587903.11887799948</v>
      </c>
      <c r="G351" s="7">
        <v>-18138428.240059342</v>
      </c>
      <c r="H351" s="7"/>
      <c r="I351" s="7"/>
      <c r="J351" s="7"/>
      <c r="K351" s="6">
        <f ca="1">+I351+J351</f>
        <v>0</v>
      </c>
      <c r="L351" s="7">
        <f ca="1">D351+G351+H351+K351</f>
        <v>-11574158.121181343</v>
      </c>
      <c r="N351" s="6" t="s">
        <v>56</v>
      </c>
      <c r="O351" s="6" t="s">
        <v>63</v>
      </c>
      <c r="P351" s="6"/>
      <c r="Q351" s="7"/>
      <c r="R351" s="7" t="s">
        <v>217</v>
      </c>
      <c r="S351" s="7"/>
      <c r="T351" s="7"/>
      <c r="U351" s="7"/>
      <c r="W351" s="7"/>
      <c r="Y351" s="22"/>
      <c r="Z351" s="22"/>
      <c r="AA351" s="22"/>
    </row>
    <row r="352" spans="1:31" outlineLevel="1">
      <c r="A352" s="30">
        <v>909</v>
      </c>
      <c r="B352" s="6" t="s">
        <v>230</v>
      </c>
      <c r="C352" s="5">
        <v>1329033.0446414421</v>
      </c>
      <c r="D352" s="6">
        <f ca="1">E352+F352</f>
        <v>1321639.401419</v>
      </c>
      <c r="E352" s="6">
        <v>796480.929999999</v>
      </c>
      <c r="F352" s="6">
        <v>525158.471419001</v>
      </c>
      <c r="G352" s="7">
        <v>7393.6432224421642</v>
      </c>
      <c r="H352" s="7"/>
      <c r="I352" s="7"/>
      <c r="J352" s="7"/>
      <c r="K352" s="6">
        <f ca="1">+I352+J352</f>
        <v>0</v>
      </c>
      <c r="L352" s="7">
        <f ca="1">D352+G352+H352+K352</f>
        <v>1329033.0446414421</v>
      </c>
      <c r="N352" s="6" t="s">
        <v>56</v>
      </c>
      <c r="O352" s="6" t="s">
        <v>63</v>
      </c>
      <c r="P352" s="6"/>
      <c r="Q352" s="7"/>
      <c r="R352" s="7" t="s">
        <v>231</v>
      </c>
      <c r="S352" s="7"/>
      <c r="T352" s="7"/>
      <c r="U352" s="7"/>
      <c r="W352" s="7"/>
      <c r="Y352" s="22"/>
      <c r="Z352" s="22"/>
      <c r="AA352" s="22"/>
    </row>
    <row r="353" spans="1:30" outlineLevel="1">
      <c r="A353" s="30">
        <v>910</v>
      </c>
      <c r="B353" s="6" t="s">
        <v>232</v>
      </c>
      <c r="C353" s="5">
        <v>66743.181976601467</v>
      </c>
      <c r="D353" s="6">
        <f ca="1">E353+F353</f>
        <v>65270.798774999901</v>
      </c>
      <c r="E353" s="6"/>
      <c r="F353" s="6">
        <v>65270.798774999901</v>
      </c>
      <c r="G353" s="7">
        <v>1472.3832016015697</v>
      </c>
      <c r="H353" s="7"/>
      <c r="I353" s="7"/>
      <c r="J353" s="7"/>
      <c r="K353" s="6">
        <f ca="1">+I353+J353</f>
        <v>0</v>
      </c>
      <c r="L353" s="7">
        <f ca="1">D353+G353+H353+K353</f>
        <v>66743.181976601467</v>
      </c>
      <c r="N353" s="7" t="s">
        <v>56</v>
      </c>
      <c r="O353" s="6" t="s">
        <v>63</v>
      </c>
      <c r="P353" s="6"/>
      <c r="Q353" s="7"/>
      <c r="R353" s="7" t="s">
        <v>233</v>
      </c>
      <c r="S353" s="7"/>
      <c r="T353" s="7"/>
      <c r="U353" s="7"/>
      <c r="W353" s="7"/>
      <c r="Y353" s="22"/>
      <c r="Z353" s="22"/>
      <c r="AA353" s="22"/>
    </row>
    <row r="354" spans="1:30" outlineLevel="1">
      <c r="A354" s="30">
        <v>908</v>
      </c>
      <c r="B354" s="6" t="s">
        <v>234</v>
      </c>
      <c r="C354" s="5">
        <v>12460807.43</v>
      </c>
      <c r="D354" s="6">
        <f ca="1">E354+F354</f>
        <v>12460807.43</v>
      </c>
      <c r="E354" s="7">
        <v>12460807.43</v>
      </c>
      <c r="F354" s="7"/>
      <c r="G354" s="7">
        <v>0</v>
      </c>
      <c r="H354" s="7"/>
      <c r="I354" s="7"/>
      <c r="J354" s="7"/>
      <c r="K354" s="6">
        <f ca="1">+I354+J354</f>
        <v>0</v>
      </c>
      <c r="L354" s="7">
        <f ca="1">D354+G354+H354+K354</f>
        <v>12460807.43</v>
      </c>
      <c r="N354" s="6" t="s">
        <v>56</v>
      </c>
      <c r="O354" s="6" t="s">
        <v>63</v>
      </c>
      <c r="P354" s="6"/>
      <c r="Q354" s="7"/>
      <c r="R354" s="7" t="s">
        <v>231</v>
      </c>
      <c r="S354" s="7"/>
      <c r="T354" s="7"/>
      <c r="U354" s="7"/>
      <c r="W354" s="7"/>
      <c r="Y354" s="22"/>
      <c r="Z354" s="22"/>
      <c r="AA354" s="22"/>
    </row>
    <row r="355" spans="1:30" hidden="1" outlineLevel="1">
      <c r="A355" s="30" t="s">
        <v>32</v>
      </c>
      <c r="B355" s="6" t="s">
        <v>32</v>
      </c>
      <c r="C355" s="5">
        <v>0</v>
      </c>
      <c r="D355" s="6">
        <f t="shared" ca="1" si="99"/>
        <v>0</v>
      </c>
      <c r="E355" s="7"/>
      <c r="F355" s="7"/>
      <c r="G355" s="7"/>
      <c r="H355" s="7"/>
      <c r="I355" s="7"/>
      <c r="J355" s="7"/>
      <c r="K355" s="6">
        <f t="shared" ca="1" si="100"/>
        <v>0</v>
      </c>
      <c r="L355" s="7">
        <f t="shared" ca="1" si="101"/>
        <v>0</v>
      </c>
      <c r="N355" s="6"/>
      <c r="O355" s="6"/>
      <c r="P355" s="6"/>
      <c r="Q355" s="7"/>
      <c r="R355" s="7"/>
      <c r="S355" s="7"/>
      <c r="T355" s="7"/>
      <c r="U355" s="7"/>
      <c r="W355" s="7"/>
      <c r="Y355" s="22"/>
      <c r="Z355" s="22"/>
      <c r="AA355" s="22"/>
    </row>
    <row r="356" spans="1:30" hidden="1" outlineLevel="1">
      <c r="A356" s="30" t="s">
        <v>32</v>
      </c>
      <c r="B356" s="6" t="s">
        <v>32</v>
      </c>
      <c r="C356" s="5">
        <v>0</v>
      </c>
      <c r="D356" s="6">
        <f t="shared" ca="1" si="99"/>
        <v>0</v>
      </c>
      <c r="E356" s="7"/>
      <c r="F356" s="7"/>
      <c r="G356" s="7"/>
      <c r="H356" s="7"/>
      <c r="I356" s="7"/>
      <c r="J356" s="7"/>
      <c r="K356" s="6">
        <f t="shared" ca="1" si="100"/>
        <v>0</v>
      </c>
      <c r="L356" s="7">
        <f t="shared" ca="1" si="101"/>
        <v>0</v>
      </c>
      <c r="N356" s="6"/>
      <c r="O356" s="6"/>
      <c r="P356" s="6"/>
      <c r="Q356" s="7"/>
      <c r="R356" s="7"/>
      <c r="S356" s="7"/>
      <c r="T356" s="7"/>
      <c r="U356" s="7"/>
      <c r="W356" s="7"/>
      <c r="Y356" s="22"/>
      <c r="Z356" s="22"/>
      <c r="AA356" s="22"/>
    </row>
    <row r="357" spans="1:30" s="8" customFormat="1" outlineLevel="1">
      <c r="A357" s="25"/>
      <c r="B357" s="8" t="s">
        <v>22</v>
      </c>
      <c r="C357" s="8">
        <f t="shared" ref="C357:L357" ca="1" si="102">SUM(C349:C356)</f>
        <v>2282425.535436701</v>
      </c>
      <c r="D357" s="8">
        <f t="shared" ca="1" si="102"/>
        <v>20411987.749072</v>
      </c>
      <c r="E357" s="8">
        <f t="shared" ca="1" si="102"/>
        <v>19233655.359999999</v>
      </c>
      <c r="F357" s="8">
        <f t="shared" ca="1" si="102"/>
        <v>1178332.3890720003</v>
      </c>
      <c r="G357" s="8">
        <f t="shared" ca="1" si="102"/>
        <v>-18129562.213635296</v>
      </c>
      <c r="H357" s="8">
        <f t="shared" ca="1" si="102"/>
        <v>0</v>
      </c>
      <c r="I357" s="8">
        <f t="shared" ca="1" si="102"/>
        <v>0</v>
      </c>
      <c r="J357" s="8">
        <f t="shared" ca="1" si="102"/>
        <v>0</v>
      </c>
      <c r="K357" s="8">
        <f t="shared" ca="1" si="102"/>
        <v>0</v>
      </c>
      <c r="L357" s="8">
        <f t="shared" ca="1" si="102"/>
        <v>2282425.535436701</v>
      </c>
      <c r="M357" s="4"/>
      <c r="V357" s="4"/>
    </row>
    <row r="358" spans="1:30" s="8" customFormat="1" outlineLevel="1">
      <c r="A358" s="25"/>
      <c r="C358" s="17"/>
      <c r="M358" s="4"/>
      <c r="V358" s="4"/>
    </row>
    <row r="359" spans="1:30" outlineLevel="1">
      <c r="B359" s="1" t="s">
        <v>235</v>
      </c>
    </row>
    <row r="360" spans="1:30" hidden="1" outlineLevel="1">
      <c r="A360" s="30">
        <v>911</v>
      </c>
      <c r="B360" s="6" t="s">
        <v>236</v>
      </c>
      <c r="C360" s="5">
        <v>0</v>
      </c>
      <c r="D360" s="6">
        <f ca="1">E360+F360</f>
        <v>0</v>
      </c>
      <c r="E360" s="6">
        <v>0</v>
      </c>
      <c r="F360" s="6"/>
      <c r="G360" s="7">
        <v>0</v>
      </c>
      <c r="H360" s="7"/>
      <c r="I360" s="7"/>
      <c r="J360" s="7"/>
      <c r="K360" s="6">
        <f ca="1">+I360+J360</f>
        <v>0</v>
      </c>
      <c r="L360" s="7">
        <f ca="1">D360+G360+H360+K360</f>
        <v>0</v>
      </c>
      <c r="N360" s="6"/>
      <c r="O360" s="6"/>
      <c r="P360" s="6"/>
      <c r="Q360" s="7"/>
      <c r="R360" s="7"/>
      <c r="S360" s="7"/>
      <c r="T360" s="7"/>
      <c r="U360" s="7"/>
      <c r="W360" s="7"/>
      <c r="Y360" s="22"/>
      <c r="Z360" s="22"/>
      <c r="AA360" s="22"/>
    </row>
    <row r="361" spans="1:30" outlineLevel="1">
      <c r="A361" s="30">
        <v>912</v>
      </c>
      <c r="B361" s="6" t="s">
        <v>237</v>
      </c>
      <c r="C361" s="5">
        <v>1884.4235563324576</v>
      </c>
      <c r="D361" s="6">
        <f ca="1">E361+F361</f>
        <v>1838.66</v>
      </c>
      <c r="E361" s="6">
        <v>1838.66</v>
      </c>
      <c r="F361" s="6"/>
      <c r="G361" s="7">
        <v>45.763556332457405</v>
      </c>
      <c r="H361" s="7"/>
      <c r="I361" s="7"/>
      <c r="J361" s="7"/>
      <c r="K361" s="6">
        <f ca="1">+I361+J361</f>
        <v>0</v>
      </c>
      <c r="L361" s="7">
        <f ca="1">D361+G361+H361+K361</f>
        <v>1884.4235563324576</v>
      </c>
      <c r="N361" s="6" t="s">
        <v>56</v>
      </c>
      <c r="O361" s="6" t="s">
        <v>63</v>
      </c>
      <c r="P361" s="6"/>
      <c r="Q361" s="7"/>
      <c r="R361" s="7" t="s">
        <v>231</v>
      </c>
      <c r="S361" s="7"/>
      <c r="T361" s="7"/>
      <c r="U361" s="7"/>
      <c r="W361" s="7"/>
      <c r="Y361" s="22"/>
      <c r="Z361" s="22"/>
      <c r="AA361" s="22"/>
    </row>
    <row r="362" spans="1:30" outlineLevel="1">
      <c r="A362" s="30">
        <v>913</v>
      </c>
      <c r="B362" s="6" t="s">
        <v>238</v>
      </c>
      <c r="C362" s="5">
        <v>0</v>
      </c>
      <c r="D362" s="6">
        <f ca="1">E362+F362</f>
        <v>0</v>
      </c>
      <c r="E362" s="6">
        <v>0</v>
      </c>
      <c r="F362" s="6"/>
      <c r="G362" s="7">
        <v>0</v>
      </c>
      <c r="H362" s="7"/>
      <c r="I362" s="7"/>
      <c r="J362" s="7"/>
      <c r="K362" s="6">
        <f ca="1">+I362+J362</f>
        <v>0</v>
      </c>
      <c r="L362" s="7">
        <f ca="1">D362+G362+H362+K362</f>
        <v>0</v>
      </c>
      <c r="N362" s="6" t="s">
        <v>56</v>
      </c>
      <c r="O362" s="6" t="s">
        <v>63</v>
      </c>
      <c r="P362" s="6"/>
      <c r="Q362" s="7"/>
      <c r="R362" s="7" t="s">
        <v>231</v>
      </c>
      <c r="S362" s="7"/>
      <c r="T362" s="7"/>
      <c r="U362" s="7"/>
      <c r="W362" s="7"/>
      <c r="Y362" s="22"/>
      <c r="Z362" s="22"/>
      <c r="AA362" s="22"/>
    </row>
    <row r="363" spans="1:30" hidden="1" outlineLevel="1">
      <c r="A363" s="30" t="s">
        <v>32</v>
      </c>
      <c r="B363" s="6" t="s">
        <v>32</v>
      </c>
      <c r="C363" s="5">
        <v>0</v>
      </c>
      <c r="D363" s="6">
        <f ca="1">E363+F363</f>
        <v>0</v>
      </c>
      <c r="E363" s="6"/>
      <c r="F363" s="6"/>
      <c r="G363" s="7"/>
      <c r="H363" s="7"/>
      <c r="I363" s="7"/>
      <c r="J363" s="7"/>
      <c r="K363" s="6">
        <f ca="1">+I363+J363</f>
        <v>0</v>
      </c>
      <c r="L363" s="7">
        <f ca="1">D363+G363+H363+K363</f>
        <v>0</v>
      </c>
      <c r="N363" s="6"/>
      <c r="O363" s="6"/>
      <c r="P363" s="6"/>
      <c r="Q363" s="7"/>
      <c r="R363" s="7"/>
      <c r="S363" s="7"/>
      <c r="T363" s="7"/>
      <c r="U363" s="7"/>
      <c r="W363" s="7"/>
      <c r="Y363" s="22"/>
      <c r="Z363" s="22"/>
      <c r="AA363" s="22"/>
    </row>
    <row r="364" spans="1:30" hidden="1" outlineLevel="1">
      <c r="A364" s="30" t="s">
        <v>32</v>
      </c>
      <c r="B364" s="6" t="s">
        <v>32</v>
      </c>
      <c r="C364" s="5">
        <v>0</v>
      </c>
      <c r="D364" s="6">
        <f ca="1">E364+F364</f>
        <v>0</v>
      </c>
      <c r="E364" s="6"/>
      <c r="F364" s="6"/>
      <c r="G364" s="7"/>
      <c r="H364" s="7"/>
      <c r="I364" s="7"/>
      <c r="J364" s="7"/>
      <c r="K364" s="6">
        <f ca="1">+I364+J364</f>
        <v>0</v>
      </c>
      <c r="L364" s="7">
        <f ca="1">D364+G364+H364+K364</f>
        <v>0</v>
      </c>
      <c r="N364" s="6"/>
      <c r="O364" s="6"/>
      <c r="P364" s="6"/>
      <c r="Q364" s="7"/>
      <c r="R364" s="7"/>
      <c r="S364" s="7"/>
      <c r="T364" s="7"/>
      <c r="U364" s="7"/>
      <c r="W364" s="7"/>
      <c r="Y364" s="22"/>
      <c r="Z364" s="22"/>
      <c r="AA364" s="22"/>
    </row>
    <row r="365" spans="1:30" s="8" customFormat="1" outlineLevel="1">
      <c r="A365" s="25"/>
      <c r="B365" s="8" t="s">
        <v>22</v>
      </c>
      <c r="C365" s="8">
        <f t="shared" ref="C365:L365" ca="1" si="103">SUM(C360:C364)</f>
        <v>1884.4235563324576</v>
      </c>
      <c r="D365" s="8">
        <f t="shared" ca="1" si="103"/>
        <v>1838.66</v>
      </c>
      <c r="E365" s="8">
        <f t="shared" ca="1" si="103"/>
        <v>1838.66</v>
      </c>
      <c r="F365" s="8">
        <f t="shared" ca="1" si="103"/>
        <v>0</v>
      </c>
      <c r="G365" s="8">
        <f ca="1">SUM(G360:G364)</f>
        <v>45.763556332457405</v>
      </c>
      <c r="H365" s="8">
        <f t="shared" ca="1" si="103"/>
        <v>0</v>
      </c>
      <c r="I365" s="8">
        <f t="shared" ca="1" si="103"/>
        <v>0</v>
      </c>
      <c r="J365" s="8">
        <f t="shared" ca="1" si="103"/>
        <v>0</v>
      </c>
      <c r="K365" s="8">
        <f t="shared" ca="1" si="103"/>
        <v>0</v>
      </c>
      <c r="L365" s="8">
        <f t="shared" ca="1" si="103"/>
        <v>1884.4235563324576</v>
      </c>
      <c r="V365" s="4"/>
    </row>
    <row r="366" spans="1:30" outlineLevel="1">
      <c r="C366" s="15"/>
    </row>
    <row r="367" spans="1:30" ht="15.6" outlineLevel="1">
      <c r="A367" s="28"/>
      <c r="B367" s="1" t="s">
        <v>239</v>
      </c>
      <c r="C367" s="9"/>
      <c r="AD367" s="18"/>
    </row>
    <row r="368" spans="1:30" outlineLevel="1">
      <c r="A368" s="30">
        <v>920</v>
      </c>
      <c r="B368" s="6" t="s">
        <v>240</v>
      </c>
      <c r="C368" s="5">
        <v>264730.59642654716</v>
      </c>
      <c r="D368" s="6">
        <f ca="1">E368+F368</f>
        <v>264730.59642654716</v>
      </c>
      <c r="E368" s="6">
        <v>264730.59642654716</v>
      </c>
      <c r="F368" s="6"/>
      <c r="G368" s="7"/>
      <c r="H368" s="7"/>
      <c r="I368" s="7"/>
      <c r="J368" s="7"/>
      <c r="K368" s="6">
        <f ca="1">+I368+J368</f>
        <v>0</v>
      </c>
      <c r="L368" s="7">
        <f ca="1">D368+G368+H368+K368</f>
        <v>264730.59642654716</v>
      </c>
      <c r="N368" s="7" t="s">
        <v>202</v>
      </c>
      <c r="O368" s="6" t="s">
        <v>203</v>
      </c>
      <c r="P368" s="6"/>
      <c r="Q368" s="7"/>
      <c r="R368" s="6"/>
      <c r="S368" s="7" t="s">
        <v>241</v>
      </c>
      <c r="T368" s="7"/>
      <c r="U368" s="7"/>
      <c r="W368" s="7"/>
      <c r="Y368" s="22"/>
      <c r="Z368" s="22"/>
      <c r="AA368" s="22"/>
      <c r="AD368" s="16"/>
    </row>
    <row r="369" spans="1:30" outlineLevel="1">
      <c r="A369" s="30">
        <v>920</v>
      </c>
      <c r="B369" s="6" t="s">
        <v>242</v>
      </c>
      <c r="C369" s="5">
        <v>17858.041067986058</v>
      </c>
      <c r="D369" s="6">
        <f ca="1">E369+F369</f>
        <v>17858.041067986058</v>
      </c>
      <c r="E369" s="6">
        <v>17858.041067986058</v>
      </c>
      <c r="F369" s="6"/>
      <c r="G369" s="7"/>
      <c r="H369" s="7"/>
      <c r="I369" s="7"/>
      <c r="J369" s="7"/>
      <c r="K369" s="6">
        <f ca="1">+I369+J369</f>
        <v>0</v>
      </c>
      <c r="L369" s="7">
        <f ca="1">D369+G369+H369+K369</f>
        <v>17858.041067986058</v>
      </c>
      <c r="N369" s="7" t="s">
        <v>206</v>
      </c>
      <c r="O369" s="6" t="s">
        <v>207</v>
      </c>
      <c r="P369" s="6"/>
      <c r="Q369" s="7"/>
      <c r="R369" s="7"/>
      <c r="S369" s="7"/>
      <c r="T369" s="7" t="s">
        <v>243</v>
      </c>
      <c r="U369" s="7"/>
      <c r="W369" s="7"/>
      <c r="Y369" s="22"/>
      <c r="Z369" s="22"/>
      <c r="AA369" s="22"/>
      <c r="AD369" s="16"/>
    </row>
    <row r="370" spans="1:30" outlineLevel="1">
      <c r="A370" s="30">
        <v>920</v>
      </c>
      <c r="B370" s="6" t="s">
        <v>244</v>
      </c>
      <c r="C370" s="5">
        <v>14308445.43539143</v>
      </c>
      <c r="D370" s="6">
        <f t="shared" ref="D370:D391" ca="1" si="104">E370+F370</f>
        <v>13959245.948617365</v>
      </c>
      <c r="E370" s="6">
        <f ca="1">1710191-SUM(E368:E369)</f>
        <v>1427602.3625054667</v>
      </c>
      <c r="F370" s="6">
        <v>12531643.586111899</v>
      </c>
      <c r="G370" s="7">
        <v>349199.48677406501</v>
      </c>
      <c r="H370" s="7"/>
      <c r="I370" s="7"/>
      <c r="J370" s="7"/>
      <c r="K370" s="6">
        <f t="shared" ref="K370:K391" ca="1" si="105">+I370+J370</f>
        <v>0</v>
      </c>
      <c r="L370" s="7">
        <f t="shared" ref="L370:L391" ca="1" si="106">D370+G370+H370+K370</f>
        <v>14308445.43539143</v>
      </c>
      <c r="N370" s="6"/>
      <c r="O370" s="6"/>
      <c r="P370" s="6"/>
      <c r="Q370" s="7"/>
      <c r="R370" s="7"/>
      <c r="S370" s="7"/>
      <c r="T370" s="7"/>
      <c r="U370" s="7"/>
      <c r="W370" s="7" t="s">
        <v>114</v>
      </c>
      <c r="Y370" s="22"/>
      <c r="Z370" s="22"/>
      <c r="AA370" s="22"/>
      <c r="AD370" s="16"/>
    </row>
    <row r="371" spans="1:30" outlineLevel="1">
      <c r="A371" s="30">
        <v>921</v>
      </c>
      <c r="B371" s="6" t="s">
        <v>245</v>
      </c>
      <c r="C371" s="5">
        <v>4328.2488629553518</v>
      </c>
      <c r="D371" s="6">
        <f t="shared" ca="1" si="104"/>
        <v>4328.2488629553518</v>
      </c>
      <c r="E371" s="6">
        <v>4328.2488629553518</v>
      </c>
      <c r="F371" s="6"/>
      <c r="G371" s="7"/>
      <c r="H371" s="7"/>
      <c r="I371" s="7"/>
      <c r="J371" s="7"/>
      <c r="K371" s="6">
        <f t="shared" ca="1" si="105"/>
        <v>0</v>
      </c>
      <c r="L371" s="7">
        <f t="shared" ca="1" si="106"/>
        <v>4328.2488629553518</v>
      </c>
      <c r="N371" s="7" t="s">
        <v>202</v>
      </c>
      <c r="O371" s="6" t="s">
        <v>203</v>
      </c>
      <c r="P371" s="6"/>
      <c r="Q371" s="7"/>
      <c r="R371" s="6"/>
      <c r="S371" s="7" t="s">
        <v>241</v>
      </c>
      <c r="T371" s="7"/>
      <c r="U371" s="7"/>
      <c r="W371" s="7"/>
      <c r="Y371" s="22"/>
      <c r="Z371" s="22"/>
      <c r="AA371" s="22"/>
      <c r="AD371" s="16"/>
    </row>
    <row r="372" spans="1:30" outlineLevel="1">
      <c r="A372" s="30">
        <v>921</v>
      </c>
      <c r="B372" s="6" t="s">
        <v>246</v>
      </c>
      <c r="C372" s="5">
        <v>92214.787221377119</v>
      </c>
      <c r="D372" s="6">
        <f t="shared" ca="1" si="104"/>
        <v>92214.787221377119</v>
      </c>
      <c r="E372" s="6">
        <v>92214.787221377119</v>
      </c>
      <c r="F372" s="6"/>
      <c r="G372" s="7"/>
      <c r="H372" s="7"/>
      <c r="I372" s="7"/>
      <c r="J372" s="7"/>
      <c r="K372" s="6">
        <f ca="1">+I372+J372</f>
        <v>0</v>
      </c>
      <c r="L372" s="7">
        <f ca="1">D372+G372+H372+K372</f>
        <v>92214.787221377119</v>
      </c>
      <c r="N372" s="7" t="s">
        <v>206</v>
      </c>
      <c r="O372" s="6" t="s">
        <v>207</v>
      </c>
      <c r="P372" s="6"/>
      <c r="Q372" s="7"/>
      <c r="R372" s="7"/>
      <c r="S372" s="7"/>
      <c r="T372" s="7" t="s">
        <v>247</v>
      </c>
      <c r="U372" s="7"/>
      <c r="W372" s="7"/>
      <c r="Y372" s="22"/>
      <c r="Z372" s="22"/>
      <c r="AA372" s="22"/>
      <c r="AD372" s="16"/>
    </row>
    <row r="373" spans="1:30" outlineLevel="1">
      <c r="A373" s="30">
        <v>921</v>
      </c>
      <c r="B373" s="6" t="s">
        <v>248</v>
      </c>
      <c r="C373" s="5">
        <v>1625111.1320236675</v>
      </c>
      <c r="D373" s="6">
        <f t="shared" ca="1" si="104"/>
        <v>1625111.1320236675</v>
      </c>
      <c r="E373" s="6">
        <f ca="1">266291-SUM(E371:E372)</f>
        <v>169747.96391566753</v>
      </c>
      <c r="F373" s="6">
        <v>1455363.168108</v>
      </c>
      <c r="G373" s="7"/>
      <c r="H373" s="7"/>
      <c r="I373" s="7"/>
      <c r="J373" s="7"/>
      <c r="K373" s="6">
        <f t="shared" ca="1" si="105"/>
        <v>0</v>
      </c>
      <c r="L373" s="7">
        <f t="shared" ca="1" si="106"/>
        <v>1625111.1320236675</v>
      </c>
      <c r="N373" s="6"/>
      <c r="O373" s="6"/>
      <c r="P373" s="6"/>
      <c r="Q373" s="7"/>
      <c r="R373" s="7"/>
      <c r="S373" s="7"/>
      <c r="T373" s="7"/>
      <c r="U373" s="7"/>
      <c r="W373" s="7" t="s">
        <v>114</v>
      </c>
      <c r="Y373" s="22"/>
      <c r="Z373" s="22"/>
      <c r="AA373" s="22"/>
      <c r="AD373" s="16"/>
    </row>
    <row r="374" spans="1:30" outlineLevel="1">
      <c r="A374" s="30">
        <v>922</v>
      </c>
      <c r="B374" s="6" t="s">
        <v>249</v>
      </c>
      <c r="C374" s="5">
        <v>-76299.322265999901</v>
      </c>
      <c r="D374" s="6">
        <f t="shared" ca="1" si="104"/>
        <v>-76299.322265999901</v>
      </c>
      <c r="E374" s="7">
        <v>0</v>
      </c>
      <c r="F374" s="7">
        <v>-76299.322265999901</v>
      </c>
      <c r="G374" s="7"/>
      <c r="H374" s="7"/>
      <c r="I374" s="7"/>
      <c r="J374" s="7"/>
      <c r="K374" s="6">
        <f t="shared" ca="1" si="105"/>
        <v>0</v>
      </c>
      <c r="L374" s="7">
        <f t="shared" ca="1" si="106"/>
        <v>-76299.322265999901</v>
      </c>
      <c r="N374" s="6"/>
      <c r="O374" s="6"/>
      <c r="P374" s="6"/>
      <c r="Q374" s="7"/>
      <c r="R374" s="7"/>
      <c r="S374" s="7"/>
      <c r="T374" s="7"/>
      <c r="U374" s="7"/>
      <c r="W374" s="7" t="s">
        <v>114</v>
      </c>
      <c r="Y374" s="22"/>
      <c r="Z374" s="22"/>
      <c r="AA374" s="22"/>
      <c r="AD374" s="16"/>
    </row>
    <row r="375" spans="1:30" outlineLevel="1">
      <c r="A375" s="30">
        <v>923</v>
      </c>
      <c r="B375" s="6" t="s">
        <v>250</v>
      </c>
      <c r="C375" s="5">
        <v>4795924.4601260005</v>
      </c>
      <c r="D375" s="6">
        <f t="shared" ca="1" si="104"/>
        <v>4795924.4601260005</v>
      </c>
      <c r="E375" s="6">
        <v>166287.53</v>
      </c>
      <c r="F375" s="6">
        <v>4629636.9301260002</v>
      </c>
      <c r="G375" s="7">
        <v>0</v>
      </c>
      <c r="H375" s="7"/>
      <c r="I375" s="7"/>
      <c r="J375" s="7"/>
      <c r="K375" s="6">
        <f t="shared" ca="1" si="105"/>
        <v>0</v>
      </c>
      <c r="L375" s="7">
        <f t="shared" ca="1" si="106"/>
        <v>4795924.4601260005</v>
      </c>
      <c r="N375" s="6"/>
      <c r="O375" s="6"/>
      <c r="P375" s="6"/>
      <c r="Q375" s="7"/>
      <c r="R375" s="7"/>
      <c r="S375" s="7"/>
      <c r="T375" s="7"/>
      <c r="U375" s="7"/>
      <c r="W375" s="7" t="s">
        <v>114</v>
      </c>
      <c r="Y375" s="22"/>
      <c r="Z375" s="22"/>
      <c r="AA375" s="22"/>
      <c r="AD375" s="16"/>
    </row>
    <row r="376" spans="1:30" outlineLevel="1">
      <c r="A376" s="30">
        <v>924</v>
      </c>
      <c r="B376" s="6" t="s">
        <v>251</v>
      </c>
      <c r="C376" s="5">
        <v>539469.02199875179</v>
      </c>
      <c r="D376" s="6">
        <f t="shared" ca="1" si="104"/>
        <v>558066.925973</v>
      </c>
      <c r="E376" s="6">
        <v>401978.38</v>
      </c>
      <c r="F376" s="6">
        <v>156088.545973</v>
      </c>
      <c r="G376" s="7">
        <v>-18597.903974248176</v>
      </c>
      <c r="H376" s="7"/>
      <c r="I376" s="7"/>
      <c r="J376" s="7"/>
      <c r="K376" s="6">
        <f t="shared" ca="1" si="105"/>
        <v>0</v>
      </c>
      <c r="L376" s="7">
        <f t="shared" ca="1" si="106"/>
        <v>539469.02199875179</v>
      </c>
      <c r="N376" s="6"/>
      <c r="O376" s="6"/>
      <c r="P376" s="6"/>
      <c r="Q376" s="7"/>
      <c r="R376" s="7"/>
      <c r="S376" s="7"/>
      <c r="T376" s="7"/>
      <c r="U376" s="7"/>
      <c r="W376" s="7" t="s">
        <v>18</v>
      </c>
      <c r="Y376" s="22"/>
      <c r="Z376" s="22"/>
      <c r="AA376" s="22"/>
      <c r="AD376" s="16"/>
    </row>
    <row r="377" spans="1:30" outlineLevel="1">
      <c r="A377" s="30">
        <v>925</v>
      </c>
      <c r="B377" s="6" t="s">
        <v>252</v>
      </c>
      <c r="C377" s="5">
        <v>2434653.4322175407</v>
      </c>
      <c r="D377" s="6">
        <f t="shared" ca="1" si="104"/>
        <v>2406889.240894</v>
      </c>
      <c r="E377" s="6">
        <v>358535.91</v>
      </c>
      <c r="F377" s="6">
        <v>2048353.3308940001</v>
      </c>
      <c r="G377" s="7">
        <v>27764.191323540868</v>
      </c>
      <c r="H377" s="7"/>
      <c r="I377" s="7"/>
      <c r="J377" s="7"/>
      <c r="K377" s="6">
        <f t="shared" ca="1" si="105"/>
        <v>0</v>
      </c>
      <c r="L377" s="7">
        <f t="shared" ca="1" si="106"/>
        <v>2434653.4322175407</v>
      </c>
      <c r="N377" s="6"/>
      <c r="O377" s="6"/>
      <c r="P377" s="6"/>
      <c r="Q377" s="7"/>
      <c r="R377" s="7"/>
      <c r="S377" s="7"/>
      <c r="T377" s="7"/>
      <c r="U377" s="7"/>
      <c r="W377" s="7" t="s">
        <v>21</v>
      </c>
      <c r="Y377" s="22"/>
      <c r="Z377" s="22"/>
      <c r="AA377" s="22"/>
      <c r="AD377" s="16"/>
    </row>
    <row r="378" spans="1:30" outlineLevel="1">
      <c r="A378" s="30">
        <v>926</v>
      </c>
      <c r="B378" s="6" t="s">
        <v>253</v>
      </c>
      <c r="C378" s="5">
        <v>464294.22449773306</v>
      </c>
      <c r="D378" s="6">
        <f ca="1">E378+F378</f>
        <v>464294.22449773306</v>
      </c>
      <c r="E378" s="6">
        <v>464294.22449773306</v>
      </c>
      <c r="F378" s="6"/>
      <c r="G378" s="7"/>
      <c r="H378" s="7"/>
      <c r="I378" s="7"/>
      <c r="J378" s="7"/>
      <c r="K378" s="6">
        <f ca="1">+I378+J378</f>
        <v>0</v>
      </c>
      <c r="L378" s="7">
        <f ca="1">D378+G378+H378+K378</f>
        <v>464294.22449773306</v>
      </c>
      <c r="N378" s="7" t="s">
        <v>202</v>
      </c>
      <c r="O378" s="6" t="s">
        <v>203</v>
      </c>
      <c r="P378" s="6"/>
      <c r="Q378" s="7"/>
      <c r="R378" s="7"/>
      <c r="S378" s="7" t="s">
        <v>254</v>
      </c>
      <c r="T378" s="7"/>
      <c r="U378" s="7"/>
      <c r="W378" s="7"/>
      <c r="Y378" s="22"/>
      <c r="Z378" s="22"/>
      <c r="AA378" s="22"/>
      <c r="AD378" s="16"/>
    </row>
    <row r="379" spans="1:30" outlineLevel="1">
      <c r="A379" s="30">
        <v>926</v>
      </c>
      <c r="B379" s="6" t="s">
        <v>255</v>
      </c>
      <c r="C379" s="5">
        <v>60450.512575481574</v>
      </c>
      <c r="D379" s="6">
        <f ca="1">E379+F379</f>
        <v>60450.512575481574</v>
      </c>
      <c r="E379" s="6">
        <v>60450.512575481574</v>
      </c>
      <c r="F379" s="6"/>
      <c r="G379" s="7"/>
      <c r="H379" s="7"/>
      <c r="I379" s="7"/>
      <c r="J379" s="7"/>
      <c r="K379" s="6">
        <f ca="1">+I379+J379</f>
        <v>0</v>
      </c>
      <c r="L379" s="7">
        <f ca="1">D379+G379+H379+K379</f>
        <v>60450.512575481574</v>
      </c>
      <c r="N379" s="7" t="s">
        <v>206</v>
      </c>
      <c r="O379" s="6" t="s">
        <v>207</v>
      </c>
      <c r="P379" s="6"/>
      <c r="Q379" s="7"/>
      <c r="R379" s="7"/>
      <c r="S379" s="7"/>
      <c r="T379" s="7" t="s">
        <v>256</v>
      </c>
      <c r="U379" s="7"/>
      <c r="W379" s="7"/>
      <c r="Y379" s="22"/>
      <c r="Z379" s="22"/>
      <c r="AA379" s="22"/>
      <c r="AD379" s="16"/>
    </row>
    <row r="380" spans="1:30" outlineLevel="1">
      <c r="A380" s="30">
        <v>926</v>
      </c>
      <c r="B380" s="6" t="s">
        <v>257</v>
      </c>
      <c r="C380" s="5">
        <v>75020.559934232471</v>
      </c>
      <c r="D380" s="6">
        <f ca="1">E380+F380</f>
        <v>75020.559934232471</v>
      </c>
      <c r="E380" s="6">
        <v>75020.559934232471</v>
      </c>
      <c r="F380" s="6"/>
      <c r="G380" s="7"/>
      <c r="H380" s="7"/>
      <c r="I380" s="7"/>
      <c r="J380" s="7"/>
      <c r="K380" s="6">
        <f ca="1">+I380+J380</f>
        <v>0</v>
      </c>
      <c r="L380" s="7">
        <f ca="1">D380+G380+H380+K380</f>
        <v>75020.559934232471</v>
      </c>
      <c r="N380" s="7" t="s">
        <v>202</v>
      </c>
      <c r="O380" s="6" t="s">
        <v>203</v>
      </c>
      <c r="P380" s="6"/>
      <c r="Q380" s="7"/>
      <c r="R380" s="6"/>
      <c r="S380" s="7" t="s">
        <v>241</v>
      </c>
      <c r="T380" s="7"/>
      <c r="U380" s="7"/>
      <c r="W380" s="7"/>
      <c r="Y380" s="22"/>
      <c r="Z380" s="22"/>
      <c r="AA380" s="22"/>
      <c r="AD380" s="16"/>
    </row>
    <row r="381" spans="1:30" outlineLevel="1">
      <c r="A381" s="30">
        <v>926</v>
      </c>
      <c r="B381" s="6" t="s">
        <v>258</v>
      </c>
      <c r="C381" s="5">
        <v>168605.73</v>
      </c>
      <c r="D381" s="6">
        <f ca="1">E381+F381</f>
        <v>168605.73</v>
      </c>
      <c r="E381" s="6">
        <v>168605.73</v>
      </c>
      <c r="F381" s="6"/>
      <c r="G381" s="7"/>
      <c r="H381" s="7"/>
      <c r="I381" s="7"/>
      <c r="J381" s="7"/>
      <c r="K381" s="6">
        <f ca="1">+I381+J381</f>
        <v>0</v>
      </c>
      <c r="L381" s="7">
        <f ca="1">D381+G381+H381+K381</f>
        <v>168605.73</v>
      </c>
      <c r="N381" s="6" t="s">
        <v>56</v>
      </c>
      <c r="O381" s="6" t="s">
        <v>63</v>
      </c>
      <c r="P381" s="6"/>
      <c r="Q381" s="6"/>
      <c r="R381" s="6" t="s">
        <v>76</v>
      </c>
      <c r="S381" s="7"/>
      <c r="T381" s="7"/>
      <c r="U381" s="7"/>
      <c r="W381" s="7"/>
      <c r="Y381" s="22"/>
      <c r="Z381" s="22"/>
      <c r="AA381" s="22"/>
      <c r="AD381" s="16"/>
    </row>
    <row r="382" spans="1:30" outlineLevel="1">
      <c r="A382" s="30">
        <v>926</v>
      </c>
      <c r="B382" s="6" t="s">
        <v>259</v>
      </c>
      <c r="C382" s="5">
        <v>13612437.499463271</v>
      </c>
      <c r="D382" s="6">
        <f t="shared" ca="1" si="104"/>
        <v>12562729.293448452</v>
      </c>
      <c r="E382" s="6">
        <f ca="1">10114319-SUM(E378:E381)</f>
        <v>9345947.9729925524</v>
      </c>
      <c r="F382" s="6">
        <v>3216781.3204558995</v>
      </c>
      <c r="G382" s="7">
        <v>1049708.2060148199</v>
      </c>
      <c r="H382" s="7"/>
      <c r="I382" s="7"/>
      <c r="J382" s="7"/>
      <c r="K382" s="6">
        <f t="shared" ca="1" si="105"/>
        <v>0</v>
      </c>
      <c r="L382" s="7">
        <f t="shared" ca="1" si="106"/>
        <v>13612437.499463271</v>
      </c>
      <c r="N382" s="6"/>
      <c r="O382" s="6"/>
      <c r="P382" s="6"/>
      <c r="Q382" s="7"/>
      <c r="R382" s="7"/>
      <c r="S382" s="7"/>
      <c r="T382" s="7"/>
      <c r="U382" s="7"/>
      <c r="W382" s="7" t="s">
        <v>21</v>
      </c>
      <c r="Y382" s="22"/>
      <c r="Z382" s="22"/>
      <c r="AA382" s="22"/>
      <c r="AD382" s="16"/>
    </row>
    <row r="383" spans="1:30" outlineLevel="1">
      <c r="A383" s="30">
        <v>928</v>
      </c>
      <c r="B383" s="6" t="s">
        <v>260</v>
      </c>
      <c r="C383" s="5">
        <v>1402832.1842863648</v>
      </c>
      <c r="D383" s="6">
        <f ca="1">E383+F383</f>
        <v>1175252.9256688221</v>
      </c>
      <c r="E383" s="6">
        <f ca="1">1787919-E384-H385</f>
        <v>1023963.7925728222</v>
      </c>
      <c r="F383" s="6">
        <v>151289.13309599995</v>
      </c>
      <c r="G383" s="7">
        <v>227579.25861754274</v>
      </c>
      <c r="H383" s="7"/>
      <c r="I383" s="7"/>
      <c r="J383" s="7"/>
      <c r="K383" s="6">
        <f t="shared" ca="1" si="105"/>
        <v>0</v>
      </c>
      <c r="L383" s="7">
        <f t="shared" ca="1" si="106"/>
        <v>1402832.1842863648</v>
      </c>
      <c r="N383" s="6" t="s">
        <v>56</v>
      </c>
      <c r="O383" s="6" t="s">
        <v>36</v>
      </c>
      <c r="P383" s="6"/>
      <c r="Q383" s="7" t="s">
        <v>261</v>
      </c>
      <c r="R383" s="7"/>
      <c r="S383" s="7"/>
      <c r="T383" s="7"/>
      <c r="U383" s="7"/>
      <c r="W383" s="7"/>
      <c r="Y383" s="22"/>
      <c r="Z383" s="22"/>
      <c r="AA383" s="22"/>
      <c r="AD383" s="16"/>
    </row>
    <row r="384" spans="1:30" outlineLevel="1">
      <c r="A384" s="30">
        <v>928</v>
      </c>
      <c r="B384" s="6" t="s">
        <v>262</v>
      </c>
      <c r="C384" s="5">
        <v>15362.621604010152</v>
      </c>
      <c r="D384" s="6">
        <f ca="1">E384+F384</f>
        <v>15362.621604010152</v>
      </c>
      <c r="E384" s="6">
        <f ca="1">1787919*(7009594/815784351)</f>
        <v>15362.621604010152</v>
      </c>
      <c r="F384" s="6"/>
      <c r="G384" s="7"/>
      <c r="H384" s="7"/>
      <c r="I384" s="7"/>
      <c r="J384" s="7"/>
      <c r="K384" s="6">
        <f ca="1">+I384+J384</f>
        <v>0</v>
      </c>
      <c r="L384" s="7">
        <f ca="1">D384+G384+H384+K384</f>
        <v>15362.621604010152</v>
      </c>
      <c r="N384" s="6" t="s">
        <v>56</v>
      </c>
      <c r="O384" s="6" t="s">
        <v>36</v>
      </c>
      <c r="P384" s="6"/>
      <c r="Q384" s="7" t="s">
        <v>263</v>
      </c>
      <c r="R384" s="7"/>
      <c r="S384" s="7"/>
      <c r="T384" s="7"/>
      <c r="U384" s="7"/>
      <c r="W384" s="7"/>
      <c r="Y384" s="7"/>
      <c r="Z384" s="22"/>
      <c r="AA384" s="22"/>
      <c r="AD384" s="18"/>
    </row>
    <row r="385" spans="1:47" outlineLevel="1">
      <c r="A385" s="30">
        <v>928</v>
      </c>
      <c r="B385" s="6" t="s">
        <v>264</v>
      </c>
      <c r="C385" s="5">
        <v>0</v>
      </c>
      <c r="D385" s="6">
        <f t="shared" ca="1" si="104"/>
        <v>0</v>
      </c>
      <c r="E385" s="6"/>
      <c r="F385" s="6"/>
      <c r="G385" s="7"/>
      <c r="H385" s="7">
        <v>748592.58582316758</v>
      </c>
      <c r="I385" s="7"/>
      <c r="J385" s="7"/>
      <c r="K385" s="6">
        <f t="shared" ca="1" si="105"/>
        <v>0</v>
      </c>
      <c r="L385" s="7">
        <f t="shared" ca="1" si="106"/>
        <v>748592.58582316758</v>
      </c>
      <c r="N385" s="6" t="s">
        <v>56</v>
      </c>
      <c r="O385" s="6" t="s">
        <v>36</v>
      </c>
      <c r="P385" s="6"/>
      <c r="Q385" s="7" t="s">
        <v>265</v>
      </c>
      <c r="R385" s="7"/>
      <c r="S385" s="7"/>
      <c r="T385" s="7"/>
      <c r="U385" s="7"/>
      <c r="W385" s="7"/>
      <c r="Y385" s="22"/>
      <c r="Z385" s="22"/>
      <c r="AA385" s="22"/>
      <c r="AD385" s="16"/>
    </row>
    <row r="386" spans="1:47" outlineLevel="1">
      <c r="A386" s="30">
        <v>928</v>
      </c>
      <c r="B386" s="6" t="s">
        <v>266</v>
      </c>
      <c r="C386" s="5">
        <v>45985.14</v>
      </c>
      <c r="D386" s="6">
        <f t="shared" ca="1" si="104"/>
        <v>0</v>
      </c>
      <c r="E386" s="6">
        <v>0</v>
      </c>
      <c r="F386" s="6">
        <v>0</v>
      </c>
      <c r="G386" s="7"/>
      <c r="H386" s="7"/>
      <c r="I386" s="7">
        <v>45985.14</v>
      </c>
      <c r="J386" s="7"/>
      <c r="K386" s="6">
        <f t="shared" ca="1" si="105"/>
        <v>45985.14</v>
      </c>
      <c r="L386" s="7">
        <f t="shared" ca="1" si="106"/>
        <v>45985.14</v>
      </c>
      <c r="N386" s="6" t="s">
        <v>56</v>
      </c>
      <c r="O386" s="6" t="s">
        <v>36</v>
      </c>
      <c r="P386" s="6"/>
      <c r="Q386" s="7" t="s">
        <v>261</v>
      </c>
      <c r="R386" s="7"/>
      <c r="S386" s="7"/>
      <c r="T386" s="7"/>
      <c r="U386" s="7"/>
      <c r="W386" s="7"/>
      <c r="Y386" s="22"/>
      <c r="Z386" s="22"/>
      <c r="AA386" s="22"/>
      <c r="AD386" s="16"/>
    </row>
    <row r="387" spans="1:47" outlineLevel="1">
      <c r="A387" s="30">
        <v>930.1</v>
      </c>
      <c r="B387" s="6" t="s">
        <v>267</v>
      </c>
      <c r="C387" s="5">
        <v>6321.7588619999997</v>
      </c>
      <c r="D387" s="6">
        <f t="shared" ca="1" si="104"/>
        <v>6321.7588619999997</v>
      </c>
      <c r="E387" s="7">
        <v>0</v>
      </c>
      <c r="F387" s="7">
        <v>6321.7588619999997</v>
      </c>
      <c r="G387" s="7">
        <v>0</v>
      </c>
      <c r="H387" s="7"/>
      <c r="I387" s="7"/>
      <c r="J387" s="7"/>
      <c r="K387" s="6">
        <f t="shared" ca="1" si="105"/>
        <v>0</v>
      </c>
      <c r="L387" s="7">
        <f t="shared" ca="1" si="106"/>
        <v>6321.7588619999997</v>
      </c>
      <c r="N387" s="6"/>
      <c r="O387" s="6"/>
      <c r="P387" s="6"/>
      <c r="Q387" s="7"/>
      <c r="R387" s="7"/>
      <c r="S387" s="7"/>
      <c r="T387" s="7"/>
      <c r="U387" s="7"/>
      <c r="W387" s="7" t="s">
        <v>114</v>
      </c>
      <c r="Y387" s="22"/>
      <c r="Z387" s="22"/>
      <c r="AA387" s="22"/>
      <c r="AD387" s="16"/>
    </row>
    <row r="388" spans="1:47" outlineLevel="1">
      <c r="A388" s="30">
        <v>930.2</v>
      </c>
      <c r="B388" s="6" t="s">
        <v>268</v>
      </c>
      <c r="C388" s="5">
        <v>1266099.324146</v>
      </c>
      <c r="D388" s="6">
        <f t="shared" ca="1" si="104"/>
        <v>1266091.324146</v>
      </c>
      <c r="E388" s="6">
        <v>517430.52</v>
      </c>
      <c r="F388" s="6">
        <v>748660.80414599995</v>
      </c>
      <c r="G388" s="7">
        <v>8</v>
      </c>
      <c r="H388" s="7"/>
      <c r="I388" s="7"/>
      <c r="J388" s="7"/>
      <c r="K388" s="6">
        <f t="shared" ca="1" si="105"/>
        <v>0</v>
      </c>
      <c r="L388" s="7">
        <f t="shared" ca="1" si="106"/>
        <v>1266099.324146</v>
      </c>
      <c r="N388" s="6"/>
      <c r="O388" s="6"/>
      <c r="P388" s="6"/>
      <c r="Q388" s="7"/>
      <c r="R388" s="7"/>
      <c r="S388" s="7"/>
      <c r="T388" s="7"/>
      <c r="U388" s="7"/>
      <c r="W388" s="7" t="s">
        <v>114</v>
      </c>
      <c r="Y388" s="22"/>
      <c r="Z388" s="22"/>
      <c r="AA388" s="22"/>
      <c r="AD388" s="16"/>
    </row>
    <row r="389" spans="1:47" outlineLevel="1">
      <c r="A389" s="30">
        <v>931</v>
      </c>
      <c r="B389" s="6" t="s">
        <v>269</v>
      </c>
      <c r="C389" s="5">
        <v>3452108.4686236982</v>
      </c>
      <c r="D389" s="6">
        <f t="shared" ca="1" si="104"/>
        <v>3629814.3216240001</v>
      </c>
      <c r="E389" s="7"/>
      <c r="F389" s="7">
        <v>3629814.3216240001</v>
      </c>
      <c r="G389" s="7">
        <v>-177705.85300030193</v>
      </c>
      <c r="H389" s="7"/>
      <c r="I389" s="7"/>
      <c r="J389" s="7"/>
      <c r="K389" s="6">
        <f t="shared" ca="1" si="105"/>
        <v>0</v>
      </c>
      <c r="L389" s="7">
        <f t="shared" ca="1" si="106"/>
        <v>3452108.4686236982</v>
      </c>
      <c r="N389" s="6"/>
      <c r="O389" s="6"/>
      <c r="P389" s="6"/>
      <c r="Q389" s="7"/>
      <c r="R389" s="7"/>
      <c r="S389" s="7"/>
      <c r="T389" s="7"/>
      <c r="U389" s="7"/>
      <c r="W389" s="7" t="s">
        <v>114</v>
      </c>
      <c r="Y389" s="22"/>
      <c r="Z389" s="22"/>
      <c r="AA389" s="22"/>
      <c r="AD389" s="16"/>
    </row>
    <row r="390" spans="1:47" hidden="1" outlineLevel="1">
      <c r="A390" s="30">
        <v>932</v>
      </c>
      <c r="B390" s="6" t="s">
        <v>270</v>
      </c>
      <c r="C390" s="5">
        <v>0</v>
      </c>
      <c r="D390" s="6">
        <f t="shared" ca="1" si="104"/>
        <v>0</v>
      </c>
      <c r="E390" s="6">
        <v>0</v>
      </c>
      <c r="F390" s="6"/>
      <c r="G390" s="7"/>
      <c r="H390" s="7"/>
      <c r="I390" s="7"/>
      <c r="J390" s="7"/>
      <c r="K390" s="6">
        <f t="shared" ca="1" si="105"/>
        <v>0</v>
      </c>
      <c r="L390" s="7">
        <f t="shared" ca="1" si="106"/>
        <v>0</v>
      </c>
      <c r="N390" s="6"/>
      <c r="O390" s="6"/>
      <c r="P390" s="6"/>
      <c r="Q390" s="7"/>
      <c r="R390" s="7"/>
      <c r="S390" s="7"/>
      <c r="T390" s="7"/>
      <c r="U390" s="7"/>
      <c r="W390" s="7" t="s">
        <v>271</v>
      </c>
      <c r="Y390" s="22"/>
      <c r="Z390" s="22"/>
      <c r="AA390" s="22"/>
      <c r="AD390" s="16"/>
    </row>
    <row r="391" spans="1:47" outlineLevel="1">
      <c r="A391" s="30">
        <v>932</v>
      </c>
      <c r="B391" s="6" t="s">
        <v>272</v>
      </c>
      <c r="C391" s="5">
        <v>6667536.6613539904</v>
      </c>
      <c r="D391" s="6">
        <f t="shared" ca="1" si="104"/>
        <v>6659202.6613539904</v>
      </c>
      <c r="E391" s="6">
        <v>1026218.77</v>
      </c>
      <c r="F391" s="6">
        <v>5632983.89135399</v>
      </c>
      <c r="G391" s="7">
        <f ca="1">5775+2559</f>
        <v>8334</v>
      </c>
      <c r="H391" s="7"/>
      <c r="I391" s="7"/>
      <c r="J391" s="7"/>
      <c r="K391" s="6">
        <f t="shared" ca="1" si="105"/>
        <v>0</v>
      </c>
      <c r="L391" s="7">
        <f t="shared" ca="1" si="106"/>
        <v>6667536.6613539904</v>
      </c>
      <c r="N391" s="6"/>
      <c r="O391" s="6"/>
      <c r="P391" s="6"/>
      <c r="Q391" s="7"/>
      <c r="R391" s="7"/>
      <c r="S391" s="7"/>
      <c r="T391" s="7"/>
      <c r="U391" s="7"/>
      <c r="W391" s="7" t="s">
        <v>271</v>
      </c>
      <c r="Y391" s="22"/>
      <c r="Z391" s="22"/>
      <c r="AA391" s="22"/>
      <c r="AD391" s="16"/>
    </row>
    <row r="392" spans="1:47" s="8" customFormat="1" outlineLevel="1">
      <c r="A392" s="25"/>
      <c r="B392" s="8" t="s">
        <v>22</v>
      </c>
      <c r="C392" s="8">
        <f t="shared" ref="C392:L392" ca="1" si="107">SUM(C368:C391)</f>
        <v>51243490.518417045</v>
      </c>
      <c r="D392" s="8">
        <f t="shared" ca="1" si="107"/>
        <v>49731215.992661633</v>
      </c>
      <c r="E392" s="8">
        <f t="shared" ca="1" si="107"/>
        <v>15600578.524176832</v>
      </c>
      <c r="F392" s="8">
        <f t="shared" ca="1" si="107"/>
        <v>34130637.468484789</v>
      </c>
      <c r="G392" s="8">
        <f t="shared" ca="1" si="107"/>
        <v>1466289.3857554183</v>
      </c>
      <c r="H392" s="8">
        <f t="shared" ca="1" si="107"/>
        <v>748592.58582316758</v>
      </c>
      <c r="I392" s="8">
        <f t="shared" ca="1" si="107"/>
        <v>45985.14</v>
      </c>
      <c r="J392" s="8">
        <f t="shared" ca="1" si="107"/>
        <v>0</v>
      </c>
      <c r="K392" s="8">
        <f t="shared" ca="1" si="107"/>
        <v>45985.14</v>
      </c>
      <c r="L392" s="8">
        <f t="shared" ca="1" si="107"/>
        <v>51992083.104240216</v>
      </c>
      <c r="V392" s="4"/>
      <c r="AD392" s="11"/>
    </row>
    <row r="393" spans="1:47" s="8" customFormat="1" outlineLevel="1">
      <c r="A393" s="25"/>
      <c r="C393" s="17"/>
      <c r="V393" s="4"/>
      <c r="AD393" s="11"/>
    </row>
    <row r="394" spans="1:47">
      <c r="B394" s="12" t="s">
        <v>273</v>
      </c>
      <c r="C394" s="12">
        <f t="shared" ref="C394:L394" ca="1" si="108">SUM(C392,C365,C357,C346,C331,C303,C292,C279,C255,C243)</f>
        <v>139748219.6986708</v>
      </c>
      <c r="D394" s="12">
        <f t="shared" ca="1" si="108"/>
        <v>152237453.70017448</v>
      </c>
      <c r="E394" s="12">
        <f ca="1">SUM(E392,E365,E357,E346,E331,E303,E292,E279,E255,E243)</f>
        <v>103925902.98119567</v>
      </c>
      <c r="F394" s="12">
        <f t="shared" ca="1" si="108"/>
        <v>48311550.718978792</v>
      </c>
      <c r="G394" s="12">
        <f ca="1">SUM(G392,G365,G357,G346,G331,G303,G292,G279,G255,G243)</f>
        <v>-12653400.951303679</v>
      </c>
      <c r="H394" s="12">
        <f ca="1">SUM(H392,H365,H357,H346,H331,H303,H292,H279,H255,H243)</f>
        <v>359894170.24430281</v>
      </c>
      <c r="I394" s="12">
        <f t="shared" ca="1" si="108"/>
        <v>164166.9498</v>
      </c>
      <c r="J394" s="12">
        <f t="shared" ca="1" si="108"/>
        <v>0</v>
      </c>
      <c r="K394" s="12">
        <f t="shared" ca="1" si="108"/>
        <v>164166.9498</v>
      </c>
      <c r="L394" s="12">
        <f t="shared" ca="1" si="108"/>
        <v>499642389.94297367</v>
      </c>
      <c r="N394" s="12"/>
    </row>
    <row r="395" spans="1:47">
      <c r="C395" s="9"/>
      <c r="E395" s="9"/>
      <c r="F395" s="9"/>
      <c r="H395" s="9"/>
      <c r="L395" s="9"/>
    </row>
    <row r="396" spans="1:47" ht="15.6">
      <c r="A396" s="28" t="s">
        <v>274</v>
      </c>
      <c r="C396" s="9"/>
    </row>
    <row r="397" spans="1:47" outlineLevel="1"/>
    <row r="398" spans="1:47" outlineLevel="1">
      <c r="B398" s="1" t="s">
        <v>275</v>
      </c>
    </row>
    <row r="399" spans="1:47" outlineLevel="1">
      <c r="A399" s="30">
        <v>710</v>
      </c>
      <c r="B399" s="6" t="s">
        <v>276</v>
      </c>
      <c r="C399" s="5">
        <v>0</v>
      </c>
      <c r="D399" s="6">
        <f t="shared" ref="D399:D407" ca="1" si="109">E399+F399</f>
        <v>0</v>
      </c>
      <c r="E399" s="6">
        <v>0</v>
      </c>
      <c r="F399" s="6"/>
      <c r="G399" s="7"/>
      <c r="H399" s="7"/>
      <c r="I399" s="7"/>
      <c r="J399" s="7"/>
      <c r="K399" s="6">
        <f t="shared" ref="K399:K407" ca="1" si="110">+I399+J399</f>
        <v>0</v>
      </c>
      <c r="L399" s="7">
        <f t="shared" ref="L399:L407" ca="1" si="111">D399+G399+H399+K399</f>
        <v>0</v>
      </c>
      <c r="N399" s="6"/>
      <c r="O399" s="6"/>
      <c r="P399" s="6"/>
      <c r="Q399" s="6"/>
      <c r="R399" s="6"/>
      <c r="S399" s="7"/>
      <c r="T399" s="7"/>
      <c r="U399" s="7"/>
      <c r="W399" s="7" t="s">
        <v>121</v>
      </c>
      <c r="Z399" s="22"/>
      <c r="AA399" s="22"/>
      <c r="AL399" s="14"/>
      <c r="AM399" s="14"/>
      <c r="AN399" s="14"/>
      <c r="AO399" s="14"/>
      <c r="AP399" s="14"/>
      <c r="AQ399" s="16"/>
      <c r="AR399" s="16"/>
      <c r="AS399" s="16"/>
      <c r="AT399" s="18"/>
      <c r="AU399" s="16"/>
    </row>
    <row r="400" spans="1:47" outlineLevel="1">
      <c r="A400" s="30">
        <v>717</v>
      </c>
      <c r="B400" s="6" t="s">
        <v>122</v>
      </c>
      <c r="C400" s="5">
        <v>101219.16120665373</v>
      </c>
      <c r="D400" s="6">
        <f t="shared" ca="1" si="109"/>
        <v>98066.872882425538</v>
      </c>
      <c r="E400" s="6">
        <v>98066.872882425538</v>
      </c>
      <c r="F400" s="6"/>
      <c r="G400" s="7">
        <v>3152.2883242281969</v>
      </c>
      <c r="H400" s="7"/>
      <c r="I400" s="7"/>
      <c r="J400" s="7"/>
      <c r="K400" s="6">
        <f t="shared" ca="1" si="110"/>
        <v>0</v>
      </c>
      <c r="L400" s="7">
        <f t="shared" ca="1" si="111"/>
        <v>101219.16120665373</v>
      </c>
      <c r="N400" s="6" t="s">
        <v>28</v>
      </c>
      <c r="O400" s="6" t="s">
        <v>29</v>
      </c>
      <c r="P400" s="6" t="s">
        <v>30</v>
      </c>
      <c r="Q400" s="6"/>
      <c r="R400" s="6"/>
      <c r="S400" s="7"/>
      <c r="T400" s="7"/>
      <c r="U400" s="7"/>
      <c r="W400" s="7"/>
      <c r="Z400" s="22"/>
      <c r="AA400" s="22"/>
      <c r="AL400" s="14"/>
      <c r="AM400" s="14"/>
      <c r="AN400" s="14"/>
      <c r="AO400" s="14"/>
      <c r="AP400" s="14"/>
      <c r="AQ400" s="16"/>
      <c r="AR400" s="16"/>
      <c r="AS400" s="16"/>
      <c r="AT400" s="18"/>
      <c r="AU400" s="16"/>
    </row>
    <row r="401" spans="1:48" outlineLevel="1">
      <c r="A401" s="30">
        <v>735</v>
      </c>
      <c r="B401" s="6" t="s">
        <v>277</v>
      </c>
      <c r="C401" s="5">
        <v>0</v>
      </c>
      <c r="D401" s="6">
        <f t="shared" ca="1" si="109"/>
        <v>0</v>
      </c>
      <c r="E401" s="6"/>
      <c r="F401" s="6"/>
      <c r="G401" s="7"/>
      <c r="H401" s="7"/>
      <c r="I401" s="7"/>
      <c r="J401" s="7"/>
      <c r="K401" s="6">
        <f t="shared" ca="1" si="110"/>
        <v>0</v>
      </c>
      <c r="L401" s="7">
        <f t="shared" ca="1" si="111"/>
        <v>0</v>
      </c>
      <c r="N401" s="6" t="s">
        <v>28</v>
      </c>
      <c r="O401" s="6" t="s">
        <v>29</v>
      </c>
      <c r="P401" s="6" t="s">
        <v>30</v>
      </c>
      <c r="Q401" s="6"/>
      <c r="R401" s="6"/>
      <c r="S401" s="7"/>
      <c r="T401" s="7"/>
      <c r="U401" s="7"/>
      <c r="W401" s="7"/>
      <c r="Z401" s="22"/>
      <c r="AA401" s="22"/>
      <c r="AL401" s="14"/>
      <c r="AM401" s="14"/>
      <c r="AN401" s="14"/>
      <c r="AO401" s="14"/>
      <c r="AP401" s="14"/>
      <c r="AQ401" s="16"/>
      <c r="AR401" s="16"/>
      <c r="AS401" s="16"/>
      <c r="AT401" s="18"/>
      <c r="AU401" s="16"/>
      <c r="AV401" s="18"/>
    </row>
    <row r="402" spans="1:48" outlineLevel="1">
      <c r="A402" s="30">
        <v>741</v>
      </c>
      <c r="B402" s="6" t="s">
        <v>278</v>
      </c>
      <c r="C402" s="5">
        <v>0</v>
      </c>
      <c r="D402" s="6">
        <f t="shared" ca="1" si="109"/>
        <v>0</v>
      </c>
      <c r="E402" s="6">
        <v>0</v>
      </c>
      <c r="F402" s="6"/>
      <c r="G402" s="7">
        <v>0</v>
      </c>
      <c r="H402" s="7"/>
      <c r="I402" s="7"/>
      <c r="J402" s="7"/>
      <c r="K402" s="6">
        <f t="shared" ca="1" si="110"/>
        <v>0</v>
      </c>
      <c r="L402" s="7">
        <f t="shared" ca="1" si="111"/>
        <v>0</v>
      </c>
      <c r="N402" s="6" t="s">
        <v>28</v>
      </c>
      <c r="O402" s="6" t="s">
        <v>29</v>
      </c>
      <c r="P402" s="6" t="s">
        <v>30</v>
      </c>
      <c r="Q402" s="6"/>
      <c r="R402" s="6"/>
      <c r="S402" s="7"/>
      <c r="T402" s="7"/>
      <c r="U402" s="7"/>
      <c r="W402" s="7"/>
      <c r="Z402" s="22"/>
      <c r="AA402" s="22"/>
      <c r="AL402" s="14"/>
      <c r="AM402" s="14"/>
      <c r="AN402" s="14"/>
      <c r="AO402" s="14"/>
      <c r="AP402" s="14"/>
      <c r="AQ402" s="16"/>
      <c r="AR402" s="16"/>
      <c r="AS402" s="16"/>
      <c r="AT402" s="18"/>
      <c r="AU402" s="16"/>
      <c r="AV402" s="18"/>
    </row>
    <row r="403" spans="1:48" outlineLevel="1">
      <c r="A403" s="30">
        <v>742</v>
      </c>
      <c r="B403" s="6" t="s">
        <v>279</v>
      </c>
      <c r="C403" s="5">
        <v>0</v>
      </c>
      <c r="D403" s="6">
        <f t="shared" ca="1" si="109"/>
        <v>0</v>
      </c>
      <c r="E403" s="6">
        <v>0</v>
      </c>
      <c r="F403" s="6"/>
      <c r="G403" s="7"/>
      <c r="H403" s="7"/>
      <c r="I403" s="7"/>
      <c r="J403" s="7"/>
      <c r="K403" s="6">
        <f t="shared" ca="1" si="110"/>
        <v>0</v>
      </c>
      <c r="L403" s="7">
        <f t="shared" ca="1" si="111"/>
        <v>0</v>
      </c>
      <c r="N403" s="6" t="s">
        <v>28</v>
      </c>
      <c r="O403" s="6" t="s">
        <v>29</v>
      </c>
      <c r="P403" s="6" t="s">
        <v>30</v>
      </c>
      <c r="Q403" s="6"/>
      <c r="R403" s="6"/>
      <c r="S403" s="7"/>
      <c r="T403" s="7"/>
      <c r="U403" s="7"/>
      <c r="W403" s="7"/>
      <c r="Z403" s="22"/>
      <c r="AA403" s="22"/>
      <c r="AL403" s="14"/>
      <c r="AM403" s="14"/>
      <c r="AN403" s="14"/>
      <c r="AO403" s="14"/>
      <c r="AP403" s="14"/>
      <c r="AQ403" s="16"/>
      <c r="AR403" s="16"/>
      <c r="AS403" s="16"/>
      <c r="AT403" s="18"/>
      <c r="AU403" s="16"/>
      <c r="AV403" s="18"/>
    </row>
    <row r="404" spans="1:48" hidden="1" outlineLevel="1">
      <c r="A404" s="30" t="s">
        <v>32</v>
      </c>
      <c r="B404" s="6" t="s">
        <v>32</v>
      </c>
      <c r="C404" s="5">
        <v>0</v>
      </c>
      <c r="D404" s="6">
        <f t="shared" ca="1" si="109"/>
        <v>0</v>
      </c>
      <c r="E404" s="7"/>
      <c r="F404" s="7"/>
      <c r="G404" s="7"/>
      <c r="H404" s="7"/>
      <c r="I404" s="7"/>
      <c r="J404" s="7"/>
      <c r="K404" s="6">
        <f t="shared" ca="1" si="110"/>
        <v>0</v>
      </c>
      <c r="L404" s="7">
        <f t="shared" ca="1" si="111"/>
        <v>0</v>
      </c>
      <c r="N404" s="6"/>
      <c r="O404" s="6"/>
      <c r="P404" s="6"/>
      <c r="Q404" s="7"/>
      <c r="R404" s="7"/>
      <c r="S404" s="7"/>
      <c r="T404" s="7"/>
      <c r="U404" s="7"/>
      <c r="W404" s="7"/>
      <c r="Z404" s="22"/>
      <c r="AA404" s="22"/>
      <c r="AL404" s="14"/>
      <c r="AM404" s="14"/>
      <c r="AN404" s="14"/>
      <c r="AO404" s="16"/>
      <c r="AP404" s="16"/>
      <c r="AQ404" s="16"/>
      <c r="AR404" s="16"/>
      <c r="AS404" s="16"/>
      <c r="AT404" s="18"/>
      <c r="AU404" s="16"/>
      <c r="AV404" s="18"/>
    </row>
    <row r="405" spans="1:48" hidden="1" outlineLevel="1">
      <c r="A405" s="30" t="s">
        <v>32</v>
      </c>
      <c r="B405" s="6" t="s">
        <v>32</v>
      </c>
      <c r="C405" s="5">
        <v>0</v>
      </c>
      <c r="D405" s="6">
        <f t="shared" ca="1" si="109"/>
        <v>0</v>
      </c>
      <c r="E405" s="7"/>
      <c r="F405" s="7"/>
      <c r="G405" s="7"/>
      <c r="H405" s="7"/>
      <c r="I405" s="7"/>
      <c r="J405" s="7"/>
      <c r="K405" s="6">
        <f t="shared" ca="1" si="110"/>
        <v>0</v>
      </c>
      <c r="L405" s="7">
        <f t="shared" ca="1" si="111"/>
        <v>0</v>
      </c>
      <c r="N405" s="6"/>
      <c r="O405" s="6"/>
      <c r="P405" s="6"/>
      <c r="Q405" s="7"/>
      <c r="R405" s="7"/>
      <c r="S405" s="7"/>
      <c r="T405" s="7"/>
      <c r="U405" s="7"/>
      <c r="W405" s="7"/>
      <c r="Z405" s="22"/>
      <c r="AA405" s="22"/>
      <c r="AL405" s="14"/>
      <c r="AM405" s="14"/>
      <c r="AN405" s="14"/>
      <c r="AO405" s="16"/>
      <c r="AP405" s="16"/>
      <c r="AQ405" s="16"/>
      <c r="AR405" s="16"/>
      <c r="AS405" s="16"/>
      <c r="AT405" s="18"/>
      <c r="AU405" s="16"/>
      <c r="AV405" s="18"/>
    </row>
    <row r="406" spans="1:48" hidden="1" outlineLevel="1">
      <c r="A406" s="30" t="s">
        <v>32</v>
      </c>
      <c r="B406" s="6" t="s">
        <v>32</v>
      </c>
      <c r="C406" s="5">
        <v>0</v>
      </c>
      <c r="D406" s="6">
        <f t="shared" ca="1" si="109"/>
        <v>0</v>
      </c>
      <c r="E406" s="7"/>
      <c r="F406" s="7"/>
      <c r="G406" s="7"/>
      <c r="H406" s="7"/>
      <c r="I406" s="7"/>
      <c r="J406" s="7"/>
      <c r="K406" s="6">
        <f t="shared" ca="1" si="110"/>
        <v>0</v>
      </c>
      <c r="L406" s="7">
        <f t="shared" ca="1" si="111"/>
        <v>0</v>
      </c>
      <c r="N406" s="6"/>
      <c r="O406" s="6"/>
      <c r="P406" s="6"/>
      <c r="Q406" s="7"/>
      <c r="R406" s="7"/>
      <c r="S406" s="7"/>
      <c r="T406" s="7"/>
      <c r="U406" s="7"/>
      <c r="W406" s="7"/>
      <c r="Z406" s="22"/>
      <c r="AA406" s="22"/>
      <c r="AL406" s="14"/>
      <c r="AM406" s="14"/>
      <c r="AN406" s="14"/>
      <c r="AO406" s="16"/>
      <c r="AP406" s="16"/>
      <c r="AQ406" s="16"/>
      <c r="AR406" s="16"/>
      <c r="AS406" s="16"/>
      <c r="AT406" s="18"/>
      <c r="AU406" s="16"/>
      <c r="AV406" s="18"/>
    </row>
    <row r="407" spans="1:48" hidden="1" outlineLevel="1">
      <c r="A407" s="30" t="s">
        <v>32</v>
      </c>
      <c r="B407" s="6" t="s">
        <v>32</v>
      </c>
      <c r="C407" s="5">
        <v>0</v>
      </c>
      <c r="D407" s="6">
        <f t="shared" ca="1" si="109"/>
        <v>0</v>
      </c>
      <c r="E407" s="7"/>
      <c r="F407" s="7"/>
      <c r="G407" s="7"/>
      <c r="H407" s="7"/>
      <c r="I407" s="7"/>
      <c r="J407" s="7"/>
      <c r="K407" s="6">
        <f t="shared" ca="1" si="110"/>
        <v>0</v>
      </c>
      <c r="L407" s="7">
        <f t="shared" ca="1" si="111"/>
        <v>0</v>
      </c>
      <c r="N407" s="6"/>
      <c r="O407" s="6"/>
      <c r="P407" s="6"/>
      <c r="Q407" s="7"/>
      <c r="R407" s="7"/>
      <c r="S407" s="7"/>
      <c r="T407" s="7"/>
      <c r="U407" s="7"/>
      <c r="W407" s="7"/>
      <c r="Z407" s="22"/>
      <c r="AA407" s="22"/>
      <c r="AL407" s="14"/>
      <c r="AM407" s="14"/>
      <c r="AN407" s="14"/>
      <c r="AO407" s="16"/>
      <c r="AP407" s="16"/>
      <c r="AQ407" s="16"/>
      <c r="AR407" s="16"/>
      <c r="AS407" s="16"/>
      <c r="AT407" s="18"/>
      <c r="AU407" s="16"/>
      <c r="AV407" s="18"/>
    </row>
    <row r="408" spans="1:48" outlineLevel="1">
      <c r="B408" s="8" t="s">
        <v>22</v>
      </c>
      <c r="C408" s="8">
        <f t="shared" ref="C408:L408" ca="1" si="112">SUM(C399:C407)</f>
        <v>101219.16120665373</v>
      </c>
      <c r="D408" s="8">
        <f t="shared" ca="1" si="112"/>
        <v>98066.872882425538</v>
      </c>
      <c r="E408" s="8">
        <f t="shared" ca="1" si="112"/>
        <v>98066.872882425538</v>
      </c>
      <c r="F408" s="8">
        <f t="shared" ca="1" si="112"/>
        <v>0</v>
      </c>
      <c r="G408" s="8">
        <f t="shared" ca="1" si="112"/>
        <v>3152.2883242281969</v>
      </c>
      <c r="H408" s="8">
        <f t="shared" ca="1" si="112"/>
        <v>0</v>
      </c>
      <c r="I408" s="8">
        <f t="shared" ca="1" si="112"/>
        <v>0</v>
      </c>
      <c r="J408" s="8">
        <f t="shared" ca="1" si="112"/>
        <v>0</v>
      </c>
      <c r="K408" s="8">
        <f t="shared" ca="1" si="112"/>
        <v>0</v>
      </c>
      <c r="L408" s="8">
        <f t="shared" ca="1" si="112"/>
        <v>101219.16120665373</v>
      </c>
      <c r="N408" s="8"/>
      <c r="O408" s="8"/>
      <c r="P408" s="8"/>
      <c r="Q408" s="8"/>
      <c r="R408" s="8"/>
      <c r="S408" s="8"/>
      <c r="T408" s="8"/>
      <c r="U408" s="8"/>
      <c r="W408" s="8"/>
      <c r="AL408" s="11"/>
      <c r="AM408" s="11"/>
      <c r="AN408" s="11"/>
      <c r="AO408" s="11"/>
      <c r="AP408" s="11"/>
      <c r="AQ408" s="11"/>
      <c r="AR408" s="11"/>
      <c r="AS408" s="11"/>
      <c r="AT408" s="18"/>
      <c r="AU408" s="11"/>
      <c r="AV408" s="18"/>
    </row>
    <row r="409" spans="1:48" outlineLevel="1"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</row>
    <row r="410" spans="1:48" outlineLevel="1">
      <c r="B410" s="1" t="s">
        <v>126</v>
      </c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</row>
    <row r="411" spans="1:48" outlineLevel="1">
      <c r="A411" s="30">
        <v>807.2</v>
      </c>
      <c r="B411" s="6" t="s">
        <v>280</v>
      </c>
      <c r="C411" s="5">
        <v>168176.83778853342</v>
      </c>
      <c r="D411" s="6">
        <f ca="1">E411+F411</f>
        <v>163178.31572108774</v>
      </c>
      <c r="E411" s="6">
        <v>163178.31572108774</v>
      </c>
      <c r="F411" s="6"/>
      <c r="G411" s="7">
        <v>4998.5220674456805</v>
      </c>
      <c r="H411" s="7"/>
      <c r="I411" s="7"/>
      <c r="J411" s="7"/>
      <c r="K411" s="6">
        <f ca="1">+I411+J411</f>
        <v>0</v>
      </c>
      <c r="L411" s="7">
        <f ca="1">D411+G411+H411+K411</f>
        <v>168176.83778853342</v>
      </c>
      <c r="N411" s="6" t="s">
        <v>28</v>
      </c>
      <c r="O411" s="6" t="s">
        <v>36</v>
      </c>
      <c r="P411" s="6"/>
      <c r="Q411" s="7" t="s">
        <v>37</v>
      </c>
      <c r="R411" s="6"/>
      <c r="S411" s="7"/>
      <c r="T411" s="7"/>
      <c r="U411" s="7"/>
      <c r="W411" s="7"/>
      <c r="Z411" s="22"/>
      <c r="AA411" s="22"/>
      <c r="AL411" s="14"/>
      <c r="AM411" s="14"/>
      <c r="AN411" s="14"/>
      <c r="AO411" s="16"/>
      <c r="AP411" s="14"/>
      <c r="AQ411" s="16"/>
      <c r="AR411" s="16"/>
      <c r="AS411" s="16"/>
      <c r="AT411" s="18"/>
      <c r="AU411" s="16"/>
      <c r="AV411" s="18"/>
    </row>
    <row r="412" spans="1:48" outlineLevel="1">
      <c r="A412" s="30">
        <v>807.4</v>
      </c>
      <c r="B412" s="6" t="s">
        <v>280</v>
      </c>
      <c r="C412" s="5">
        <v>160428.89087047966</v>
      </c>
      <c r="D412" s="6">
        <f ca="1">E412+F412</f>
        <v>155228.72846684052</v>
      </c>
      <c r="E412" s="6">
        <v>155228.72846684052</v>
      </c>
      <c r="F412" s="6"/>
      <c r="G412" s="7">
        <v>5200.1624036391577</v>
      </c>
      <c r="H412" s="7"/>
      <c r="I412" s="7"/>
      <c r="J412" s="7"/>
      <c r="K412" s="6">
        <f ca="1">+I412+J412</f>
        <v>0</v>
      </c>
      <c r="L412" s="7">
        <f ca="1">D412+G412+H412+K412</f>
        <v>160428.89087047966</v>
      </c>
      <c r="N412" s="6" t="s">
        <v>28</v>
      </c>
      <c r="O412" s="6" t="s">
        <v>36</v>
      </c>
      <c r="P412" s="6"/>
      <c r="Q412" s="7" t="s">
        <v>133</v>
      </c>
      <c r="R412" s="6"/>
      <c r="S412" s="7"/>
      <c r="T412" s="7"/>
      <c r="U412" s="7"/>
      <c r="W412" s="7"/>
      <c r="Z412" s="22"/>
      <c r="AA412" s="22"/>
      <c r="AL412" s="14"/>
      <c r="AM412" s="14"/>
      <c r="AN412" s="14"/>
      <c r="AO412" s="16"/>
      <c r="AP412" s="14"/>
      <c r="AQ412" s="16"/>
      <c r="AR412" s="16"/>
      <c r="AS412" s="16"/>
      <c r="AT412" s="18"/>
      <c r="AU412" s="16"/>
      <c r="AV412" s="18"/>
    </row>
    <row r="413" spans="1:48" s="8" customFormat="1" outlineLevel="1">
      <c r="A413" s="25"/>
      <c r="B413" s="8" t="s">
        <v>22</v>
      </c>
      <c r="C413" s="8">
        <f t="shared" ref="C413:L413" ca="1" si="113">SUM(C411:C412)</f>
        <v>328605.72865901305</v>
      </c>
      <c r="D413" s="8">
        <f t="shared" ca="1" si="113"/>
        <v>318407.04418792826</v>
      </c>
      <c r="E413" s="8">
        <f t="shared" ca="1" si="113"/>
        <v>318407.04418792826</v>
      </c>
      <c r="F413" s="8">
        <f t="shared" ca="1" si="113"/>
        <v>0</v>
      </c>
      <c r="G413" s="8">
        <f t="shared" ca="1" si="113"/>
        <v>10198.684471084838</v>
      </c>
      <c r="H413" s="8">
        <f t="shared" ca="1" si="113"/>
        <v>0</v>
      </c>
      <c r="I413" s="8">
        <f t="shared" ca="1" si="113"/>
        <v>0</v>
      </c>
      <c r="J413" s="8">
        <f t="shared" ca="1" si="113"/>
        <v>0</v>
      </c>
      <c r="K413" s="8">
        <f t="shared" ca="1" si="113"/>
        <v>0</v>
      </c>
      <c r="L413" s="8">
        <f t="shared" ca="1" si="113"/>
        <v>328605.72865901305</v>
      </c>
      <c r="V413" s="4"/>
      <c r="AD413" s="4"/>
      <c r="AE413" s="4"/>
      <c r="AL413" s="11"/>
      <c r="AM413" s="11"/>
      <c r="AN413" s="11"/>
      <c r="AO413" s="11"/>
      <c r="AP413" s="11"/>
      <c r="AQ413" s="11"/>
      <c r="AR413" s="11"/>
      <c r="AS413" s="11"/>
      <c r="AT413" s="18"/>
      <c r="AU413" s="11"/>
      <c r="AV413" s="11"/>
    </row>
    <row r="414" spans="1:48" outlineLevel="1"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</row>
    <row r="415" spans="1:48" outlineLevel="1">
      <c r="B415" s="1" t="s">
        <v>281</v>
      </c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</row>
    <row r="416" spans="1:48" outlineLevel="1">
      <c r="A416" s="30"/>
      <c r="B416" s="6" t="s">
        <v>34</v>
      </c>
      <c r="C416" s="5">
        <v>177716.14863054056</v>
      </c>
      <c r="D416" s="6">
        <f ca="1">E416+F416</f>
        <v>172298.60580763954</v>
      </c>
      <c r="E416" s="7">
        <f ca="1">AG423</f>
        <v>172298.60580763954</v>
      </c>
      <c r="F416" s="7"/>
      <c r="G416" s="7">
        <f ca="1">AJ423</f>
        <v>5417.5428229010249</v>
      </c>
      <c r="H416" s="7"/>
      <c r="I416" s="7"/>
      <c r="J416" s="7"/>
      <c r="K416" s="6">
        <f t="shared" ref="K416:K422" ca="1" si="114">+I416+J416</f>
        <v>0</v>
      </c>
      <c r="L416" s="7">
        <f t="shared" ref="L416:L422" ca="1" si="115">D416+G416+H416+K416</f>
        <v>177716.14863054056</v>
      </c>
      <c r="N416" s="6" t="s">
        <v>35</v>
      </c>
      <c r="O416" s="6" t="s">
        <v>36</v>
      </c>
      <c r="P416" s="6"/>
      <c r="Q416" s="6" t="s">
        <v>37</v>
      </c>
      <c r="R416" s="6"/>
      <c r="S416" s="7"/>
      <c r="T416" s="7"/>
      <c r="U416" s="7"/>
      <c r="W416" s="7"/>
      <c r="AL416" s="14"/>
      <c r="AM416" s="14"/>
      <c r="AN416" s="14"/>
      <c r="AO416" s="14"/>
      <c r="AP416" s="14"/>
      <c r="AQ416" s="16"/>
      <c r="AR416" s="16"/>
      <c r="AS416" s="16"/>
      <c r="AT416" s="18"/>
      <c r="AU416" s="16"/>
      <c r="AV416" s="18"/>
    </row>
    <row r="417" spans="1:48" outlineLevel="1">
      <c r="A417" s="30">
        <v>814</v>
      </c>
      <c r="B417" s="6" t="s">
        <v>138</v>
      </c>
      <c r="C417" s="5">
        <v>112312.42168539124</v>
      </c>
      <c r="D417" s="6">
        <f t="shared" ref="D417:D438" ca="1" si="116">E417+F417</f>
        <v>108676.04415294081</v>
      </c>
      <c r="E417" s="7">
        <f t="shared" ref="E417:E422" ca="1" si="117">AH417</f>
        <v>108676.04415294081</v>
      </c>
      <c r="F417" s="7"/>
      <c r="G417" s="7">
        <f t="shared" ref="G417:G422" ca="1" si="118">AK417</f>
        <v>3636.3775324504181</v>
      </c>
      <c r="H417" s="7"/>
      <c r="I417" s="7"/>
      <c r="J417" s="7"/>
      <c r="K417" s="6">
        <f t="shared" ca="1" si="114"/>
        <v>0</v>
      </c>
      <c r="L417" s="7">
        <f t="shared" ca="1" si="115"/>
        <v>112312.42168539124</v>
      </c>
      <c r="N417" s="39"/>
      <c r="O417" s="6"/>
      <c r="P417" s="6"/>
      <c r="Q417" s="7"/>
      <c r="R417" s="7"/>
      <c r="S417" s="7"/>
      <c r="T417" s="7"/>
      <c r="U417" s="7"/>
      <c r="W417" s="7" t="s">
        <v>139</v>
      </c>
      <c r="AF417" s="7">
        <v>135845.05519117601</v>
      </c>
      <c r="AG417" s="34">
        <f t="shared" ref="AG417:AG422" ca="1" si="119">AF417*JP_Bal</f>
        <v>27169.011038235203</v>
      </c>
      <c r="AH417" s="34">
        <f t="shared" ref="AH417:AH422" ca="1" si="120">AF417-AG417</f>
        <v>108676.04415294081</v>
      </c>
      <c r="AI417" s="7">
        <v>4545.4719155630228</v>
      </c>
      <c r="AJ417" s="34">
        <f t="shared" ref="AJ417:AJ422" ca="1" si="121">AI417*JP_Bal</f>
        <v>909.09438311260465</v>
      </c>
      <c r="AK417" s="34">
        <f t="shared" ref="AK417:AK422" ca="1" si="122">AI417-AJ417</f>
        <v>3636.3775324504181</v>
      </c>
      <c r="AL417" s="42"/>
      <c r="AM417" s="14"/>
      <c r="AN417" s="14"/>
      <c r="AO417" s="16"/>
      <c r="AP417" s="16"/>
      <c r="AQ417" s="16"/>
      <c r="AR417" s="16"/>
      <c r="AS417" s="16"/>
      <c r="AT417" s="18"/>
      <c r="AU417" s="16"/>
      <c r="AV417" s="18"/>
    </row>
    <row r="418" spans="1:48" outlineLevel="1">
      <c r="A418" s="30">
        <v>818</v>
      </c>
      <c r="B418" s="6" t="s">
        <v>144</v>
      </c>
      <c r="C418" s="5">
        <v>139639.69677774399</v>
      </c>
      <c r="D418" s="6">
        <f t="shared" ca="1" si="116"/>
        <v>135571.80307906575</v>
      </c>
      <c r="E418" s="7">
        <f t="shared" ca="1" si="117"/>
        <v>135571.80307906575</v>
      </c>
      <c r="F418" s="6"/>
      <c r="G418" s="7">
        <f t="shared" ca="1" si="118"/>
        <v>4067.8936986782319</v>
      </c>
      <c r="H418" s="7"/>
      <c r="I418" s="7"/>
      <c r="J418" s="7"/>
      <c r="K418" s="6">
        <f t="shared" ca="1" si="114"/>
        <v>0</v>
      </c>
      <c r="L418" s="7">
        <f t="shared" ca="1" si="115"/>
        <v>139639.69677774399</v>
      </c>
      <c r="N418" s="6"/>
      <c r="O418" s="6"/>
      <c r="P418" s="6"/>
      <c r="Q418" s="7"/>
      <c r="R418" s="7"/>
      <c r="S418" s="7"/>
      <c r="T418" s="7"/>
      <c r="U418" s="7"/>
      <c r="W418" s="7" t="s">
        <v>141</v>
      </c>
      <c r="Z418" s="22"/>
      <c r="AA418" s="22"/>
      <c r="AF418" s="6">
        <v>169464.75384883219</v>
      </c>
      <c r="AG418" s="34">
        <f t="shared" ca="1" si="119"/>
        <v>33892.950769766438</v>
      </c>
      <c r="AH418" s="34">
        <f t="shared" ca="1" si="120"/>
        <v>135571.80307906575</v>
      </c>
      <c r="AI418" s="6">
        <v>5084.8671233477899</v>
      </c>
      <c r="AJ418" s="34">
        <f t="shared" ca="1" si="121"/>
        <v>1016.973424669558</v>
      </c>
      <c r="AK418" s="34">
        <f t="shared" ca="1" si="122"/>
        <v>4067.8936986782319</v>
      </c>
      <c r="AL418" s="14"/>
      <c r="AM418" s="14"/>
      <c r="AN418" s="14"/>
      <c r="AO418" s="16"/>
      <c r="AP418" s="16"/>
      <c r="AQ418" s="16"/>
      <c r="AR418" s="16"/>
      <c r="AS418" s="16"/>
      <c r="AT418" s="18"/>
      <c r="AU418" s="16"/>
      <c r="AV418" s="18"/>
    </row>
    <row r="419" spans="1:48" outlineLevel="1">
      <c r="A419" s="30">
        <v>841</v>
      </c>
      <c r="B419" s="6" t="s">
        <v>161</v>
      </c>
      <c r="C419" s="5">
        <v>229996.59438146261</v>
      </c>
      <c r="D419" s="6">
        <f t="shared" ca="1" si="116"/>
        <v>223034.61058516876</v>
      </c>
      <c r="E419" s="7">
        <f t="shared" ca="1" si="117"/>
        <v>223034.61058516876</v>
      </c>
      <c r="F419" s="7"/>
      <c r="G419" s="7">
        <f t="shared" ca="1" si="118"/>
        <v>6961.9837962938591</v>
      </c>
      <c r="H419" s="7"/>
      <c r="I419" s="7"/>
      <c r="J419" s="7"/>
      <c r="K419" s="6">
        <f t="shared" ca="1" si="114"/>
        <v>0</v>
      </c>
      <c r="L419" s="7">
        <f t="shared" ca="1" si="115"/>
        <v>229996.59438146261</v>
      </c>
      <c r="N419" s="6"/>
      <c r="O419" s="6"/>
      <c r="P419" s="6"/>
      <c r="Q419" s="7"/>
      <c r="R419" s="7"/>
      <c r="S419" s="7"/>
      <c r="T419" s="7"/>
      <c r="U419" s="7"/>
      <c r="W419" s="7" t="s">
        <v>141</v>
      </c>
      <c r="AF419" s="7">
        <v>278793.26323146094</v>
      </c>
      <c r="AG419" s="34">
        <f t="shared" ca="1" si="119"/>
        <v>55758.65264629219</v>
      </c>
      <c r="AH419" s="34">
        <f t="shared" ca="1" si="120"/>
        <v>223034.61058516876</v>
      </c>
      <c r="AI419" s="7">
        <v>8702.4797453673236</v>
      </c>
      <c r="AJ419" s="34">
        <f t="shared" ca="1" si="121"/>
        <v>1740.4959490734648</v>
      </c>
      <c r="AK419" s="34">
        <f t="shared" ca="1" si="122"/>
        <v>6961.9837962938591</v>
      </c>
      <c r="AL419" s="14"/>
      <c r="AM419" s="14"/>
      <c r="AN419" s="14"/>
      <c r="AO419" s="16"/>
      <c r="AP419" s="16"/>
      <c r="AQ419" s="16"/>
      <c r="AR419" s="16"/>
      <c r="AS419" s="16"/>
      <c r="AT419" s="18"/>
      <c r="AU419" s="16"/>
      <c r="AV419" s="18"/>
    </row>
    <row r="420" spans="1:48" outlineLevel="1">
      <c r="A420" s="30">
        <v>830</v>
      </c>
      <c r="B420" s="6" t="s">
        <v>152</v>
      </c>
      <c r="C420" s="5">
        <v>129507.2</v>
      </c>
      <c r="D420" s="6">
        <f t="shared" ca="1" si="116"/>
        <v>125388.8</v>
      </c>
      <c r="E420" s="7">
        <f t="shared" ca="1" si="117"/>
        <v>125388.8</v>
      </c>
      <c r="F420" s="7"/>
      <c r="G420" s="7">
        <f t="shared" ca="1" si="118"/>
        <v>4118.3999999999996</v>
      </c>
      <c r="H420" s="7"/>
      <c r="I420" s="7"/>
      <c r="J420" s="7"/>
      <c r="K420" s="6">
        <f t="shared" ca="1" si="114"/>
        <v>0</v>
      </c>
      <c r="L420" s="7">
        <f t="shared" ca="1" si="115"/>
        <v>129507.2</v>
      </c>
      <c r="N420" s="6"/>
      <c r="O420" s="6"/>
      <c r="P420" s="6"/>
      <c r="Q420" s="6"/>
      <c r="R420" s="6"/>
      <c r="S420" s="6"/>
      <c r="T420" s="6"/>
      <c r="U420" s="6"/>
      <c r="W420" s="6" t="s">
        <v>141</v>
      </c>
      <c r="AF420" s="7">
        <f ca="1">271302-114566</f>
        <v>156736</v>
      </c>
      <c r="AG420" s="34">
        <f t="shared" ca="1" si="119"/>
        <v>31347.200000000001</v>
      </c>
      <c r="AH420" s="34">
        <f t="shared" ca="1" si="120"/>
        <v>125388.8</v>
      </c>
      <c r="AI420" s="7">
        <f ca="1">8587-3439</f>
        <v>5148</v>
      </c>
      <c r="AJ420" s="34">
        <f t="shared" ca="1" si="121"/>
        <v>1029.6000000000001</v>
      </c>
      <c r="AK420" s="34">
        <f t="shared" ca="1" si="122"/>
        <v>4118.3999999999996</v>
      </c>
      <c r="AL420" s="14"/>
      <c r="AM420" s="14"/>
      <c r="AN420" s="14"/>
      <c r="AO420" s="14"/>
      <c r="AP420" s="14"/>
      <c r="AQ420" s="14"/>
      <c r="AR420" s="14"/>
      <c r="AS420" s="14"/>
      <c r="AT420" s="18"/>
      <c r="AU420" s="14"/>
      <c r="AV420" s="18"/>
    </row>
    <row r="421" spans="1:48" outlineLevel="1">
      <c r="A421" s="30">
        <v>834</v>
      </c>
      <c r="B421" s="6" t="s">
        <v>156</v>
      </c>
      <c r="C421" s="5">
        <v>94403.61261056723</v>
      </c>
      <c r="D421" s="6">
        <f ca="1">E421+F421</f>
        <v>91652.800000000003</v>
      </c>
      <c r="E421" s="7">
        <f t="shared" ca="1" si="117"/>
        <v>91652.800000000003</v>
      </c>
      <c r="F421" s="7"/>
      <c r="G421" s="7">
        <f t="shared" ca="1" si="118"/>
        <v>2750.8126105672332</v>
      </c>
      <c r="H421" s="7"/>
      <c r="I421" s="7"/>
      <c r="J421" s="7"/>
      <c r="K421" s="6">
        <f ca="1">+I421+J421</f>
        <v>0</v>
      </c>
      <c r="L421" s="7">
        <f ca="1">D421+G421+H421+K421</f>
        <v>94403.61261056723</v>
      </c>
      <c r="N421" s="6"/>
      <c r="O421" s="6"/>
      <c r="P421" s="6"/>
      <c r="Q421" s="6"/>
      <c r="R421" s="6"/>
      <c r="S421" s="6"/>
      <c r="T421" s="6"/>
      <c r="U421" s="6"/>
      <c r="W421" s="6" t="s">
        <v>141</v>
      </c>
      <c r="AF421" s="7">
        <v>114566</v>
      </c>
      <c r="AG421" s="34">
        <f t="shared" ca="1" si="119"/>
        <v>22913.200000000001</v>
      </c>
      <c r="AH421" s="34">
        <f t="shared" ca="1" si="120"/>
        <v>91652.800000000003</v>
      </c>
      <c r="AI421" s="7">
        <v>3438.5157632090413</v>
      </c>
      <c r="AJ421" s="34">
        <f t="shared" ca="1" si="121"/>
        <v>687.70315264180829</v>
      </c>
      <c r="AK421" s="34">
        <f t="shared" ca="1" si="122"/>
        <v>2750.8126105672332</v>
      </c>
      <c r="AL421" s="14"/>
      <c r="AM421" s="14"/>
      <c r="AN421" s="14"/>
      <c r="AO421" s="14"/>
      <c r="AP421" s="14"/>
      <c r="AQ421" s="14"/>
      <c r="AR421" s="14"/>
      <c r="AS421" s="14"/>
      <c r="AT421" s="18"/>
      <c r="AU421" s="14"/>
      <c r="AV421" s="18"/>
    </row>
    <row r="422" spans="1:48" outlineLevel="1">
      <c r="A422" s="30">
        <v>824</v>
      </c>
      <c r="B422" s="6" t="s">
        <v>282</v>
      </c>
      <c r="C422" s="5">
        <v>5005.0690669970936</v>
      </c>
      <c r="D422" s="6">
        <f t="shared" ca="1" si="116"/>
        <v>4870.3654133827395</v>
      </c>
      <c r="E422" s="7">
        <f t="shared" ca="1" si="117"/>
        <v>4870.3654133827395</v>
      </c>
      <c r="F422" s="6"/>
      <c r="G422" s="7">
        <f t="shared" ca="1" si="118"/>
        <v>134.7036536143541</v>
      </c>
      <c r="H422" s="7"/>
      <c r="I422" s="7"/>
      <c r="J422" s="7"/>
      <c r="K422" s="6">
        <f t="shared" ca="1" si="114"/>
        <v>0</v>
      </c>
      <c r="L422" s="7">
        <f t="shared" ca="1" si="115"/>
        <v>5005.0690669970936</v>
      </c>
      <c r="N422" s="6"/>
      <c r="O422" s="6"/>
      <c r="P422" s="6"/>
      <c r="Q422" s="7"/>
      <c r="R422" s="7"/>
      <c r="S422" s="7"/>
      <c r="T422" s="7"/>
      <c r="U422" s="7"/>
      <c r="W422" s="7" t="s">
        <v>141</v>
      </c>
      <c r="Z422" s="22"/>
      <c r="AA422" s="22"/>
      <c r="AF422" s="6">
        <v>6087.9567667284246</v>
      </c>
      <c r="AG422" s="34">
        <f t="shared" ca="1" si="119"/>
        <v>1217.5913533456849</v>
      </c>
      <c r="AH422" s="34">
        <f t="shared" ca="1" si="120"/>
        <v>4870.3654133827395</v>
      </c>
      <c r="AI422" s="6">
        <v>168.37956701794263</v>
      </c>
      <c r="AJ422" s="34">
        <f t="shared" ca="1" si="121"/>
        <v>33.675913403588531</v>
      </c>
      <c r="AK422" s="34">
        <f t="shared" ca="1" si="122"/>
        <v>134.7036536143541</v>
      </c>
      <c r="AL422" s="14"/>
      <c r="AM422" s="14"/>
      <c r="AN422" s="14"/>
      <c r="AO422" s="16"/>
      <c r="AP422" s="16"/>
      <c r="AQ422" s="16"/>
      <c r="AR422" s="16"/>
      <c r="AS422" s="16"/>
      <c r="AT422" s="18"/>
      <c r="AU422" s="16"/>
      <c r="AV422" s="18"/>
    </row>
    <row r="423" spans="1:48" s="8" customFormat="1" outlineLevel="1">
      <c r="A423" s="25"/>
      <c r="B423" s="8" t="s">
        <v>22</v>
      </c>
      <c r="C423" s="5">
        <v>888580.74315270281</v>
      </c>
      <c r="D423" s="8">
        <f t="shared" ref="D423:L423" ca="1" si="123">SUM(D416:D422)</f>
        <v>861493.02903819771</v>
      </c>
      <c r="E423" s="8">
        <f t="shared" ca="1" si="123"/>
        <v>861493.02903819771</v>
      </c>
      <c r="F423" s="8">
        <f t="shared" ca="1" si="123"/>
        <v>0</v>
      </c>
      <c r="G423" s="8">
        <f t="shared" ca="1" si="123"/>
        <v>27087.714114505125</v>
      </c>
      <c r="H423" s="8">
        <f t="shared" ca="1" si="123"/>
        <v>0</v>
      </c>
      <c r="I423" s="8">
        <f t="shared" ca="1" si="123"/>
        <v>0</v>
      </c>
      <c r="J423" s="8">
        <f t="shared" ca="1" si="123"/>
        <v>0</v>
      </c>
      <c r="K423" s="8">
        <f t="shared" ca="1" si="123"/>
        <v>0</v>
      </c>
      <c r="L423" s="8">
        <f t="shared" ca="1" si="123"/>
        <v>888580.74315270269</v>
      </c>
      <c r="V423" s="4"/>
      <c r="AD423" s="4"/>
      <c r="AE423" s="4"/>
      <c r="AF423" s="9">
        <f t="shared" ref="AF423:AK423" ca="1" si="124">SUM(AF417:AF422)</f>
        <v>861493.02903819759</v>
      </c>
      <c r="AG423" s="9">
        <f t="shared" ca="1" si="124"/>
        <v>172298.60580763954</v>
      </c>
      <c r="AH423" s="9">
        <f t="shared" ca="1" si="124"/>
        <v>689194.42323055817</v>
      </c>
      <c r="AI423" s="9">
        <f t="shared" ca="1" si="124"/>
        <v>27087.714114505121</v>
      </c>
      <c r="AJ423" s="9">
        <f t="shared" ca="1" si="124"/>
        <v>5417.5428229010249</v>
      </c>
      <c r="AK423" s="9">
        <f t="shared" ca="1" si="124"/>
        <v>21670.171291604096</v>
      </c>
      <c r="AL423" s="11"/>
      <c r="AM423" s="11"/>
      <c r="AN423" s="11"/>
      <c r="AO423" s="11"/>
      <c r="AP423" s="11"/>
      <c r="AQ423" s="11"/>
      <c r="AR423" s="11"/>
      <c r="AS423" s="11"/>
      <c r="AT423" s="18"/>
      <c r="AU423" s="11"/>
      <c r="AV423" s="11"/>
    </row>
    <row r="424" spans="1:48" outlineLevel="1"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</row>
    <row r="425" spans="1:48" outlineLevel="1">
      <c r="B425" s="1" t="s">
        <v>283</v>
      </c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</row>
    <row r="426" spans="1:48" outlineLevel="1">
      <c r="A426" s="30">
        <v>843.2</v>
      </c>
      <c r="B426" s="6" t="s">
        <v>163</v>
      </c>
      <c r="C426" s="5">
        <v>1.2492057903075831</v>
      </c>
      <c r="D426" s="6">
        <f t="shared" ca="1" si="116"/>
        <v>0</v>
      </c>
      <c r="E426" s="7">
        <v>0</v>
      </c>
      <c r="F426" s="7"/>
      <c r="G426" s="7">
        <v>1.2492057903075831</v>
      </c>
      <c r="H426" s="7"/>
      <c r="I426" s="7"/>
      <c r="J426" s="7"/>
      <c r="K426" s="6">
        <f t="shared" ref="K426:K438" ca="1" si="125">+I426+J426</f>
        <v>0</v>
      </c>
      <c r="L426" s="7">
        <f t="shared" ref="L426:L438" ca="1" si="126">D426+G426+H426+K426</f>
        <v>1.2492057903075831</v>
      </c>
      <c r="N426" s="6"/>
      <c r="O426" s="6"/>
      <c r="P426" s="6"/>
      <c r="Q426" s="6"/>
      <c r="R426" s="6"/>
      <c r="S426" s="6"/>
      <c r="T426" s="6"/>
      <c r="U426" s="6"/>
      <c r="W426" s="6" t="s">
        <v>162</v>
      </c>
      <c r="AL426" s="14"/>
      <c r="AM426" s="14"/>
      <c r="AN426" s="14"/>
      <c r="AO426" s="14"/>
      <c r="AP426" s="14"/>
      <c r="AQ426" s="14"/>
      <c r="AR426" s="14"/>
      <c r="AS426" s="14"/>
      <c r="AT426" s="18"/>
      <c r="AU426" s="14"/>
      <c r="AV426" s="18"/>
    </row>
    <row r="427" spans="1:48" outlineLevel="1">
      <c r="A427" s="30">
        <v>843.3</v>
      </c>
      <c r="B427" s="6" t="s">
        <v>164</v>
      </c>
      <c r="C427" s="5">
        <v>0</v>
      </c>
      <c r="D427" s="6">
        <f t="shared" ca="1" si="116"/>
        <v>0</v>
      </c>
      <c r="E427" s="7">
        <v>0</v>
      </c>
      <c r="F427" s="7"/>
      <c r="G427" s="7"/>
      <c r="H427" s="7"/>
      <c r="I427" s="7"/>
      <c r="J427" s="7"/>
      <c r="K427" s="6">
        <f t="shared" ca="1" si="125"/>
        <v>0</v>
      </c>
      <c r="L427" s="7">
        <f t="shared" ca="1" si="126"/>
        <v>0</v>
      </c>
      <c r="N427" s="6"/>
      <c r="O427" s="6"/>
      <c r="P427" s="6"/>
      <c r="Q427" s="6"/>
      <c r="R427" s="6"/>
      <c r="S427" s="6"/>
      <c r="T427" s="6"/>
      <c r="U427" s="6"/>
      <c r="W427" s="6" t="s">
        <v>162</v>
      </c>
      <c r="AL427" s="14"/>
      <c r="AM427" s="14"/>
      <c r="AN427" s="14"/>
      <c r="AO427" s="14"/>
      <c r="AP427" s="14"/>
      <c r="AQ427" s="14"/>
      <c r="AR427" s="14"/>
      <c r="AS427" s="14"/>
      <c r="AT427" s="18"/>
      <c r="AU427" s="14"/>
      <c r="AV427" s="18"/>
    </row>
    <row r="428" spans="1:48" outlineLevel="1">
      <c r="A428" s="30">
        <v>843.6</v>
      </c>
      <c r="B428" s="6" t="s">
        <v>165</v>
      </c>
      <c r="C428" s="5">
        <v>0</v>
      </c>
      <c r="D428" s="6">
        <f t="shared" ca="1" si="116"/>
        <v>0</v>
      </c>
      <c r="E428" s="7">
        <v>0</v>
      </c>
      <c r="F428" s="7"/>
      <c r="G428" s="7"/>
      <c r="H428" s="7"/>
      <c r="I428" s="7"/>
      <c r="J428" s="7"/>
      <c r="K428" s="6">
        <f t="shared" ca="1" si="125"/>
        <v>0</v>
      </c>
      <c r="L428" s="7">
        <f t="shared" ca="1" si="126"/>
        <v>0</v>
      </c>
      <c r="N428" s="6"/>
      <c r="O428" s="6"/>
      <c r="P428" s="6"/>
      <c r="Q428" s="6"/>
      <c r="R428" s="6"/>
      <c r="S428" s="6"/>
      <c r="T428" s="6"/>
      <c r="U428" s="6"/>
      <c r="W428" s="6" t="s">
        <v>162</v>
      </c>
      <c r="AL428" s="14"/>
      <c r="AM428" s="14"/>
      <c r="AN428" s="14"/>
      <c r="AO428" s="14"/>
      <c r="AP428" s="14"/>
      <c r="AQ428" s="14"/>
      <c r="AR428" s="14"/>
      <c r="AS428" s="14"/>
      <c r="AT428" s="18"/>
      <c r="AU428" s="14"/>
      <c r="AV428" s="18"/>
    </row>
    <row r="429" spans="1:48" outlineLevel="1">
      <c r="A429" s="30">
        <v>843.8</v>
      </c>
      <c r="B429" s="6" t="s">
        <v>166</v>
      </c>
      <c r="C429" s="5">
        <v>0</v>
      </c>
      <c r="D429" s="6">
        <f t="shared" ca="1" si="116"/>
        <v>0</v>
      </c>
      <c r="E429" s="7">
        <v>0</v>
      </c>
      <c r="F429" s="7"/>
      <c r="G429" s="7"/>
      <c r="H429" s="7"/>
      <c r="I429" s="7"/>
      <c r="J429" s="7"/>
      <c r="K429" s="6">
        <f t="shared" ca="1" si="125"/>
        <v>0</v>
      </c>
      <c r="L429" s="7">
        <f t="shared" ca="1" si="126"/>
        <v>0</v>
      </c>
      <c r="N429" s="6"/>
      <c r="O429" s="6"/>
      <c r="P429" s="6"/>
      <c r="Q429" s="6"/>
      <c r="R429" s="6"/>
      <c r="S429" s="6"/>
      <c r="T429" s="6"/>
      <c r="U429" s="6"/>
      <c r="W429" s="6" t="s">
        <v>162</v>
      </c>
      <c r="AL429" s="14"/>
      <c r="AM429" s="14"/>
      <c r="AN429" s="14"/>
      <c r="AO429" s="14"/>
      <c r="AP429" s="14"/>
      <c r="AQ429" s="14"/>
      <c r="AR429" s="14"/>
      <c r="AS429" s="14"/>
      <c r="AT429" s="18"/>
      <c r="AU429" s="14"/>
      <c r="AV429" s="18"/>
    </row>
    <row r="430" spans="1:48" outlineLevel="1">
      <c r="A430" s="30">
        <v>843.9</v>
      </c>
      <c r="B430" s="6" t="s">
        <v>167</v>
      </c>
      <c r="C430" s="5">
        <v>0</v>
      </c>
      <c r="D430" s="6">
        <f t="shared" ca="1" si="116"/>
        <v>0</v>
      </c>
      <c r="E430" s="7">
        <v>0</v>
      </c>
      <c r="F430" s="7"/>
      <c r="G430" s="7"/>
      <c r="H430" s="7"/>
      <c r="I430" s="7"/>
      <c r="J430" s="7"/>
      <c r="K430" s="6">
        <f t="shared" ca="1" si="125"/>
        <v>0</v>
      </c>
      <c r="L430" s="7">
        <f t="shared" ca="1" si="126"/>
        <v>0</v>
      </c>
      <c r="N430" s="6"/>
      <c r="O430" s="6"/>
      <c r="P430" s="6"/>
      <c r="Q430" s="6"/>
      <c r="R430" s="6"/>
      <c r="S430" s="6"/>
      <c r="T430" s="6"/>
      <c r="U430" s="6"/>
      <c r="W430" s="6" t="s">
        <v>162</v>
      </c>
      <c r="AL430" s="14"/>
      <c r="AM430" s="14"/>
      <c r="AN430" s="14"/>
      <c r="AO430" s="14"/>
      <c r="AP430" s="14"/>
      <c r="AQ430" s="14"/>
      <c r="AR430" s="14"/>
      <c r="AS430" s="14"/>
      <c r="AT430" s="18"/>
      <c r="AU430" s="14"/>
      <c r="AV430" s="18"/>
    </row>
    <row r="431" spans="1:48" hidden="1" outlineLevel="1">
      <c r="A431" s="30" t="s">
        <v>32</v>
      </c>
      <c r="B431" s="6" t="s">
        <v>32</v>
      </c>
      <c r="C431" s="5">
        <v>0</v>
      </c>
      <c r="D431" s="6">
        <f t="shared" ca="1" si="116"/>
        <v>0</v>
      </c>
      <c r="E431" s="7"/>
      <c r="F431" s="7"/>
      <c r="G431" s="7"/>
      <c r="H431" s="7"/>
      <c r="I431" s="7"/>
      <c r="J431" s="7"/>
      <c r="K431" s="6">
        <f t="shared" ca="1" si="125"/>
        <v>0</v>
      </c>
      <c r="L431" s="7">
        <f t="shared" ca="1" si="126"/>
        <v>0</v>
      </c>
      <c r="N431" s="7"/>
      <c r="O431" s="7"/>
      <c r="P431" s="7"/>
      <c r="Q431" s="7"/>
      <c r="R431" s="7"/>
      <c r="S431" s="7"/>
      <c r="T431" s="7"/>
      <c r="U431" s="7"/>
      <c r="W431" s="7"/>
      <c r="AL431" s="16"/>
      <c r="AM431" s="16"/>
      <c r="AN431" s="16"/>
      <c r="AO431" s="16"/>
      <c r="AP431" s="16"/>
      <c r="AQ431" s="16"/>
      <c r="AR431" s="16"/>
      <c r="AS431" s="16"/>
      <c r="AT431" s="18"/>
      <c r="AU431" s="16"/>
      <c r="AV431" s="18"/>
    </row>
    <row r="432" spans="1:48" hidden="1" outlineLevel="1">
      <c r="A432" s="30" t="s">
        <v>32</v>
      </c>
      <c r="B432" s="6" t="s">
        <v>32</v>
      </c>
      <c r="C432" s="5">
        <v>0</v>
      </c>
      <c r="D432" s="6">
        <f t="shared" ca="1" si="116"/>
        <v>0</v>
      </c>
      <c r="E432" s="7"/>
      <c r="F432" s="7"/>
      <c r="G432" s="7"/>
      <c r="H432" s="7"/>
      <c r="I432" s="7"/>
      <c r="J432" s="7"/>
      <c r="K432" s="6">
        <f t="shared" ca="1" si="125"/>
        <v>0</v>
      </c>
      <c r="L432" s="7">
        <f t="shared" ca="1" si="126"/>
        <v>0</v>
      </c>
      <c r="N432" s="7"/>
      <c r="O432" s="7"/>
      <c r="P432" s="7"/>
      <c r="Q432" s="7"/>
      <c r="R432" s="7"/>
      <c r="S432" s="7"/>
      <c r="T432" s="7"/>
      <c r="U432" s="7"/>
      <c r="W432" s="7"/>
      <c r="AL432" s="16"/>
      <c r="AM432" s="16"/>
      <c r="AN432" s="16"/>
      <c r="AO432" s="16"/>
      <c r="AP432" s="16"/>
      <c r="AQ432" s="16"/>
      <c r="AR432" s="16"/>
      <c r="AS432" s="16"/>
      <c r="AT432" s="18"/>
      <c r="AU432" s="16"/>
      <c r="AV432" s="18"/>
    </row>
    <row r="433" spans="1:48" hidden="1" outlineLevel="1">
      <c r="A433" s="30" t="s">
        <v>32</v>
      </c>
      <c r="B433" s="6" t="s">
        <v>32</v>
      </c>
      <c r="C433" s="5">
        <v>0</v>
      </c>
      <c r="D433" s="6">
        <f t="shared" ca="1" si="116"/>
        <v>0</v>
      </c>
      <c r="E433" s="7"/>
      <c r="F433" s="7"/>
      <c r="G433" s="7"/>
      <c r="H433" s="7"/>
      <c r="I433" s="7"/>
      <c r="J433" s="7"/>
      <c r="K433" s="6">
        <f t="shared" ca="1" si="125"/>
        <v>0</v>
      </c>
      <c r="L433" s="7">
        <f t="shared" ca="1" si="126"/>
        <v>0</v>
      </c>
      <c r="N433" s="7"/>
      <c r="O433" s="7"/>
      <c r="P433" s="7"/>
      <c r="Q433" s="7"/>
      <c r="R433" s="7"/>
      <c r="S433" s="7"/>
      <c r="T433" s="7"/>
      <c r="U433" s="7"/>
      <c r="W433" s="7"/>
      <c r="AL433" s="16"/>
      <c r="AM433" s="16"/>
      <c r="AN433" s="16"/>
      <c r="AO433" s="16"/>
      <c r="AP433" s="16"/>
      <c r="AQ433" s="16"/>
      <c r="AR433" s="16"/>
      <c r="AS433" s="16"/>
      <c r="AT433" s="18"/>
      <c r="AU433" s="16"/>
      <c r="AV433" s="18"/>
    </row>
    <row r="434" spans="1:48" hidden="1" outlineLevel="1">
      <c r="A434" s="30" t="s">
        <v>32</v>
      </c>
      <c r="B434" s="6" t="s">
        <v>32</v>
      </c>
      <c r="C434" s="5">
        <v>0</v>
      </c>
      <c r="D434" s="6">
        <f t="shared" ca="1" si="116"/>
        <v>0</v>
      </c>
      <c r="E434" s="7"/>
      <c r="F434" s="7"/>
      <c r="G434" s="7"/>
      <c r="H434" s="7"/>
      <c r="I434" s="7"/>
      <c r="J434" s="7"/>
      <c r="K434" s="6">
        <f t="shared" ca="1" si="125"/>
        <v>0</v>
      </c>
      <c r="L434" s="7">
        <f t="shared" ca="1" si="126"/>
        <v>0</v>
      </c>
      <c r="N434" s="7"/>
      <c r="O434" s="7"/>
      <c r="P434" s="7"/>
      <c r="Q434" s="7"/>
      <c r="R434" s="7"/>
      <c r="S434" s="7"/>
      <c r="T434" s="7"/>
      <c r="U434" s="7"/>
      <c r="W434" s="7"/>
      <c r="AL434" s="16"/>
      <c r="AM434" s="16"/>
      <c r="AN434" s="16"/>
      <c r="AO434" s="16"/>
      <c r="AP434" s="16"/>
      <c r="AQ434" s="16"/>
      <c r="AR434" s="16"/>
      <c r="AS434" s="16"/>
      <c r="AT434" s="18"/>
      <c r="AU434" s="16"/>
      <c r="AV434" s="18"/>
    </row>
    <row r="435" spans="1:48" hidden="1" outlineLevel="1">
      <c r="A435" s="30" t="s">
        <v>32</v>
      </c>
      <c r="B435" s="6" t="s">
        <v>32</v>
      </c>
      <c r="C435" s="5">
        <v>0</v>
      </c>
      <c r="D435" s="6">
        <f t="shared" ca="1" si="116"/>
        <v>0</v>
      </c>
      <c r="E435" s="7"/>
      <c r="F435" s="7"/>
      <c r="G435" s="7"/>
      <c r="H435" s="7"/>
      <c r="I435" s="7"/>
      <c r="J435" s="7"/>
      <c r="K435" s="6">
        <f t="shared" ca="1" si="125"/>
        <v>0</v>
      </c>
      <c r="L435" s="7">
        <f t="shared" ca="1" si="126"/>
        <v>0</v>
      </c>
      <c r="N435" s="7"/>
      <c r="O435" s="7"/>
      <c r="P435" s="7"/>
      <c r="Q435" s="7"/>
      <c r="R435" s="7"/>
      <c r="S435" s="7"/>
      <c r="T435" s="7"/>
      <c r="U435" s="7"/>
      <c r="W435" s="7"/>
      <c r="AL435" s="16"/>
      <c r="AM435" s="16"/>
      <c r="AN435" s="16"/>
      <c r="AO435" s="16"/>
      <c r="AP435" s="16"/>
      <c r="AQ435" s="16"/>
      <c r="AR435" s="16"/>
      <c r="AS435" s="16"/>
      <c r="AT435" s="18"/>
      <c r="AU435" s="16"/>
      <c r="AV435" s="18"/>
    </row>
    <row r="436" spans="1:48" hidden="1" outlineLevel="1">
      <c r="A436" s="30" t="s">
        <v>32</v>
      </c>
      <c r="B436" s="6" t="s">
        <v>32</v>
      </c>
      <c r="C436" s="5">
        <v>0</v>
      </c>
      <c r="D436" s="6">
        <f t="shared" ca="1" si="116"/>
        <v>0</v>
      </c>
      <c r="E436" s="7"/>
      <c r="F436" s="7"/>
      <c r="G436" s="7"/>
      <c r="H436" s="7"/>
      <c r="I436" s="7"/>
      <c r="J436" s="7"/>
      <c r="K436" s="6">
        <f t="shared" ca="1" si="125"/>
        <v>0</v>
      </c>
      <c r="L436" s="7">
        <f t="shared" ca="1" si="126"/>
        <v>0</v>
      </c>
      <c r="N436" s="7"/>
      <c r="O436" s="7"/>
      <c r="P436" s="7"/>
      <c r="Q436" s="7"/>
      <c r="R436" s="7"/>
      <c r="S436" s="7"/>
      <c r="T436" s="7"/>
      <c r="U436" s="7"/>
      <c r="W436" s="7"/>
      <c r="AL436" s="16"/>
      <c r="AM436" s="16"/>
      <c r="AN436" s="16"/>
      <c r="AO436" s="16"/>
      <c r="AP436" s="16"/>
      <c r="AQ436" s="16"/>
      <c r="AR436" s="16"/>
      <c r="AS436" s="16"/>
      <c r="AT436" s="18"/>
      <c r="AU436" s="16"/>
      <c r="AV436" s="18"/>
    </row>
    <row r="437" spans="1:48" hidden="1" outlineLevel="1">
      <c r="A437" s="30" t="s">
        <v>32</v>
      </c>
      <c r="B437" s="6" t="s">
        <v>32</v>
      </c>
      <c r="C437" s="5">
        <v>0</v>
      </c>
      <c r="D437" s="6">
        <f t="shared" ca="1" si="116"/>
        <v>0</v>
      </c>
      <c r="E437" s="7"/>
      <c r="F437" s="7"/>
      <c r="G437" s="7"/>
      <c r="H437" s="7"/>
      <c r="I437" s="7"/>
      <c r="J437" s="7"/>
      <c r="K437" s="6">
        <f t="shared" ca="1" si="125"/>
        <v>0</v>
      </c>
      <c r="L437" s="7">
        <f t="shared" ca="1" si="126"/>
        <v>0</v>
      </c>
      <c r="N437" s="7"/>
      <c r="O437" s="7"/>
      <c r="P437" s="7"/>
      <c r="Q437" s="7"/>
      <c r="R437" s="7"/>
      <c r="S437" s="7"/>
      <c r="T437" s="7"/>
      <c r="U437" s="7"/>
      <c r="W437" s="7"/>
      <c r="AL437" s="16"/>
      <c r="AM437" s="16"/>
      <c r="AN437" s="16"/>
      <c r="AO437" s="16"/>
      <c r="AP437" s="16"/>
      <c r="AQ437" s="16"/>
      <c r="AR437" s="16"/>
      <c r="AS437" s="16"/>
      <c r="AT437" s="18"/>
      <c r="AU437" s="16"/>
      <c r="AV437" s="18"/>
    </row>
    <row r="438" spans="1:48" hidden="1" outlineLevel="1">
      <c r="A438" s="30" t="s">
        <v>32</v>
      </c>
      <c r="B438" s="6" t="s">
        <v>32</v>
      </c>
      <c r="C438" s="5">
        <v>0</v>
      </c>
      <c r="D438" s="6">
        <f t="shared" ca="1" si="116"/>
        <v>0</v>
      </c>
      <c r="E438" s="7"/>
      <c r="F438" s="7"/>
      <c r="G438" s="7"/>
      <c r="H438" s="7"/>
      <c r="I438" s="7"/>
      <c r="J438" s="7"/>
      <c r="K438" s="6">
        <f t="shared" ca="1" si="125"/>
        <v>0</v>
      </c>
      <c r="L438" s="7">
        <f t="shared" ca="1" si="126"/>
        <v>0</v>
      </c>
      <c r="N438" s="7"/>
      <c r="O438" s="7"/>
      <c r="P438" s="7"/>
      <c r="Q438" s="7"/>
      <c r="R438" s="7"/>
      <c r="S438" s="7"/>
      <c r="T438" s="7"/>
      <c r="U438" s="7"/>
      <c r="W438" s="7"/>
      <c r="AL438" s="16"/>
      <c r="AM438" s="16"/>
      <c r="AN438" s="16"/>
      <c r="AO438" s="16"/>
      <c r="AP438" s="16"/>
      <c r="AQ438" s="16"/>
      <c r="AR438" s="16"/>
      <c r="AS438" s="16"/>
      <c r="AT438" s="18"/>
      <c r="AU438" s="16"/>
      <c r="AV438" s="18"/>
    </row>
    <row r="439" spans="1:48" outlineLevel="1">
      <c r="B439" s="8" t="s">
        <v>22</v>
      </c>
      <c r="C439" s="8">
        <f ca="1">SUM(C426:C438)</f>
        <v>1.2492057903075831</v>
      </c>
      <c r="D439" s="8">
        <f t="shared" ref="D439:L439" ca="1" si="127">SUM(D426:D438)</f>
        <v>0</v>
      </c>
      <c r="E439" s="8">
        <f t="shared" ca="1" si="127"/>
        <v>0</v>
      </c>
      <c r="F439" s="8">
        <f t="shared" ca="1" si="127"/>
        <v>0</v>
      </c>
      <c r="G439" s="8">
        <f t="shared" ca="1" si="127"/>
        <v>1.2492057903075831</v>
      </c>
      <c r="H439" s="8">
        <f t="shared" ca="1" si="127"/>
        <v>0</v>
      </c>
      <c r="I439" s="8">
        <f t="shared" ca="1" si="127"/>
        <v>0</v>
      </c>
      <c r="J439" s="8">
        <f t="shared" ca="1" si="127"/>
        <v>0</v>
      </c>
      <c r="K439" s="8">
        <f t="shared" ca="1" si="127"/>
        <v>0</v>
      </c>
      <c r="L439" s="8">
        <f t="shared" ca="1" si="127"/>
        <v>1.2492057903075831</v>
      </c>
      <c r="N439" s="8"/>
      <c r="O439" s="8"/>
      <c r="P439" s="8"/>
      <c r="Q439" s="8"/>
      <c r="R439" s="8"/>
      <c r="S439" s="8"/>
      <c r="T439" s="8"/>
      <c r="U439" s="8"/>
      <c r="W439" s="8"/>
      <c r="AL439" s="11"/>
      <c r="AM439" s="11"/>
      <c r="AN439" s="11"/>
      <c r="AO439" s="11"/>
      <c r="AP439" s="11"/>
      <c r="AQ439" s="11"/>
      <c r="AR439" s="11"/>
      <c r="AS439" s="11"/>
      <c r="AT439" s="18"/>
      <c r="AU439" s="11"/>
      <c r="AV439" s="18"/>
    </row>
    <row r="440" spans="1:48" outlineLevel="1"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</row>
    <row r="441" spans="1:48" hidden="1" outlineLevel="1">
      <c r="B441" s="1" t="s">
        <v>284</v>
      </c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</row>
    <row r="442" spans="1:48" hidden="1" outlineLevel="1">
      <c r="A442" s="30">
        <v>856</v>
      </c>
      <c r="B442" s="6" t="s">
        <v>172</v>
      </c>
      <c r="C442" s="5">
        <v>0</v>
      </c>
      <c r="D442" s="6">
        <f t="shared" ref="D442:D447" ca="1" si="128">E442+F442</f>
        <v>0</v>
      </c>
      <c r="E442" s="7"/>
      <c r="F442" s="7"/>
      <c r="G442" s="7"/>
      <c r="H442" s="7"/>
      <c r="I442" s="7"/>
      <c r="J442" s="7"/>
      <c r="K442" s="6">
        <f t="shared" ref="K442:K447" ca="1" si="129">+I442+J442</f>
        <v>0</v>
      </c>
      <c r="L442" s="7">
        <f t="shared" ref="L442:L447" ca="1" si="130">D442+G442+H442+K442</f>
        <v>0</v>
      </c>
      <c r="N442" s="6" t="s">
        <v>170</v>
      </c>
      <c r="O442" s="6" t="s">
        <v>29</v>
      </c>
      <c r="P442" s="6" t="s">
        <v>171</v>
      </c>
      <c r="Q442" s="6"/>
      <c r="R442" s="6"/>
      <c r="S442" s="7"/>
      <c r="T442" s="7"/>
      <c r="U442" s="7"/>
      <c r="W442" s="7"/>
      <c r="Z442" s="22"/>
      <c r="AA442" s="22"/>
      <c r="AL442" s="14"/>
      <c r="AM442" s="14"/>
      <c r="AN442" s="14"/>
      <c r="AO442" s="16"/>
      <c r="AP442" s="16"/>
      <c r="AQ442" s="16"/>
      <c r="AR442" s="16"/>
      <c r="AS442" s="16"/>
      <c r="AT442" s="18"/>
      <c r="AU442" s="14"/>
      <c r="AV442" s="18"/>
    </row>
    <row r="443" spans="1:48" hidden="1" outlineLevel="1">
      <c r="A443" s="30">
        <v>857</v>
      </c>
      <c r="B443" s="6" t="s">
        <v>146</v>
      </c>
      <c r="C443" s="5">
        <v>0</v>
      </c>
      <c r="D443" s="6">
        <f t="shared" ca="1" si="128"/>
        <v>0</v>
      </c>
      <c r="E443" s="7"/>
      <c r="F443" s="7"/>
      <c r="G443" s="7"/>
      <c r="H443" s="7"/>
      <c r="I443" s="7"/>
      <c r="J443" s="7"/>
      <c r="K443" s="6">
        <f t="shared" ca="1" si="129"/>
        <v>0</v>
      </c>
      <c r="L443" s="7">
        <f t="shared" ca="1" si="130"/>
        <v>0</v>
      </c>
      <c r="N443" s="6" t="s">
        <v>170</v>
      </c>
      <c r="O443" s="6" t="s">
        <v>29</v>
      </c>
      <c r="P443" s="6" t="s">
        <v>171</v>
      </c>
      <c r="Q443" s="6"/>
      <c r="R443" s="6"/>
      <c r="S443" s="7"/>
      <c r="T443" s="7"/>
      <c r="U443" s="7"/>
      <c r="W443" s="7"/>
      <c r="Z443" s="22"/>
      <c r="AA443" s="22"/>
      <c r="AL443" s="14"/>
      <c r="AM443" s="14"/>
      <c r="AN443" s="14"/>
      <c r="AO443" s="16"/>
      <c r="AP443" s="16"/>
      <c r="AQ443" s="16"/>
      <c r="AR443" s="16"/>
      <c r="AS443" s="16"/>
      <c r="AT443" s="18"/>
      <c r="AU443" s="14"/>
      <c r="AV443" s="18"/>
    </row>
    <row r="444" spans="1:48" hidden="1" outlineLevel="1">
      <c r="A444" s="30">
        <v>862</v>
      </c>
      <c r="B444" s="6" t="s">
        <v>174</v>
      </c>
      <c r="C444" s="5">
        <v>0</v>
      </c>
      <c r="D444" s="6">
        <f t="shared" ca="1" si="128"/>
        <v>0</v>
      </c>
      <c r="E444" s="7"/>
      <c r="F444" s="7"/>
      <c r="G444" s="7"/>
      <c r="H444" s="7"/>
      <c r="I444" s="7"/>
      <c r="J444" s="7"/>
      <c r="K444" s="6">
        <f t="shared" ca="1" si="129"/>
        <v>0</v>
      </c>
      <c r="L444" s="7">
        <f t="shared" ca="1" si="130"/>
        <v>0</v>
      </c>
      <c r="N444" s="6" t="s">
        <v>170</v>
      </c>
      <c r="O444" s="6" t="s">
        <v>29</v>
      </c>
      <c r="P444" s="6" t="s">
        <v>171</v>
      </c>
      <c r="Q444" s="6"/>
      <c r="R444" s="6"/>
      <c r="S444" s="7"/>
      <c r="T444" s="7"/>
      <c r="U444" s="7"/>
      <c r="W444" s="7"/>
      <c r="Z444" s="22"/>
      <c r="AA444" s="22"/>
      <c r="AL444" s="14"/>
      <c r="AM444" s="14"/>
      <c r="AN444" s="14"/>
      <c r="AO444" s="16"/>
      <c r="AP444" s="16"/>
      <c r="AQ444" s="16"/>
      <c r="AR444" s="16"/>
      <c r="AS444" s="16"/>
      <c r="AT444" s="18"/>
      <c r="AU444" s="14"/>
      <c r="AV444" s="18"/>
    </row>
    <row r="445" spans="1:48" hidden="1" outlineLevel="1">
      <c r="A445" s="30">
        <v>863</v>
      </c>
      <c r="B445" s="6" t="s">
        <v>176</v>
      </c>
      <c r="C445" s="5">
        <v>0</v>
      </c>
      <c r="D445" s="6">
        <f t="shared" ca="1" si="128"/>
        <v>0</v>
      </c>
      <c r="E445" s="7"/>
      <c r="F445" s="7"/>
      <c r="G445" s="7"/>
      <c r="H445" s="7"/>
      <c r="I445" s="7"/>
      <c r="J445" s="7"/>
      <c r="K445" s="6">
        <f t="shared" ca="1" si="129"/>
        <v>0</v>
      </c>
      <c r="L445" s="7">
        <f t="shared" ca="1" si="130"/>
        <v>0</v>
      </c>
      <c r="N445" s="6" t="s">
        <v>170</v>
      </c>
      <c r="O445" s="6" t="s">
        <v>29</v>
      </c>
      <c r="P445" s="6" t="s">
        <v>171</v>
      </c>
      <c r="Q445" s="6"/>
      <c r="R445" s="6"/>
      <c r="S445" s="7"/>
      <c r="T445" s="7"/>
      <c r="U445" s="7"/>
      <c r="W445" s="7"/>
      <c r="Z445" s="22"/>
      <c r="AA445" s="22"/>
      <c r="AL445" s="14"/>
      <c r="AM445" s="14"/>
      <c r="AN445" s="14"/>
      <c r="AO445" s="16"/>
      <c r="AP445" s="16"/>
      <c r="AQ445" s="16"/>
      <c r="AR445" s="16"/>
      <c r="AS445" s="16"/>
      <c r="AT445" s="18"/>
      <c r="AU445" s="14"/>
      <c r="AV445" s="18"/>
    </row>
    <row r="446" spans="1:48" hidden="1" outlineLevel="1">
      <c r="A446" s="30">
        <v>865</v>
      </c>
      <c r="B446" s="6" t="s">
        <v>153</v>
      </c>
      <c r="C446" s="5">
        <v>0</v>
      </c>
      <c r="D446" s="6">
        <f t="shared" ca="1" si="128"/>
        <v>0</v>
      </c>
      <c r="E446" s="7"/>
      <c r="F446" s="7"/>
      <c r="G446" s="7"/>
      <c r="H446" s="7"/>
      <c r="I446" s="7"/>
      <c r="J446" s="7"/>
      <c r="K446" s="6">
        <f t="shared" ca="1" si="129"/>
        <v>0</v>
      </c>
      <c r="L446" s="7">
        <f t="shared" ca="1" si="130"/>
        <v>0</v>
      </c>
      <c r="N446" s="6" t="s">
        <v>170</v>
      </c>
      <c r="O446" s="6" t="s">
        <v>29</v>
      </c>
      <c r="P446" s="6" t="s">
        <v>171</v>
      </c>
      <c r="Q446" s="6"/>
      <c r="R446" s="6"/>
      <c r="S446" s="7"/>
      <c r="T446" s="7"/>
      <c r="U446" s="7"/>
      <c r="W446" s="7"/>
      <c r="Z446" s="22"/>
      <c r="AA446" s="22"/>
      <c r="AL446" s="14"/>
      <c r="AM446" s="14"/>
      <c r="AN446" s="14"/>
      <c r="AO446" s="16"/>
      <c r="AP446" s="16"/>
      <c r="AQ446" s="16"/>
      <c r="AR446" s="16"/>
      <c r="AS446" s="16"/>
      <c r="AT446" s="18"/>
      <c r="AU446" s="14"/>
      <c r="AV446" s="18"/>
    </row>
    <row r="447" spans="1:48" hidden="1" outlineLevel="1">
      <c r="A447" s="30">
        <v>867</v>
      </c>
      <c r="B447" s="6" t="s">
        <v>159</v>
      </c>
      <c r="C447" s="5">
        <v>0</v>
      </c>
      <c r="D447" s="6">
        <f t="shared" ca="1" si="128"/>
        <v>0</v>
      </c>
      <c r="E447" s="7"/>
      <c r="F447" s="7"/>
      <c r="G447" s="7"/>
      <c r="H447" s="7"/>
      <c r="I447" s="7"/>
      <c r="J447" s="7"/>
      <c r="K447" s="6">
        <f t="shared" ca="1" si="129"/>
        <v>0</v>
      </c>
      <c r="L447" s="7">
        <f t="shared" ca="1" si="130"/>
        <v>0</v>
      </c>
      <c r="N447" s="6" t="s">
        <v>170</v>
      </c>
      <c r="O447" s="6" t="s">
        <v>29</v>
      </c>
      <c r="P447" s="6" t="s">
        <v>171</v>
      </c>
      <c r="Q447" s="6"/>
      <c r="R447" s="6"/>
      <c r="S447" s="7"/>
      <c r="T447" s="7"/>
      <c r="U447" s="7"/>
      <c r="W447" s="7"/>
      <c r="Z447" s="22"/>
      <c r="AA447" s="22"/>
      <c r="AL447" s="14"/>
      <c r="AM447" s="14"/>
      <c r="AN447" s="14"/>
      <c r="AO447" s="16"/>
      <c r="AP447" s="16"/>
      <c r="AQ447" s="16"/>
      <c r="AR447" s="16"/>
      <c r="AS447" s="16"/>
      <c r="AT447" s="18"/>
      <c r="AU447" s="14"/>
      <c r="AV447" s="18"/>
    </row>
    <row r="448" spans="1:48" hidden="1" outlineLevel="1">
      <c r="B448" s="8" t="s">
        <v>22</v>
      </c>
      <c r="C448" s="8">
        <f t="shared" ref="C448:L448" ca="1" si="131">SUM(C442:C447)</f>
        <v>0</v>
      </c>
      <c r="D448" s="8">
        <f t="shared" ca="1" si="131"/>
        <v>0</v>
      </c>
      <c r="E448" s="8">
        <f t="shared" ca="1" si="131"/>
        <v>0</v>
      </c>
      <c r="F448" s="8">
        <f t="shared" ca="1" si="131"/>
        <v>0</v>
      </c>
      <c r="G448" s="8">
        <f t="shared" ca="1" si="131"/>
        <v>0</v>
      </c>
      <c r="H448" s="8">
        <f t="shared" ca="1" si="131"/>
        <v>0</v>
      </c>
      <c r="I448" s="8">
        <f t="shared" ca="1" si="131"/>
        <v>0</v>
      </c>
      <c r="J448" s="8">
        <f t="shared" ca="1" si="131"/>
        <v>0</v>
      </c>
      <c r="K448" s="8">
        <f t="shared" ca="1" si="131"/>
        <v>0</v>
      </c>
      <c r="L448" s="8">
        <f t="shared" ca="1" si="131"/>
        <v>0</v>
      </c>
      <c r="N448" s="8"/>
      <c r="O448" s="8"/>
      <c r="P448" s="8"/>
      <c r="Q448" s="8"/>
      <c r="R448" s="8"/>
      <c r="S448" s="8"/>
      <c r="T448" s="8"/>
      <c r="U448" s="8"/>
      <c r="W448" s="8"/>
      <c r="AL448" s="11"/>
      <c r="AM448" s="11"/>
      <c r="AN448" s="11"/>
      <c r="AO448" s="11"/>
      <c r="AP448" s="11"/>
      <c r="AQ448" s="11"/>
      <c r="AR448" s="11"/>
      <c r="AS448" s="11"/>
      <c r="AT448" s="18"/>
      <c r="AU448" s="11"/>
      <c r="AV448" s="18"/>
    </row>
    <row r="449" spans="1:48" hidden="1" outlineLevel="1"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</row>
    <row r="450" spans="1:48" outlineLevel="1">
      <c r="B450" s="1" t="s">
        <v>285</v>
      </c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</row>
    <row r="451" spans="1:48" outlineLevel="1">
      <c r="A451" s="30">
        <v>870</v>
      </c>
      <c r="B451" s="6" t="s">
        <v>178</v>
      </c>
      <c r="C451" s="5">
        <v>1460818.1570911759</v>
      </c>
      <c r="D451" s="6">
        <f t="shared" ref="D451:D472" ca="1" si="132">E451+F451</f>
        <v>1413501.7162396039</v>
      </c>
      <c r="E451" s="7">
        <v>1413501.7162396039</v>
      </c>
      <c r="F451" s="7"/>
      <c r="G451" s="7">
        <v>47316.440851572064</v>
      </c>
      <c r="H451" s="7"/>
      <c r="I451" s="7"/>
      <c r="J451" s="7"/>
      <c r="K451" s="6">
        <f t="shared" ref="K451:K472" ca="1" si="133">+I451+J451</f>
        <v>0</v>
      </c>
      <c r="L451" s="7">
        <f t="shared" ref="L451:L472" ca="1" si="134">D451+G451+H451+K451</f>
        <v>1460818.1570911759</v>
      </c>
      <c r="N451" s="6"/>
      <c r="O451" s="6"/>
      <c r="P451" s="6"/>
      <c r="Q451" s="7"/>
      <c r="R451" s="7"/>
      <c r="S451" s="7"/>
      <c r="T451" s="7"/>
      <c r="U451" s="7"/>
      <c r="W451" s="7" t="s">
        <v>179</v>
      </c>
      <c r="Z451" s="22"/>
      <c r="AA451" s="22"/>
      <c r="AL451" s="14"/>
      <c r="AM451" s="14"/>
      <c r="AN451" s="14"/>
      <c r="AO451" s="16"/>
      <c r="AP451" s="16"/>
      <c r="AQ451" s="16"/>
      <c r="AR451" s="16"/>
      <c r="AS451" s="16"/>
      <c r="AT451" s="18"/>
      <c r="AU451" s="16"/>
      <c r="AV451" s="18"/>
    </row>
    <row r="452" spans="1:48" outlineLevel="1">
      <c r="A452" s="30">
        <v>871</v>
      </c>
      <c r="B452" s="6" t="s">
        <v>180</v>
      </c>
      <c r="C452" s="5">
        <v>1084858.266948058</v>
      </c>
      <c r="D452" s="6">
        <f t="shared" ca="1" si="132"/>
        <v>1049693.5335733509</v>
      </c>
      <c r="E452" s="7">
        <v>1049693.5335733509</v>
      </c>
      <c r="F452" s="7"/>
      <c r="G452" s="7">
        <v>35164.733374707255</v>
      </c>
      <c r="H452" s="7"/>
      <c r="I452" s="7"/>
      <c r="J452" s="7"/>
      <c r="K452" s="6">
        <f t="shared" ca="1" si="133"/>
        <v>0</v>
      </c>
      <c r="L452" s="7">
        <f t="shared" ca="1" si="134"/>
        <v>1084858.266948058</v>
      </c>
      <c r="N452" s="39" t="s">
        <v>56</v>
      </c>
      <c r="O452" s="6" t="s">
        <v>36</v>
      </c>
      <c r="P452" s="6"/>
      <c r="Q452" s="7" t="s">
        <v>37</v>
      </c>
      <c r="R452" s="7"/>
      <c r="S452" s="7"/>
      <c r="T452" s="7"/>
      <c r="U452" s="7"/>
      <c r="W452" s="7"/>
      <c r="Z452" s="22"/>
      <c r="AA452" s="22"/>
      <c r="AL452" s="42"/>
      <c r="AM452" s="14"/>
      <c r="AN452" s="14"/>
      <c r="AO452" s="16"/>
      <c r="AP452" s="16"/>
      <c r="AQ452" s="16"/>
      <c r="AR452" s="16"/>
      <c r="AS452" s="16"/>
      <c r="AT452" s="18"/>
      <c r="AU452" s="16"/>
      <c r="AV452" s="18"/>
    </row>
    <row r="453" spans="1:48" outlineLevel="1">
      <c r="A453" s="30">
        <v>874</v>
      </c>
      <c r="B453" s="6" t="s">
        <v>181</v>
      </c>
      <c r="C453" s="5">
        <v>6316156.1249431092</v>
      </c>
      <c r="D453" s="6">
        <f t="shared" ca="1" si="132"/>
        <v>6129048.2427877532</v>
      </c>
      <c r="E453" s="7">
        <v>6129048.2427877532</v>
      </c>
      <c r="F453" s="7"/>
      <c r="G453" s="7">
        <v>187107.88215535562</v>
      </c>
      <c r="H453" s="7"/>
      <c r="I453" s="7"/>
      <c r="J453" s="7"/>
      <c r="K453" s="6">
        <f t="shared" ca="1" si="133"/>
        <v>0</v>
      </c>
      <c r="L453" s="7">
        <f t="shared" ca="1" si="134"/>
        <v>6316156.1249431092</v>
      </c>
      <c r="N453" s="6"/>
      <c r="O453" s="6"/>
      <c r="P453" s="6"/>
      <c r="Q453" s="7"/>
      <c r="R453" s="7"/>
      <c r="S453" s="7"/>
      <c r="T453" s="7"/>
      <c r="U453" s="7"/>
      <c r="W453" s="7" t="s">
        <v>182</v>
      </c>
      <c r="Z453" s="22"/>
      <c r="AA453" s="22"/>
      <c r="AL453" s="14"/>
      <c r="AM453" s="14"/>
      <c r="AN453" s="14"/>
      <c r="AO453" s="16"/>
      <c r="AP453" s="16"/>
      <c r="AQ453" s="16"/>
      <c r="AR453" s="16"/>
      <c r="AS453" s="16"/>
      <c r="AT453" s="18"/>
      <c r="AU453" s="16"/>
      <c r="AV453" s="18"/>
    </row>
    <row r="454" spans="1:48" outlineLevel="1">
      <c r="A454" s="30">
        <v>875</v>
      </c>
      <c r="B454" s="6" t="s">
        <v>183</v>
      </c>
      <c r="C454" s="5">
        <v>1405285.1880217583</v>
      </c>
      <c r="D454" s="6">
        <f t="shared" ca="1" si="132"/>
        <v>1357598.9871083046</v>
      </c>
      <c r="E454" s="7">
        <v>1357598.9871083046</v>
      </c>
      <c r="F454" s="7"/>
      <c r="G454" s="7">
        <v>47686.200913453802</v>
      </c>
      <c r="H454" s="7"/>
      <c r="I454" s="7"/>
      <c r="J454" s="7"/>
      <c r="K454" s="6">
        <f t="shared" ca="1" si="133"/>
        <v>0</v>
      </c>
      <c r="L454" s="7">
        <f t="shared" ca="1" si="134"/>
        <v>1405285.1880217583</v>
      </c>
      <c r="N454" s="6" t="s">
        <v>56</v>
      </c>
      <c r="O454" s="6" t="s">
        <v>29</v>
      </c>
      <c r="P454" s="7" t="s">
        <v>171</v>
      </c>
      <c r="Q454" s="7"/>
      <c r="R454" s="7"/>
      <c r="S454" s="7"/>
      <c r="T454" s="7"/>
      <c r="U454" s="7"/>
      <c r="W454" s="7"/>
      <c r="Z454" s="22"/>
      <c r="AA454" s="22"/>
      <c r="AL454" s="14"/>
      <c r="AM454" s="14"/>
      <c r="AN454" s="16"/>
      <c r="AO454" s="16"/>
      <c r="AP454" s="16"/>
      <c r="AQ454" s="16"/>
      <c r="AR454" s="16"/>
      <c r="AS454" s="16"/>
      <c r="AT454" s="18"/>
      <c r="AU454" s="16"/>
      <c r="AV454" s="18"/>
    </row>
    <row r="455" spans="1:48" outlineLevel="1">
      <c r="A455" s="30">
        <v>876</v>
      </c>
      <c r="B455" s="6" t="s">
        <v>184</v>
      </c>
      <c r="C455" s="5">
        <v>46304.113186108778</v>
      </c>
      <c r="D455" s="6">
        <f t="shared" ca="1" si="132"/>
        <v>44479.792246413395</v>
      </c>
      <c r="E455" s="7">
        <v>44479.792246413395</v>
      </c>
      <c r="F455" s="7"/>
      <c r="G455" s="7">
        <v>1824.3209396953798</v>
      </c>
      <c r="H455" s="7"/>
      <c r="I455" s="7"/>
      <c r="J455" s="7"/>
      <c r="K455" s="6">
        <f t="shared" ca="1" si="133"/>
        <v>0</v>
      </c>
      <c r="L455" s="7">
        <f t="shared" ca="1" si="134"/>
        <v>46304.113186108778</v>
      </c>
      <c r="N455" s="6"/>
      <c r="O455" s="6"/>
      <c r="P455" s="6"/>
      <c r="Q455" s="7"/>
      <c r="R455" s="7"/>
      <c r="S455" s="7"/>
      <c r="T455" s="7"/>
      <c r="U455" s="7"/>
      <c r="W455" s="7" t="s">
        <v>185</v>
      </c>
      <c r="Z455" s="22"/>
      <c r="AA455" s="22"/>
      <c r="AL455" s="14"/>
      <c r="AM455" s="14"/>
      <c r="AN455" s="14"/>
      <c r="AO455" s="16"/>
      <c r="AP455" s="16"/>
      <c r="AQ455" s="16"/>
      <c r="AR455" s="16"/>
      <c r="AS455" s="16"/>
      <c r="AT455" s="18"/>
      <c r="AU455" s="16"/>
      <c r="AV455" s="18"/>
    </row>
    <row r="456" spans="1:48" outlineLevel="1">
      <c r="A456" s="30">
        <v>878</v>
      </c>
      <c r="B456" s="6" t="s">
        <v>186</v>
      </c>
      <c r="C456" s="5">
        <v>3454106.6430440666</v>
      </c>
      <c r="D456" s="6">
        <f t="shared" ca="1" si="132"/>
        <v>3354289.316600367</v>
      </c>
      <c r="E456" s="7">
        <v>3354289.316600367</v>
      </c>
      <c r="F456" s="7"/>
      <c r="G456" s="7">
        <v>99817.32644369964</v>
      </c>
      <c r="H456" s="7"/>
      <c r="I456" s="7"/>
      <c r="J456" s="7"/>
      <c r="K456" s="6">
        <f t="shared" ca="1" si="133"/>
        <v>0</v>
      </c>
      <c r="L456" s="7">
        <f t="shared" ca="1" si="134"/>
        <v>3454106.6430440666</v>
      </c>
      <c r="N456" s="6"/>
      <c r="O456" s="6"/>
      <c r="P456" s="6"/>
      <c r="Q456" s="7"/>
      <c r="R456" s="7"/>
      <c r="S456" s="7"/>
      <c r="T456" s="7"/>
      <c r="U456" s="7"/>
      <c r="W456" s="7" t="s">
        <v>187</v>
      </c>
      <c r="Z456" s="22"/>
      <c r="AA456" s="22"/>
      <c r="AL456" s="14"/>
      <c r="AM456" s="14"/>
      <c r="AN456" s="14"/>
      <c r="AO456" s="16"/>
      <c r="AP456" s="16"/>
      <c r="AQ456" s="16"/>
      <c r="AR456" s="16"/>
      <c r="AS456" s="16"/>
      <c r="AT456" s="18"/>
      <c r="AU456" s="16"/>
      <c r="AV456" s="18"/>
    </row>
    <row r="457" spans="1:48" outlineLevel="1">
      <c r="A457" s="30">
        <v>879</v>
      </c>
      <c r="B457" s="6" t="s">
        <v>188</v>
      </c>
      <c r="C457" s="5">
        <v>4090480.5846313885</v>
      </c>
      <c r="D457" s="6">
        <f t="shared" ca="1" si="132"/>
        <v>3972355.8823358333</v>
      </c>
      <c r="E457" s="7">
        <v>3972355.8823358333</v>
      </c>
      <c r="F457" s="7"/>
      <c r="G457" s="7">
        <v>118124.70229555508</v>
      </c>
      <c r="H457" s="7"/>
      <c r="I457" s="7"/>
      <c r="J457" s="7"/>
      <c r="K457" s="6">
        <f t="shared" ca="1" si="133"/>
        <v>0</v>
      </c>
      <c r="L457" s="7">
        <f t="shared" ca="1" si="134"/>
        <v>4090480.5846313885</v>
      </c>
      <c r="N457" s="6"/>
      <c r="O457" s="6"/>
      <c r="P457" s="6"/>
      <c r="Q457" s="7"/>
      <c r="R457" s="7"/>
      <c r="S457" s="7"/>
      <c r="T457" s="7"/>
      <c r="U457" s="7"/>
      <c r="W457" s="7" t="s">
        <v>189</v>
      </c>
      <c r="Z457" s="22"/>
      <c r="AA457" s="22"/>
      <c r="AL457" s="14"/>
      <c r="AM457" s="14"/>
      <c r="AN457" s="14"/>
      <c r="AO457" s="16"/>
      <c r="AP457" s="16"/>
      <c r="AQ457" s="16"/>
      <c r="AR457" s="16"/>
      <c r="AS457" s="16"/>
      <c r="AT457" s="18"/>
      <c r="AU457" s="16"/>
      <c r="AV457" s="18"/>
    </row>
    <row r="458" spans="1:48" outlineLevel="1">
      <c r="A458" s="30">
        <v>880</v>
      </c>
      <c r="B458" s="6" t="s">
        <v>190</v>
      </c>
      <c r="C458" s="5">
        <v>3300690.6868879674</v>
      </c>
      <c r="D458" s="6">
        <f t="shared" ca="1" si="132"/>
        <v>3206816.8668301716</v>
      </c>
      <c r="E458" s="7">
        <v>3206816.8668301716</v>
      </c>
      <c r="F458" s="7"/>
      <c r="G458" s="7">
        <v>93873.820057796052</v>
      </c>
      <c r="H458" s="7"/>
      <c r="I458" s="7"/>
      <c r="J458" s="7"/>
      <c r="K458" s="6">
        <f t="shared" ca="1" si="133"/>
        <v>0</v>
      </c>
      <c r="L458" s="7">
        <f t="shared" ca="1" si="134"/>
        <v>3300690.6868879674</v>
      </c>
      <c r="N458" s="6"/>
      <c r="O458" s="6"/>
      <c r="P458" s="6"/>
      <c r="Q458" s="7"/>
      <c r="R458" s="7"/>
      <c r="S458" s="7"/>
      <c r="T458" s="7"/>
      <c r="U458" s="7"/>
      <c r="W458" s="7" t="s">
        <v>191</v>
      </c>
      <c r="Z458" s="22"/>
      <c r="AA458" s="22"/>
      <c r="AL458" s="14"/>
      <c r="AM458" s="14"/>
      <c r="AN458" s="14"/>
      <c r="AO458" s="16"/>
      <c r="AP458" s="16"/>
      <c r="AQ458" s="16"/>
      <c r="AR458" s="16"/>
      <c r="AS458" s="16"/>
      <c r="AT458" s="18"/>
      <c r="AU458" s="16"/>
      <c r="AV458" s="18"/>
    </row>
    <row r="459" spans="1:48" outlineLevel="1">
      <c r="A459" s="30">
        <v>887</v>
      </c>
      <c r="B459" s="6" t="s">
        <v>175</v>
      </c>
      <c r="C459" s="5">
        <v>2380971.4164365763</v>
      </c>
      <c r="D459" s="6">
        <f t="shared" ca="1" si="132"/>
        <v>2310084.8368099993</v>
      </c>
      <c r="E459" s="7">
        <v>2310084.8368099993</v>
      </c>
      <c r="F459" s="7"/>
      <c r="G459" s="7">
        <v>70886.579626577179</v>
      </c>
      <c r="H459" s="7"/>
      <c r="I459" s="7"/>
      <c r="J459" s="7"/>
      <c r="K459" s="6">
        <f t="shared" ca="1" si="133"/>
        <v>0</v>
      </c>
      <c r="L459" s="7">
        <f t="shared" ca="1" si="134"/>
        <v>2380971.4164365763</v>
      </c>
      <c r="N459" s="6"/>
      <c r="O459" s="6"/>
      <c r="P459" s="6"/>
      <c r="Q459" s="7"/>
      <c r="R459" s="7"/>
      <c r="S459" s="7"/>
      <c r="T459" s="7"/>
      <c r="U459" s="7"/>
      <c r="W459" s="7" t="s">
        <v>194</v>
      </c>
      <c r="Z459" s="22"/>
      <c r="AA459" s="22"/>
      <c r="AL459" s="14"/>
      <c r="AM459" s="14"/>
      <c r="AN459" s="14"/>
      <c r="AO459" s="16"/>
      <c r="AP459" s="16"/>
      <c r="AQ459" s="16"/>
      <c r="AR459" s="16"/>
      <c r="AS459" s="16"/>
      <c r="AT459" s="18"/>
      <c r="AU459" s="16"/>
      <c r="AV459" s="18"/>
    </row>
    <row r="460" spans="1:48" outlineLevel="1">
      <c r="A460" s="30">
        <v>889</v>
      </c>
      <c r="B460" s="6" t="s">
        <v>195</v>
      </c>
      <c r="C460" s="5">
        <v>477174.34526495327</v>
      </c>
      <c r="D460" s="6">
        <f t="shared" ca="1" si="132"/>
        <v>462742.60086249874</v>
      </c>
      <c r="E460" s="7">
        <v>462742.60086249874</v>
      </c>
      <c r="F460" s="7"/>
      <c r="G460" s="7">
        <v>14431.744402454528</v>
      </c>
      <c r="H460" s="7"/>
      <c r="I460" s="7"/>
      <c r="J460" s="7"/>
      <c r="K460" s="6">
        <f t="shared" ca="1" si="133"/>
        <v>0</v>
      </c>
      <c r="L460" s="7">
        <f t="shared" ca="1" si="134"/>
        <v>477174.34526495327</v>
      </c>
      <c r="N460" s="6" t="s">
        <v>56</v>
      </c>
      <c r="O460" s="6" t="s">
        <v>29</v>
      </c>
      <c r="P460" s="7" t="s">
        <v>171</v>
      </c>
      <c r="Q460" s="7"/>
      <c r="R460" s="7"/>
      <c r="S460" s="7"/>
      <c r="T460" s="7"/>
      <c r="U460" s="7"/>
      <c r="W460" s="7"/>
      <c r="Z460" s="22"/>
      <c r="AA460" s="22"/>
      <c r="AL460" s="14"/>
      <c r="AM460" s="14"/>
      <c r="AN460" s="16"/>
      <c r="AO460" s="16"/>
      <c r="AP460" s="16"/>
      <c r="AQ460" s="16"/>
      <c r="AR460" s="16"/>
      <c r="AS460" s="16"/>
      <c r="AT460" s="18"/>
      <c r="AU460" s="16"/>
      <c r="AV460" s="18"/>
    </row>
    <row r="461" spans="1:48" outlineLevel="1">
      <c r="A461" s="30">
        <v>890</v>
      </c>
      <c r="B461" s="6" t="s">
        <v>196</v>
      </c>
      <c r="C461" s="5">
        <v>304917.41592483141</v>
      </c>
      <c r="D461" s="6">
        <f t="shared" ca="1" si="132"/>
        <v>294115.04617831414</v>
      </c>
      <c r="E461" s="7">
        <v>294115.04617831414</v>
      </c>
      <c r="F461" s="7"/>
      <c r="G461" s="7">
        <v>10802.36974651725</v>
      </c>
      <c r="H461" s="7"/>
      <c r="I461" s="7"/>
      <c r="J461" s="7"/>
      <c r="K461" s="6">
        <f t="shared" ca="1" si="133"/>
        <v>0</v>
      </c>
      <c r="L461" s="7">
        <f t="shared" ca="1" si="134"/>
        <v>304917.41592483141</v>
      </c>
      <c r="N461" s="6"/>
      <c r="O461" s="6"/>
      <c r="P461" s="6"/>
      <c r="Q461" s="7"/>
      <c r="R461" s="7"/>
      <c r="S461" s="7"/>
      <c r="T461" s="7"/>
      <c r="U461" s="7"/>
      <c r="W461" s="7" t="s">
        <v>185</v>
      </c>
      <c r="Z461" s="22"/>
      <c r="AA461" s="22"/>
      <c r="AL461" s="14"/>
      <c r="AM461" s="14"/>
      <c r="AN461" s="14"/>
      <c r="AO461" s="16"/>
      <c r="AP461" s="16"/>
      <c r="AQ461" s="16"/>
      <c r="AR461" s="16"/>
      <c r="AS461" s="16"/>
      <c r="AT461" s="18"/>
      <c r="AU461" s="16"/>
      <c r="AV461" s="18"/>
    </row>
    <row r="462" spans="1:48" outlineLevel="1">
      <c r="A462" s="30">
        <v>892</v>
      </c>
      <c r="B462" s="6" t="s">
        <v>197</v>
      </c>
      <c r="C462" s="5">
        <v>775558.94657115336</v>
      </c>
      <c r="D462" s="6">
        <f t="shared" ca="1" si="132"/>
        <v>752375.00840116723</v>
      </c>
      <c r="E462" s="7">
        <v>752375.00840116723</v>
      </c>
      <c r="F462" s="7"/>
      <c r="G462" s="7">
        <v>23183.938169986151</v>
      </c>
      <c r="H462" s="7"/>
      <c r="I462" s="7"/>
      <c r="J462" s="7"/>
      <c r="K462" s="6">
        <f t="shared" ca="1" si="133"/>
        <v>0</v>
      </c>
      <c r="L462" s="7">
        <f t="shared" ca="1" si="134"/>
        <v>775558.94657115336</v>
      </c>
      <c r="N462" s="6"/>
      <c r="O462" s="6"/>
      <c r="P462" s="6"/>
      <c r="Q462" s="7"/>
      <c r="R462" s="7"/>
      <c r="S462" s="7"/>
      <c r="T462" s="7"/>
      <c r="U462" s="7"/>
      <c r="W462" s="7" t="s">
        <v>198</v>
      </c>
      <c r="Z462" s="22"/>
      <c r="AA462" s="22"/>
      <c r="AL462" s="14"/>
      <c r="AM462" s="14"/>
      <c r="AN462" s="14"/>
      <c r="AO462" s="16"/>
      <c r="AP462" s="16"/>
      <c r="AQ462" s="16"/>
      <c r="AR462" s="16"/>
      <c r="AS462" s="16"/>
      <c r="AT462" s="18"/>
      <c r="AU462" s="16"/>
      <c r="AV462" s="18"/>
    </row>
    <row r="463" spans="1:48" outlineLevel="1">
      <c r="A463" s="30">
        <v>893</v>
      </c>
      <c r="B463" s="6" t="s">
        <v>199</v>
      </c>
      <c r="C463" s="5">
        <v>702088.67061976378</v>
      </c>
      <c r="D463" s="6">
        <f t="shared" ca="1" si="132"/>
        <v>681578.80880703521</v>
      </c>
      <c r="E463" s="7">
        <v>681578.80880703521</v>
      </c>
      <c r="F463" s="7"/>
      <c r="G463" s="7">
        <v>20509.861812728526</v>
      </c>
      <c r="H463" s="7"/>
      <c r="I463" s="7"/>
      <c r="J463" s="7"/>
      <c r="K463" s="6">
        <f t="shared" ca="1" si="133"/>
        <v>0</v>
      </c>
      <c r="L463" s="7">
        <f t="shared" ca="1" si="134"/>
        <v>702088.67061976378</v>
      </c>
      <c r="N463" s="6"/>
      <c r="O463" s="6"/>
      <c r="P463" s="6"/>
      <c r="Q463" s="7"/>
      <c r="R463" s="7"/>
      <c r="S463" s="7"/>
      <c r="T463" s="7"/>
      <c r="U463" s="7"/>
      <c r="W463" s="7" t="s">
        <v>187</v>
      </c>
      <c r="Z463" s="22"/>
      <c r="AA463" s="22"/>
      <c r="AL463" s="14"/>
      <c r="AM463" s="14"/>
      <c r="AN463" s="14"/>
      <c r="AO463" s="16"/>
      <c r="AP463" s="16"/>
      <c r="AQ463" s="16"/>
      <c r="AR463" s="16"/>
      <c r="AS463" s="16"/>
      <c r="AT463" s="18"/>
      <c r="AU463" s="16"/>
      <c r="AV463" s="18"/>
    </row>
    <row r="464" spans="1:48" outlineLevel="1">
      <c r="A464" s="30">
        <v>894</v>
      </c>
      <c r="B464" s="6" t="s">
        <v>159</v>
      </c>
      <c r="C464" s="5">
        <v>987610.16218144551</v>
      </c>
      <c r="D464" s="6">
        <f t="shared" ca="1" si="132"/>
        <v>964516.17528878234</v>
      </c>
      <c r="E464" s="7">
        <v>964516.17528878234</v>
      </c>
      <c r="F464" s="7"/>
      <c r="G464" s="7">
        <v>23093.986892663223</v>
      </c>
      <c r="H464" s="7"/>
      <c r="I464" s="7"/>
      <c r="J464" s="7"/>
      <c r="K464" s="6">
        <f t="shared" ca="1" si="133"/>
        <v>0</v>
      </c>
      <c r="L464" s="7">
        <f t="shared" ca="1" si="134"/>
        <v>987610.16218144551</v>
      </c>
      <c r="N464" s="6"/>
      <c r="O464" s="6"/>
      <c r="P464" s="6"/>
      <c r="Q464" s="7"/>
      <c r="R464" s="7"/>
      <c r="S464" s="7"/>
      <c r="T464" s="7"/>
      <c r="U464" s="7"/>
      <c r="W464" s="7" t="s">
        <v>200</v>
      </c>
      <c r="Z464" s="22"/>
      <c r="AA464" s="22"/>
      <c r="AL464" s="14"/>
      <c r="AM464" s="14"/>
      <c r="AN464" s="14"/>
      <c r="AO464" s="16"/>
      <c r="AP464" s="16"/>
      <c r="AQ464" s="16"/>
      <c r="AR464" s="16"/>
      <c r="AS464" s="16"/>
      <c r="AT464" s="18"/>
      <c r="AU464" s="16"/>
      <c r="AV464" s="18"/>
    </row>
    <row r="465" spans="1:48" outlineLevel="1">
      <c r="A465" s="30"/>
      <c r="B465" s="6" t="s">
        <v>201</v>
      </c>
      <c r="C465" s="5">
        <v>129126.413444851</v>
      </c>
      <c r="D465" s="6">
        <f t="shared" ca="1" si="132"/>
        <v>129126.413444851</v>
      </c>
      <c r="E465" s="7">
        <v>129126.413444851</v>
      </c>
      <c r="F465" s="7"/>
      <c r="G465" s="7"/>
      <c r="H465" s="7"/>
      <c r="I465" s="7"/>
      <c r="J465" s="7"/>
      <c r="K465" s="6">
        <f t="shared" ca="1" si="133"/>
        <v>0</v>
      </c>
      <c r="L465" s="7">
        <f t="shared" ca="1" si="134"/>
        <v>129126.413444851</v>
      </c>
      <c r="N465" s="7" t="s">
        <v>202</v>
      </c>
      <c r="O465" s="6" t="s">
        <v>203</v>
      </c>
      <c r="P465" s="6"/>
      <c r="Q465" s="7"/>
      <c r="R465" s="7"/>
      <c r="S465" s="7" t="s">
        <v>204</v>
      </c>
      <c r="T465" s="7"/>
      <c r="U465" s="7"/>
      <c r="W465" s="7"/>
      <c r="Z465" s="22"/>
      <c r="AA465" s="22"/>
      <c r="AL465" s="16"/>
      <c r="AM465" s="14"/>
      <c r="AN465" s="14"/>
      <c r="AO465" s="16"/>
      <c r="AP465" s="16"/>
      <c r="AQ465" s="16"/>
      <c r="AR465" s="16"/>
      <c r="AS465" s="16"/>
      <c r="AT465" s="18"/>
      <c r="AU465" s="16"/>
      <c r="AV465" s="18"/>
    </row>
    <row r="466" spans="1:48" outlineLevel="1">
      <c r="A466" s="30"/>
      <c r="B466" s="6" t="s">
        <v>205</v>
      </c>
      <c r="C466" s="5">
        <v>32525.3065551486</v>
      </c>
      <c r="D466" s="6">
        <f t="shared" ca="1" si="132"/>
        <v>32525.3065551486</v>
      </c>
      <c r="E466" s="7">
        <v>32525.3065551486</v>
      </c>
      <c r="F466" s="7"/>
      <c r="G466" s="7"/>
      <c r="H466" s="7"/>
      <c r="I466" s="7"/>
      <c r="J466" s="7"/>
      <c r="K466" s="6">
        <f t="shared" ca="1" si="133"/>
        <v>0</v>
      </c>
      <c r="L466" s="7">
        <f t="shared" ca="1" si="134"/>
        <v>32525.3065551486</v>
      </c>
      <c r="N466" s="7" t="s">
        <v>206</v>
      </c>
      <c r="O466" s="6" t="s">
        <v>207</v>
      </c>
      <c r="P466" s="7"/>
      <c r="Q466" s="7"/>
      <c r="R466" s="7"/>
      <c r="S466" s="7"/>
      <c r="T466" s="7" t="s">
        <v>208</v>
      </c>
      <c r="U466" s="7"/>
      <c r="W466" s="7"/>
      <c r="Z466" s="22"/>
      <c r="AA466" s="22"/>
      <c r="AL466" s="16"/>
      <c r="AM466" s="14"/>
      <c r="AN466" s="16"/>
      <c r="AO466" s="16"/>
      <c r="AP466" s="16"/>
      <c r="AQ466" s="16"/>
      <c r="AR466" s="16"/>
      <c r="AS466" s="16"/>
      <c r="AT466" s="18"/>
      <c r="AU466" s="16"/>
      <c r="AV466" s="18"/>
    </row>
    <row r="467" spans="1:48" hidden="1" outlineLevel="1">
      <c r="A467" s="30" t="s">
        <v>32</v>
      </c>
      <c r="B467" s="6" t="s">
        <v>32</v>
      </c>
      <c r="C467" s="5">
        <v>0</v>
      </c>
      <c r="D467" s="6">
        <f t="shared" ca="1" si="132"/>
        <v>0</v>
      </c>
      <c r="E467" s="7"/>
      <c r="F467" s="7"/>
      <c r="G467" s="7"/>
      <c r="H467" s="7"/>
      <c r="I467" s="7"/>
      <c r="J467" s="7"/>
      <c r="K467" s="6">
        <f t="shared" ca="1" si="133"/>
        <v>0</v>
      </c>
      <c r="L467" s="7">
        <f t="shared" ca="1" si="134"/>
        <v>0</v>
      </c>
      <c r="N467" s="6"/>
      <c r="O467" s="6"/>
      <c r="P467" s="6"/>
      <c r="Q467" s="7"/>
      <c r="R467" s="7"/>
      <c r="S467" s="7"/>
      <c r="T467" s="7"/>
      <c r="U467" s="7"/>
      <c r="W467" s="7"/>
      <c r="Z467" s="22"/>
      <c r="AA467" s="22"/>
      <c r="AL467" s="14"/>
      <c r="AM467" s="14"/>
      <c r="AN467" s="14"/>
      <c r="AO467" s="16"/>
      <c r="AP467" s="16"/>
      <c r="AQ467" s="16"/>
      <c r="AR467" s="16"/>
      <c r="AS467" s="16"/>
      <c r="AT467" s="18"/>
      <c r="AU467" s="16"/>
      <c r="AV467" s="18"/>
    </row>
    <row r="468" spans="1:48" hidden="1" outlineLevel="1">
      <c r="A468" s="30" t="s">
        <v>32</v>
      </c>
      <c r="B468" s="6" t="s">
        <v>32</v>
      </c>
      <c r="C468" s="5">
        <v>0</v>
      </c>
      <c r="D468" s="6">
        <f t="shared" ca="1" si="132"/>
        <v>0</v>
      </c>
      <c r="E468" s="7"/>
      <c r="F468" s="7"/>
      <c r="G468" s="7"/>
      <c r="H468" s="7"/>
      <c r="I468" s="7"/>
      <c r="J468" s="7"/>
      <c r="K468" s="6">
        <f t="shared" ca="1" si="133"/>
        <v>0</v>
      </c>
      <c r="L468" s="7">
        <f t="shared" ca="1" si="134"/>
        <v>0</v>
      </c>
      <c r="N468" s="6"/>
      <c r="O468" s="6"/>
      <c r="P468" s="6"/>
      <c r="Q468" s="7"/>
      <c r="R468" s="7"/>
      <c r="S468" s="7"/>
      <c r="T468" s="7"/>
      <c r="U468" s="7"/>
      <c r="W468" s="7"/>
      <c r="Z468" s="22"/>
      <c r="AA468" s="22"/>
      <c r="AL468" s="14"/>
      <c r="AM468" s="14"/>
      <c r="AN468" s="14"/>
      <c r="AO468" s="16"/>
      <c r="AP468" s="16"/>
      <c r="AQ468" s="16"/>
      <c r="AR468" s="16"/>
      <c r="AS468" s="16"/>
      <c r="AT468" s="18"/>
      <c r="AU468" s="16"/>
      <c r="AV468" s="18"/>
    </row>
    <row r="469" spans="1:48" hidden="1" outlineLevel="1">
      <c r="A469" s="30" t="s">
        <v>32</v>
      </c>
      <c r="B469" s="6" t="s">
        <v>32</v>
      </c>
      <c r="C469" s="5">
        <v>0</v>
      </c>
      <c r="D469" s="6">
        <f t="shared" ca="1" si="132"/>
        <v>0</v>
      </c>
      <c r="E469" s="7"/>
      <c r="F469" s="7"/>
      <c r="G469" s="7"/>
      <c r="H469" s="7"/>
      <c r="I469" s="7"/>
      <c r="J469" s="7"/>
      <c r="K469" s="6">
        <f t="shared" ca="1" si="133"/>
        <v>0</v>
      </c>
      <c r="L469" s="7">
        <f t="shared" ca="1" si="134"/>
        <v>0</v>
      </c>
      <c r="N469" s="6"/>
      <c r="O469" s="6"/>
      <c r="P469" s="6"/>
      <c r="Q469" s="7"/>
      <c r="R469" s="7"/>
      <c r="S469" s="7"/>
      <c r="T469" s="7"/>
      <c r="U469" s="7"/>
      <c r="W469" s="7"/>
      <c r="Z469" s="22"/>
      <c r="AA469" s="22"/>
      <c r="AL469" s="14"/>
      <c r="AM469" s="14"/>
      <c r="AN469" s="14"/>
      <c r="AO469" s="16"/>
      <c r="AP469" s="16"/>
      <c r="AQ469" s="16"/>
      <c r="AR469" s="16"/>
      <c r="AS469" s="16"/>
      <c r="AT469" s="18"/>
      <c r="AU469" s="16"/>
      <c r="AV469" s="18"/>
    </row>
    <row r="470" spans="1:48" hidden="1" outlineLevel="1">
      <c r="A470" s="30" t="s">
        <v>32</v>
      </c>
      <c r="B470" s="6" t="s">
        <v>32</v>
      </c>
      <c r="C470" s="5">
        <v>0</v>
      </c>
      <c r="D470" s="6">
        <f t="shared" ca="1" si="132"/>
        <v>0</v>
      </c>
      <c r="E470" s="7"/>
      <c r="F470" s="7"/>
      <c r="G470" s="7"/>
      <c r="H470" s="7"/>
      <c r="I470" s="7"/>
      <c r="J470" s="7"/>
      <c r="K470" s="6">
        <f t="shared" ca="1" si="133"/>
        <v>0</v>
      </c>
      <c r="L470" s="7">
        <f t="shared" ca="1" si="134"/>
        <v>0</v>
      </c>
      <c r="N470" s="6"/>
      <c r="O470" s="6"/>
      <c r="P470" s="6"/>
      <c r="Q470" s="7"/>
      <c r="R470" s="7"/>
      <c r="S470" s="7"/>
      <c r="T470" s="7"/>
      <c r="U470" s="7"/>
      <c r="W470" s="7"/>
      <c r="Z470" s="22"/>
      <c r="AA470" s="22"/>
      <c r="AL470" s="14"/>
      <c r="AM470" s="14"/>
      <c r="AN470" s="14"/>
      <c r="AO470" s="16"/>
      <c r="AP470" s="16"/>
      <c r="AQ470" s="16"/>
      <c r="AR470" s="16"/>
      <c r="AS470" s="16"/>
      <c r="AT470" s="18"/>
      <c r="AU470" s="16"/>
      <c r="AV470" s="18"/>
    </row>
    <row r="471" spans="1:48" hidden="1" outlineLevel="1">
      <c r="A471" s="30" t="s">
        <v>32</v>
      </c>
      <c r="B471" s="6" t="s">
        <v>32</v>
      </c>
      <c r="C471" s="5">
        <v>0</v>
      </c>
      <c r="D471" s="6">
        <f t="shared" ca="1" si="132"/>
        <v>0</v>
      </c>
      <c r="E471" s="7"/>
      <c r="F471" s="7"/>
      <c r="G471" s="7"/>
      <c r="H471" s="7"/>
      <c r="I471" s="7"/>
      <c r="J471" s="7"/>
      <c r="K471" s="6">
        <f t="shared" ca="1" si="133"/>
        <v>0</v>
      </c>
      <c r="L471" s="7">
        <f t="shared" ca="1" si="134"/>
        <v>0</v>
      </c>
      <c r="N471" s="6"/>
      <c r="O471" s="6"/>
      <c r="P471" s="6"/>
      <c r="Q471" s="7"/>
      <c r="R471" s="7"/>
      <c r="S471" s="7"/>
      <c r="T471" s="7"/>
      <c r="U471" s="7"/>
      <c r="W471" s="7"/>
      <c r="Z471" s="22"/>
      <c r="AA471" s="22"/>
      <c r="AL471" s="14"/>
      <c r="AM471" s="14"/>
      <c r="AN471" s="14"/>
      <c r="AO471" s="16"/>
      <c r="AP471" s="16"/>
      <c r="AQ471" s="16"/>
      <c r="AR471" s="16"/>
      <c r="AS471" s="16"/>
      <c r="AT471" s="18"/>
      <c r="AU471" s="16"/>
      <c r="AV471" s="18"/>
    </row>
    <row r="472" spans="1:48" hidden="1" outlineLevel="1">
      <c r="A472" s="30" t="s">
        <v>32</v>
      </c>
      <c r="B472" s="6" t="s">
        <v>32</v>
      </c>
      <c r="C472" s="5">
        <v>0</v>
      </c>
      <c r="D472" s="6">
        <f t="shared" ca="1" si="132"/>
        <v>0</v>
      </c>
      <c r="E472" s="7"/>
      <c r="F472" s="7"/>
      <c r="G472" s="7"/>
      <c r="H472" s="7"/>
      <c r="I472" s="7"/>
      <c r="J472" s="7"/>
      <c r="K472" s="6">
        <f t="shared" ca="1" si="133"/>
        <v>0</v>
      </c>
      <c r="L472" s="7">
        <f t="shared" ca="1" si="134"/>
        <v>0</v>
      </c>
      <c r="N472" s="6"/>
      <c r="O472" s="6"/>
      <c r="P472" s="6"/>
      <c r="Q472" s="7"/>
      <c r="R472" s="7"/>
      <c r="S472" s="7"/>
      <c r="T472" s="7"/>
      <c r="U472" s="7"/>
      <c r="W472" s="7"/>
      <c r="Z472" s="22"/>
      <c r="AA472" s="22"/>
      <c r="AL472" s="14"/>
      <c r="AM472" s="14"/>
      <c r="AN472" s="14"/>
      <c r="AO472" s="16"/>
      <c r="AP472" s="16"/>
      <c r="AQ472" s="16"/>
      <c r="AR472" s="16"/>
      <c r="AS472" s="16"/>
      <c r="AT472" s="18"/>
      <c r="AU472" s="16"/>
      <c r="AV472" s="18"/>
    </row>
    <row r="473" spans="1:48" s="8" customFormat="1" outlineLevel="1">
      <c r="A473" s="25"/>
      <c r="B473" s="8" t="s">
        <v>22</v>
      </c>
      <c r="C473" s="8">
        <f t="shared" ref="C473:L473" ca="1" si="135">SUM(C451:C472)</f>
        <v>26948672.441752352</v>
      </c>
      <c r="D473" s="8">
        <f t="shared" ca="1" si="135"/>
        <v>26154848.534069594</v>
      </c>
      <c r="E473" s="8">
        <f t="shared" ca="1" si="135"/>
        <v>26154848.534069594</v>
      </c>
      <c r="F473" s="8">
        <f t="shared" ca="1" si="135"/>
        <v>0</v>
      </c>
      <c r="G473" s="8">
        <f t="shared" ca="1" si="135"/>
        <v>793823.9076827619</v>
      </c>
      <c r="H473" s="8">
        <f t="shared" ca="1" si="135"/>
        <v>0</v>
      </c>
      <c r="I473" s="8">
        <f t="shared" ca="1" si="135"/>
        <v>0</v>
      </c>
      <c r="J473" s="8">
        <f t="shared" ca="1" si="135"/>
        <v>0</v>
      </c>
      <c r="K473" s="8">
        <f t="shared" ca="1" si="135"/>
        <v>0</v>
      </c>
      <c r="L473" s="8">
        <f t="shared" ca="1" si="135"/>
        <v>26948672.441752352</v>
      </c>
      <c r="M473" s="4"/>
      <c r="V473" s="4"/>
      <c r="AD473" s="4"/>
      <c r="AE473" s="4"/>
      <c r="AL473" s="11"/>
      <c r="AM473" s="11"/>
      <c r="AN473" s="11"/>
      <c r="AO473" s="11"/>
      <c r="AP473" s="11"/>
      <c r="AQ473" s="11"/>
      <c r="AR473" s="11"/>
      <c r="AS473" s="11"/>
      <c r="AT473" s="18"/>
      <c r="AU473" s="11"/>
      <c r="AV473" s="11"/>
    </row>
    <row r="474" spans="1:48" outlineLevel="1"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</row>
    <row r="475" spans="1:48" outlineLevel="1">
      <c r="B475" s="1" t="s">
        <v>286</v>
      </c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</row>
    <row r="476" spans="1:48" outlineLevel="1">
      <c r="A476" s="30">
        <v>901</v>
      </c>
      <c r="B476" s="6" t="s">
        <v>210</v>
      </c>
      <c r="C476" s="5">
        <v>94572.881107934096</v>
      </c>
      <c r="D476" s="6">
        <f t="shared" ref="D476:D486" ca="1" si="136">E476+F476</f>
        <v>91507.383752234251</v>
      </c>
      <c r="E476" s="6"/>
      <c r="F476" s="6">
        <v>91507.383752234251</v>
      </c>
      <c r="G476" s="7">
        <v>3065.4973556998475</v>
      </c>
      <c r="H476" s="7"/>
      <c r="I476" s="7"/>
      <c r="J476" s="7"/>
      <c r="K476" s="6">
        <f t="shared" ref="K476:K486" ca="1" si="137">+I476+J476</f>
        <v>0</v>
      </c>
      <c r="L476" s="7">
        <f t="shared" ref="L476:L486" ca="1" si="138">D476+G476+H476+K476</f>
        <v>94572.881107934096</v>
      </c>
      <c r="N476" s="6"/>
      <c r="O476" s="6"/>
      <c r="P476" s="6"/>
      <c r="Q476" s="7"/>
      <c r="R476" s="7"/>
      <c r="S476" s="7"/>
      <c r="T476" s="7"/>
      <c r="U476" s="7"/>
      <c r="W476" s="7" t="s">
        <v>211</v>
      </c>
      <c r="Y476" s="22"/>
      <c r="Z476" s="22"/>
      <c r="AA476" s="22"/>
      <c r="AL476" s="14"/>
      <c r="AM476" s="14"/>
      <c r="AN476" s="14"/>
      <c r="AO476" s="16"/>
      <c r="AP476" s="16"/>
      <c r="AQ476" s="16"/>
      <c r="AR476" s="16"/>
      <c r="AS476" s="16"/>
      <c r="AT476" s="18"/>
      <c r="AU476" s="16"/>
      <c r="AV476" s="18"/>
    </row>
    <row r="477" spans="1:48" outlineLevel="1">
      <c r="A477" s="30">
        <v>902</v>
      </c>
      <c r="B477" s="6" t="s">
        <v>287</v>
      </c>
      <c r="C477" s="5">
        <v>490935.91945008346</v>
      </c>
      <c r="D477" s="6">
        <f t="shared" ca="1" si="136"/>
        <v>479686.91945008346</v>
      </c>
      <c r="E477" s="6">
        <v>277244.71128745459</v>
      </c>
      <c r="F477" s="6">
        <v>202442.20816262887</v>
      </c>
      <c r="G477" s="7">
        <f ca="1">8904+2345</f>
        <v>11249</v>
      </c>
      <c r="H477" s="7"/>
      <c r="I477" s="7"/>
      <c r="J477" s="7"/>
      <c r="K477" s="6">
        <f t="shared" ca="1" si="137"/>
        <v>0</v>
      </c>
      <c r="L477" s="7">
        <f t="shared" ca="1" si="138"/>
        <v>490935.91945008346</v>
      </c>
      <c r="N477" s="6"/>
      <c r="O477" s="6"/>
      <c r="P477" s="6"/>
      <c r="Q477" s="7"/>
      <c r="R477" s="7"/>
      <c r="S477" s="7"/>
      <c r="T477" s="7"/>
      <c r="U477" s="7"/>
      <c r="W477" s="7" t="s">
        <v>288</v>
      </c>
      <c r="Y477" s="22"/>
      <c r="Z477" s="22"/>
      <c r="AA477" s="22"/>
      <c r="AL477" s="14"/>
      <c r="AM477" s="14"/>
      <c r="AN477" s="14"/>
      <c r="AO477" s="16"/>
      <c r="AP477" s="16"/>
      <c r="AQ477" s="16"/>
      <c r="AR477" s="16"/>
      <c r="AS477" s="16"/>
      <c r="AT477" s="18"/>
      <c r="AU477" s="16"/>
      <c r="AV477" s="18"/>
    </row>
    <row r="478" spans="1:48" outlineLevel="1">
      <c r="A478" s="30">
        <v>903</v>
      </c>
      <c r="B478" s="6" t="s">
        <v>289</v>
      </c>
      <c r="C478" s="5">
        <v>7051732.7503117491</v>
      </c>
      <c r="D478" s="6">
        <f t="shared" ca="1" si="136"/>
        <v>6958771.7503117491</v>
      </c>
      <c r="E478" s="6">
        <v>876302.85859312827</v>
      </c>
      <c r="F478" s="6">
        <v>6082468.8917186204</v>
      </c>
      <c r="G478" s="7">
        <f ca="1">24950+68011</f>
        <v>92961</v>
      </c>
      <c r="H478" s="7"/>
      <c r="I478" s="7"/>
      <c r="J478" s="7"/>
      <c r="K478" s="6">
        <f t="shared" ca="1" si="137"/>
        <v>0</v>
      </c>
      <c r="L478" s="7">
        <f t="shared" ca="1" si="138"/>
        <v>7051732.7503117491</v>
      </c>
      <c r="N478" s="6"/>
      <c r="O478" s="6"/>
      <c r="P478" s="6"/>
      <c r="Q478" s="7"/>
      <c r="R478" s="7"/>
      <c r="S478" s="7"/>
      <c r="T478" s="7"/>
      <c r="U478" s="7"/>
      <c r="W478" s="7" t="s">
        <v>290</v>
      </c>
      <c r="Y478" s="22"/>
      <c r="Z478" s="22"/>
      <c r="AA478" s="22"/>
      <c r="AL478" s="14"/>
      <c r="AM478" s="14"/>
      <c r="AN478" s="14"/>
      <c r="AO478" s="16"/>
      <c r="AP478" s="16"/>
      <c r="AQ478" s="16"/>
      <c r="AR478" s="16"/>
      <c r="AS478" s="16"/>
      <c r="AT478" s="18"/>
      <c r="AU478" s="16"/>
      <c r="AV478" s="18"/>
    </row>
    <row r="479" spans="1:48" outlineLevel="1">
      <c r="A479" s="30">
        <v>905</v>
      </c>
      <c r="B479" s="6" t="s">
        <v>222</v>
      </c>
      <c r="C479" s="5">
        <v>0</v>
      </c>
      <c r="D479" s="6">
        <f t="shared" ca="1" si="136"/>
        <v>0</v>
      </c>
      <c r="E479" s="6"/>
      <c r="F479" s="6">
        <v>0</v>
      </c>
      <c r="G479" s="7"/>
      <c r="H479" s="7"/>
      <c r="I479" s="7"/>
      <c r="J479" s="7"/>
      <c r="K479" s="6">
        <f t="shared" ca="1" si="137"/>
        <v>0</v>
      </c>
      <c r="L479" s="7">
        <f t="shared" ca="1" si="138"/>
        <v>0</v>
      </c>
      <c r="N479" s="6"/>
      <c r="O479" s="6"/>
      <c r="P479" s="6"/>
      <c r="Q479" s="7"/>
      <c r="R479" s="7"/>
      <c r="S479" s="7"/>
      <c r="T479" s="7"/>
      <c r="U479" s="7"/>
      <c r="W479" s="7" t="s">
        <v>211</v>
      </c>
      <c r="Y479" s="22"/>
      <c r="Z479" s="22"/>
      <c r="AA479" s="22"/>
      <c r="AL479" s="14"/>
      <c r="AM479" s="14"/>
      <c r="AN479" s="14"/>
      <c r="AO479" s="16"/>
      <c r="AP479" s="16"/>
      <c r="AQ479" s="16"/>
      <c r="AR479" s="16"/>
      <c r="AS479" s="16"/>
      <c r="AT479" s="18"/>
      <c r="AU479" s="16"/>
      <c r="AV479" s="18"/>
    </row>
    <row r="480" spans="1:48" hidden="1" outlineLevel="1">
      <c r="A480" s="30" t="s">
        <v>32</v>
      </c>
      <c r="B480" s="6" t="s">
        <v>32</v>
      </c>
      <c r="C480" s="5">
        <v>0</v>
      </c>
      <c r="D480" s="6">
        <f t="shared" ca="1" si="136"/>
        <v>0</v>
      </c>
      <c r="E480" s="6"/>
      <c r="F480" s="6"/>
      <c r="G480" s="7"/>
      <c r="H480" s="7"/>
      <c r="I480" s="7"/>
      <c r="J480" s="7"/>
      <c r="K480" s="6">
        <f t="shared" ca="1" si="137"/>
        <v>0</v>
      </c>
      <c r="L480" s="7">
        <f t="shared" ca="1" si="138"/>
        <v>0</v>
      </c>
      <c r="N480" s="6"/>
      <c r="O480" s="6"/>
      <c r="P480" s="6"/>
      <c r="Q480" s="7"/>
      <c r="R480" s="7"/>
      <c r="S480" s="7"/>
      <c r="T480" s="7"/>
      <c r="U480" s="7"/>
      <c r="W480" s="7"/>
      <c r="Z480" s="22"/>
      <c r="AA480" s="22"/>
      <c r="AL480" s="14"/>
      <c r="AM480" s="14"/>
      <c r="AN480" s="14"/>
      <c r="AO480" s="16"/>
      <c r="AP480" s="16"/>
      <c r="AQ480" s="16"/>
      <c r="AR480" s="16"/>
      <c r="AS480" s="16"/>
      <c r="AT480" s="18"/>
      <c r="AU480" s="16"/>
      <c r="AV480" s="18"/>
    </row>
    <row r="481" spans="1:48" hidden="1" outlineLevel="1">
      <c r="A481" s="30" t="s">
        <v>32</v>
      </c>
      <c r="B481" s="6" t="s">
        <v>32</v>
      </c>
      <c r="C481" s="5">
        <v>0</v>
      </c>
      <c r="D481" s="6">
        <f t="shared" ca="1" si="136"/>
        <v>0</v>
      </c>
      <c r="E481" s="6"/>
      <c r="F481" s="6"/>
      <c r="G481" s="7"/>
      <c r="H481" s="7"/>
      <c r="I481" s="7"/>
      <c r="J481" s="7"/>
      <c r="K481" s="6">
        <f t="shared" ca="1" si="137"/>
        <v>0</v>
      </c>
      <c r="L481" s="7">
        <f t="shared" ca="1" si="138"/>
        <v>0</v>
      </c>
      <c r="N481" s="6"/>
      <c r="O481" s="6"/>
      <c r="P481" s="6"/>
      <c r="Q481" s="7"/>
      <c r="R481" s="7"/>
      <c r="S481" s="7"/>
      <c r="T481" s="7"/>
      <c r="U481" s="7"/>
      <c r="W481" s="7"/>
      <c r="Z481" s="22"/>
      <c r="AA481" s="22"/>
      <c r="AL481" s="14"/>
      <c r="AM481" s="14"/>
      <c r="AN481" s="14"/>
      <c r="AO481" s="16"/>
      <c r="AP481" s="16"/>
      <c r="AQ481" s="16"/>
      <c r="AR481" s="16"/>
      <c r="AS481" s="16"/>
      <c r="AT481" s="18"/>
      <c r="AU481" s="16"/>
      <c r="AV481" s="18"/>
    </row>
    <row r="482" spans="1:48" hidden="1" outlineLevel="1">
      <c r="A482" s="30" t="s">
        <v>32</v>
      </c>
      <c r="B482" s="6" t="s">
        <v>32</v>
      </c>
      <c r="C482" s="5">
        <v>0</v>
      </c>
      <c r="D482" s="6">
        <f t="shared" ca="1" si="136"/>
        <v>0</v>
      </c>
      <c r="E482" s="6"/>
      <c r="F482" s="6"/>
      <c r="G482" s="7"/>
      <c r="H482" s="7"/>
      <c r="I482" s="7"/>
      <c r="J482" s="7"/>
      <c r="K482" s="6">
        <f t="shared" ca="1" si="137"/>
        <v>0</v>
      </c>
      <c r="L482" s="7">
        <f t="shared" ca="1" si="138"/>
        <v>0</v>
      </c>
      <c r="N482" s="6"/>
      <c r="O482" s="6"/>
      <c r="P482" s="6"/>
      <c r="Q482" s="7"/>
      <c r="R482" s="7"/>
      <c r="S482" s="7"/>
      <c r="T482" s="7"/>
      <c r="U482" s="7"/>
      <c r="W482" s="7"/>
      <c r="Z482" s="22"/>
      <c r="AA482" s="22"/>
      <c r="AL482" s="14"/>
      <c r="AM482" s="14"/>
      <c r="AN482" s="14"/>
      <c r="AO482" s="16"/>
      <c r="AP482" s="16"/>
      <c r="AQ482" s="16"/>
      <c r="AR482" s="16"/>
      <c r="AS482" s="16"/>
      <c r="AT482" s="18"/>
      <c r="AU482" s="16"/>
      <c r="AV482" s="18"/>
    </row>
    <row r="483" spans="1:48" hidden="1" outlineLevel="1">
      <c r="A483" s="30" t="s">
        <v>32</v>
      </c>
      <c r="B483" s="6" t="s">
        <v>32</v>
      </c>
      <c r="C483" s="5">
        <v>0</v>
      </c>
      <c r="D483" s="6">
        <f t="shared" ca="1" si="136"/>
        <v>0</v>
      </c>
      <c r="E483" s="6"/>
      <c r="F483" s="6"/>
      <c r="G483" s="7"/>
      <c r="H483" s="7"/>
      <c r="I483" s="7"/>
      <c r="J483" s="7"/>
      <c r="K483" s="6">
        <f t="shared" ca="1" si="137"/>
        <v>0</v>
      </c>
      <c r="L483" s="7">
        <f t="shared" ca="1" si="138"/>
        <v>0</v>
      </c>
      <c r="N483" s="6"/>
      <c r="O483" s="6"/>
      <c r="P483" s="6"/>
      <c r="Q483" s="7"/>
      <c r="R483" s="7"/>
      <c r="S483" s="7"/>
      <c r="T483" s="7"/>
      <c r="U483" s="7"/>
      <c r="W483" s="7"/>
      <c r="Z483" s="22"/>
      <c r="AA483" s="22"/>
      <c r="AL483" s="14"/>
      <c r="AM483" s="14"/>
      <c r="AN483" s="14"/>
      <c r="AO483" s="16"/>
      <c r="AP483" s="16"/>
      <c r="AQ483" s="16"/>
      <c r="AR483" s="16"/>
      <c r="AS483" s="16"/>
      <c r="AT483" s="18"/>
      <c r="AU483" s="16"/>
      <c r="AV483" s="18"/>
    </row>
    <row r="484" spans="1:48" hidden="1" outlineLevel="1">
      <c r="A484" s="30" t="s">
        <v>32</v>
      </c>
      <c r="B484" s="6" t="s">
        <v>32</v>
      </c>
      <c r="C484" s="5">
        <v>0</v>
      </c>
      <c r="D484" s="6">
        <f t="shared" ca="1" si="136"/>
        <v>0</v>
      </c>
      <c r="E484" s="6"/>
      <c r="F484" s="6"/>
      <c r="G484" s="7"/>
      <c r="H484" s="7"/>
      <c r="I484" s="7"/>
      <c r="J484" s="7"/>
      <c r="K484" s="6">
        <f t="shared" ca="1" si="137"/>
        <v>0</v>
      </c>
      <c r="L484" s="7">
        <f t="shared" ca="1" si="138"/>
        <v>0</v>
      </c>
      <c r="N484" s="6"/>
      <c r="O484" s="6"/>
      <c r="P484" s="6"/>
      <c r="Q484" s="7"/>
      <c r="R484" s="7"/>
      <c r="S484" s="7"/>
      <c r="T484" s="7"/>
      <c r="U484" s="7"/>
      <c r="W484" s="7"/>
      <c r="Z484" s="22"/>
      <c r="AA484" s="22"/>
      <c r="AL484" s="14"/>
      <c r="AM484" s="14"/>
      <c r="AN484" s="14"/>
      <c r="AO484" s="16"/>
      <c r="AP484" s="16"/>
      <c r="AQ484" s="16"/>
      <c r="AR484" s="16"/>
      <c r="AS484" s="16"/>
      <c r="AT484" s="18"/>
      <c r="AU484" s="16"/>
      <c r="AV484" s="18"/>
    </row>
    <row r="485" spans="1:48" hidden="1" outlineLevel="1">
      <c r="A485" s="30" t="s">
        <v>32</v>
      </c>
      <c r="B485" s="6" t="s">
        <v>32</v>
      </c>
      <c r="C485" s="5">
        <v>0</v>
      </c>
      <c r="D485" s="6">
        <f t="shared" ca="1" si="136"/>
        <v>0</v>
      </c>
      <c r="E485" s="6"/>
      <c r="F485" s="6"/>
      <c r="G485" s="7"/>
      <c r="H485" s="7"/>
      <c r="I485" s="7"/>
      <c r="J485" s="7"/>
      <c r="K485" s="6">
        <f t="shared" ca="1" si="137"/>
        <v>0</v>
      </c>
      <c r="L485" s="7">
        <f t="shared" ca="1" si="138"/>
        <v>0</v>
      </c>
      <c r="N485" s="6"/>
      <c r="O485" s="6"/>
      <c r="P485" s="6"/>
      <c r="Q485" s="7"/>
      <c r="R485" s="7"/>
      <c r="S485" s="7"/>
      <c r="T485" s="7"/>
      <c r="U485" s="7"/>
      <c r="W485" s="7"/>
      <c r="Z485" s="22"/>
      <c r="AA485" s="22"/>
      <c r="AL485" s="14"/>
      <c r="AM485" s="14"/>
      <c r="AN485" s="14"/>
      <c r="AO485" s="16"/>
      <c r="AP485" s="16"/>
      <c r="AQ485" s="16"/>
      <c r="AR485" s="16"/>
      <c r="AS485" s="16"/>
      <c r="AT485" s="18"/>
      <c r="AU485" s="16"/>
      <c r="AV485" s="18"/>
    </row>
    <row r="486" spans="1:48" hidden="1" outlineLevel="1">
      <c r="A486" s="30" t="s">
        <v>32</v>
      </c>
      <c r="B486" s="6" t="s">
        <v>32</v>
      </c>
      <c r="C486" s="5">
        <v>0</v>
      </c>
      <c r="D486" s="6">
        <f t="shared" ca="1" si="136"/>
        <v>0</v>
      </c>
      <c r="E486" s="6"/>
      <c r="F486" s="6"/>
      <c r="G486" s="7"/>
      <c r="H486" s="7"/>
      <c r="I486" s="7"/>
      <c r="J486" s="7"/>
      <c r="K486" s="6">
        <f t="shared" ca="1" si="137"/>
        <v>0</v>
      </c>
      <c r="L486" s="7">
        <f t="shared" ca="1" si="138"/>
        <v>0</v>
      </c>
      <c r="N486" s="6"/>
      <c r="O486" s="6"/>
      <c r="P486" s="6"/>
      <c r="Q486" s="7"/>
      <c r="R486" s="7"/>
      <c r="S486" s="7"/>
      <c r="T486" s="7"/>
      <c r="U486" s="7"/>
      <c r="W486" s="7"/>
      <c r="Z486" s="22"/>
      <c r="AA486" s="22"/>
      <c r="AL486" s="14"/>
      <c r="AM486" s="14"/>
      <c r="AN486" s="14"/>
      <c r="AO486" s="16"/>
      <c r="AP486" s="16"/>
      <c r="AQ486" s="16"/>
      <c r="AR486" s="16"/>
      <c r="AS486" s="16"/>
      <c r="AT486" s="18"/>
      <c r="AU486" s="16"/>
      <c r="AV486" s="18"/>
    </row>
    <row r="487" spans="1:48" s="8" customFormat="1" outlineLevel="1">
      <c r="A487" s="25"/>
      <c r="B487" s="8" t="s">
        <v>22</v>
      </c>
      <c r="C487" s="8">
        <f t="shared" ref="C487:L487" ca="1" si="139">SUM(C476:C486)</f>
        <v>7637241.5508697666</v>
      </c>
      <c r="D487" s="8">
        <f t="shared" ca="1" si="139"/>
        <v>7529966.0535140671</v>
      </c>
      <c r="E487" s="8">
        <f t="shared" ca="1" si="139"/>
        <v>1153547.5698805829</v>
      </c>
      <c r="F487" s="8">
        <f t="shared" ca="1" si="139"/>
        <v>6376418.4836334838</v>
      </c>
      <c r="G487" s="8">
        <f t="shared" ca="1" si="139"/>
        <v>107275.49735569984</v>
      </c>
      <c r="H487" s="8">
        <f t="shared" ca="1" si="139"/>
        <v>0</v>
      </c>
      <c r="I487" s="8">
        <f t="shared" ca="1" si="139"/>
        <v>0</v>
      </c>
      <c r="J487" s="8">
        <f t="shared" ca="1" si="139"/>
        <v>0</v>
      </c>
      <c r="K487" s="8">
        <f t="shared" ca="1" si="139"/>
        <v>0</v>
      </c>
      <c r="L487" s="8">
        <f t="shared" ca="1" si="139"/>
        <v>7637241.5508697666</v>
      </c>
      <c r="M487" s="4"/>
      <c r="V487" s="4"/>
      <c r="AD487" s="4"/>
      <c r="AE487" s="4"/>
      <c r="AL487" s="11"/>
      <c r="AM487" s="11"/>
      <c r="AN487" s="11"/>
      <c r="AO487" s="11"/>
      <c r="AP487" s="11"/>
      <c r="AQ487" s="11"/>
      <c r="AR487" s="11"/>
      <c r="AS487" s="11"/>
      <c r="AT487" s="18"/>
      <c r="AU487" s="11"/>
      <c r="AV487" s="11"/>
    </row>
    <row r="488" spans="1:48" outlineLevel="1"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</row>
    <row r="489" spans="1:48" outlineLevel="1">
      <c r="B489" s="1" t="s">
        <v>291</v>
      </c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</row>
    <row r="490" spans="1:48" outlineLevel="1">
      <c r="A490" s="30">
        <v>908</v>
      </c>
      <c r="B490" s="6" t="s">
        <v>229</v>
      </c>
      <c r="C490" s="5">
        <v>723020.42350943561</v>
      </c>
      <c r="D490" s="6">
        <f t="shared" ref="D490:D499" ca="1" si="140">E490+F490</f>
        <v>702913.42350943561</v>
      </c>
      <c r="E490" s="6">
        <v>256687.36739587865</v>
      </c>
      <c r="F490" s="6">
        <v>446226.05611355696</v>
      </c>
      <c r="G490" s="7">
        <f ca="1">8599+11508</f>
        <v>20107</v>
      </c>
      <c r="H490" s="7"/>
      <c r="I490" s="7"/>
      <c r="J490" s="7"/>
      <c r="K490" s="6">
        <f t="shared" ref="K490:K499" ca="1" si="141">+I490+J490</f>
        <v>0</v>
      </c>
      <c r="L490" s="7">
        <f t="shared" ref="L490:L499" ca="1" si="142">D490+G490+H490+K490</f>
        <v>723020.42350943561</v>
      </c>
      <c r="N490" s="6"/>
      <c r="O490" s="6"/>
      <c r="P490" s="6"/>
      <c r="Q490" s="6"/>
      <c r="R490" s="6"/>
      <c r="S490" s="6"/>
      <c r="T490" s="6"/>
      <c r="U490" s="6"/>
      <c r="W490" s="6" t="s">
        <v>292</v>
      </c>
      <c r="Z490" s="22"/>
      <c r="AA490" s="22"/>
      <c r="AL490" s="14"/>
      <c r="AM490" s="14"/>
      <c r="AN490" s="14"/>
      <c r="AO490" s="14"/>
      <c r="AP490" s="14"/>
      <c r="AQ490" s="14"/>
      <c r="AR490" s="14"/>
      <c r="AS490" s="14"/>
      <c r="AT490" s="18"/>
      <c r="AU490" s="14"/>
      <c r="AV490" s="18"/>
    </row>
    <row r="491" spans="1:48" outlineLevel="1">
      <c r="A491" s="30">
        <v>909</v>
      </c>
      <c r="B491" s="6" t="s">
        <v>230</v>
      </c>
      <c r="C491" s="5">
        <v>286383.65340255765</v>
      </c>
      <c r="D491" s="6">
        <f t="shared" ca="1" si="140"/>
        <v>277100.77736096532</v>
      </c>
      <c r="E491" s="6"/>
      <c r="F491" s="6">
        <v>277100.77736096532</v>
      </c>
      <c r="G491" s="7">
        <v>9282.8760415923389</v>
      </c>
      <c r="H491" s="7"/>
      <c r="I491" s="7"/>
      <c r="J491" s="7"/>
      <c r="K491" s="6">
        <f t="shared" ca="1" si="141"/>
        <v>0</v>
      </c>
      <c r="L491" s="7">
        <f t="shared" ca="1" si="142"/>
        <v>286383.65340255765</v>
      </c>
      <c r="N491" s="6" t="s">
        <v>56</v>
      </c>
      <c r="O491" s="6" t="s">
        <v>63</v>
      </c>
      <c r="P491" s="6"/>
      <c r="Q491" s="6"/>
      <c r="R491" s="6" t="s">
        <v>231</v>
      </c>
      <c r="S491" s="6"/>
      <c r="T491" s="6"/>
      <c r="U491" s="6"/>
      <c r="W491" s="6"/>
      <c r="Z491" s="22"/>
      <c r="AA491" s="22"/>
      <c r="AL491" s="14"/>
      <c r="AM491" s="14"/>
      <c r="AN491" s="14"/>
      <c r="AO491" s="14"/>
      <c r="AP491" s="14"/>
      <c r="AQ491" s="14"/>
      <c r="AR491" s="14"/>
      <c r="AS491" s="14"/>
      <c r="AT491" s="18"/>
      <c r="AU491" s="14"/>
      <c r="AV491" s="18"/>
    </row>
    <row r="492" spans="1:48" outlineLevel="1">
      <c r="A492" s="30">
        <v>910</v>
      </c>
      <c r="B492" s="6" t="s">
        <v>293</v>
      </c>
      <c r="C492" s="5">
        <v>57030.947774611872</v>
      </c>
      <c r="D492" s="6">
        <f t="shared" ca="1" si="140"/>
        <v>55182.339404559141</v>
      </c>
      <c r="E492" s="6"/>
      <c r="F492" s="6">
        <v>55182.339404559141</v>
      </c>
      <c r="G492" s="7">
        <v>1848.6083700527313</v>
      </c>
      <c r="H492" s="7"/>
      <c r="I492" s="7"/>
      <c r="J492" s="7"/>
      <c r="K492" s="6">
        <f t="shared" ca="1" si="141"/>
        <v>0</v>
      </c>
      <c r="L492" s="7">
        <f t="shared" ca="1" si="142"/>
        <v>57030.947774611872</v>
      </c>
      <c r="N492" s="6"/>
      <c r="O492" s="6"/>
      <c r="P492" s="6"/>
      <c r="Q492" s="6"/>
      <c r="R492" s="6"/>
      <c r="S492" s="6"/>
      <c r="T492" s="6"/>
      <c r="U492" s="6"/>
      <c r="W492" s="6" t="s">
        <v>292</v>
      </c>
      <c r="Z492" s="22"/>
      <c r="AA492" s="22"/>
      <c r="AL492" s="14"/>
      <c r="AM492" s="14"/>
      <c r="AN492" s="14"/>
      <c r="AO492" s="14"/>
      <c r="AP492" s="14"/>
      <c r="AQ492" s="14"/>
      <c r="AR492" s="14"/>
      <c r="AS492" s="14"/>
      <c r="AT492" s="18"/>
      <c r="AU492" s="14"/>
      <c r="AV492" s="18"/>
    </row>
    <row r="493" spans="1:48" hidden="1" outlineLevel="1">
      <c r="A493" s="30" t="s">
        <v>32</v>
      </c>
      <c r="B493" s="6" t="s">
        <v>32</v>
      </c>
      <c r="C493" s="5">
        <v>0</v>
      </c>
      <c r="D493" s="6">
        <f t="shared" ca="1" si="140"/>
        <v>0</v>
      </c>
      <c r="E493" s="6"/>
      <c r="F493" s="6"/>
      <c r="G493" s="7"/>
      <c r="H493" s="7"/>
      <c r="I493" s="7"/>
      <c r="J493" s="7"/>
      <c r="K493" s="6">
        <f t="shared" ca="1" si="141"/>
        <v>0</v>
      </c>
      <c r="L493" s="7">
        <f t="shared" ca="1" si="142"/>
        <v>0</v>
      </c>
      <c r="N493" s="6"/>
      <c r="O493" s="6"/>
      <c r="P493" s="6"/>
      <c r="Q493" s="7"/>
      <c r="R493" s="7"/>
      <c r="S493" s="7"/>
      <c r="T493" s="7"/>
      <c r="U493" s="7"/>
      <c r="W493" s="7"/>
      <c r="Z493" s="22"/>
      <c r="AA493" s="22"/>
      <c r="AL493" s="14"/>
      <c r="AM493" s="14"/>
      <c r="AN493" s="14"/>
      <c r="AO493" s="16"/>
      <c r="AP493" s="16"/>
      <c r="AQ493" s="16"/>
      <c r="AR493" s="16"/>
      <c r="AS493" s="16"/>
      <c r="AT493" s="18"/>
      <c r="AU493" s="16"/>
      <c r="AV493" s="18"/>
    </row>
    <row r="494" spans="1:48" hidden="1" outlineLevel="1">
      <c r="A494" s="30" t="s">
        <v>32</v>
      </c>
      <c r="B494" s="6" t="s">
        <v>32</v>
      </c>
      <c r="C494" s="5">
        <v>0</v>
      </c>
      <c r="D494" s="6">
        <f t="shared" ca="1" si="140"/>
        <v>0</v>
      </c>
      <c r="E494" s="6"/>
      <c r="F494" s="6"/>
      <c r="G494" s="7"/>
      <c r="H494" s="7"/>
      <c r="I494" s="7"/>
      <c r="J494" s="7"/>
      <c r="K494" s="6">
        <f t="shared" ca="1" si="141"/>
        <v>0</v>
      </c>
      <c r="L494" s="7">
        <f t="shared" ca="1" si="142"/>
        <v>0</v>
      </c>
      <c r="N494" s="6"/>
      <c r="O494" s="6"/>
      <c r="P494" s="6"/>
      <c r="Q494" s="7"/>
      <c r="R494" s="7"/>
      <c r="S494" s="7"/>
      <c r="T494" s="7"/>
      <c r="U494" s="7"/>
      <c r="W494" s="7"/>
      <c r="Z494" s="22"/>
      <c r="AA494" s="22"/>
      <c r="AL494" s="14"/>
      <c r="AM494" s="14"/>
      <c r="AN494" s="14"/>
      <c r="AO494" s="16"/>
      <c r="AP494" s="16"/>
      <c r="AQ494" s="16"/>
      <c r="AR494" s="16"/>
      <c r="AS494" s="16"/>
      <c r="AT494" s="18"/>
      <c r="AU494" s="16"/>
      <c r="AV494" s="18"/>
    </row>
    <row r="495" spans="1:48" hidden="1" outlineLevel="1">
      <c r="A495" s="30" t="s">
        <v>32</v>
      </c>
      <c r="B495" s="6" t="s">
        <v>32</v>
      </c>
      <c r="C495" s="5">
        <v>0</v>
      </c>
      <c r="D495" s="6">
        <f t="shared" ca="1" si="140"/>
        <v>0</v>
      </c>
      <c r="E495" s="6"/>
      <c r="F495" s="6"/>
      <c r="G495" s="7"/>
      <c r="H495" s="7"/>
      <c r="I495" s="7"/>
      <c r="J495" s="7"/>
      <c r="K495" s="6">
        <f t="shared" ca="1" si="141"/>
        <v>0</v>
      </c>
      <c r="L495" s="7">
        <f t="shared" ca="1" si="142"/>
        <v>0</v>
      </c>
      <c r="N495" s="6"/>
      <c r="O495" s="6"/>
      <c r="P495" s="6"/>
      <c r="Q495" s="7"/>
      <c r="R495" s="7"/>
      <c r="S495" s="7"/>
      <c r="T495" s="7"/>
      <c r="U495" s="7"/>
      <c r="W495" s="7"/>
      <c r="Z495" s="22"/>
      <c r="AA495" s="22"/>
      <c r="AL495" s="14"/>
      <c r="AM495" s="14"/>
      <c r="AN495" s="14"/>
      <c r="AO495" s="16"/>
      <c r="AP495" s="16"/>
      <c r="AQ495" s="16"/>
      <c r="AR495" s="16"/>
      <c r="AS495" s="16"/>
      <c r="AT495" s="18"/>
      <c r="AU495" s="16"/>
      <c r="AV495" s="18"/>
    </row>
    <row r="496" spans="1:48" hidden="1" outlineLevel="1">
      <c r="A496" s="30" t="s">
        <v>32</v>
      </c>
      <c r="B496" s="6" t="s">
        <v>32</v>
      </c>
      <c r="C496" s="5">
        <v>0</v>
      </c>
      <c r="D496" s="6">
        <f t="shared" ca="1" si="140"/>
        <v>0</v>
      </c>
      <c r="E496" s="6"/>
      <c r="F496" s="6"/>
      <c r="G496" s="7"/>
      <c r="H496" s="7"/>
      <c r="I496" s="7"/>
      <c r="J496" s="7"/>
      <c r="K496" s="6">
        <f t="shared" ca="1" si="141"/>
        <v>0</v>
      </c>
      <c r="L496" s="7">
        <f t="shared" ca="1" si="142"/>
        <v>0</v>
      </c>
      <c r="N496" s="6"/>
      <c r="O496" s="6"/>
      <c r="P496" s="6"/>
      <c r="Q496" s="7"/>
      <c r="R496" s="7"/>
      <c r="S496" s="7"/>
      <c r="T496" s="7"/>
      <c r="U496" s="7"/>
      <c r="W496" s="7"/>
      <c r="Z496" s="22"/>
      <c r="AA496" s="22"/>
      <c r="AL496" s="14"/>
      <c r="AM496" s="14"/>
      <c r="AN496" s="14"/>
      <c r="AO496" s="16"/>
      <c r="AP496" s="16"/>
      <c r="AQ496" s="16"/>
      <c r="AR496" s="16"/>
      <c r="AS496" s="16"/>
      <c r="AT496" s="18"/>
      <c r="AU496" s="16"/>
      <c r="AV496" s="18"/>
    </row>
    <row r="497" spans="1:48" hidden="1" outlineLevel="1">
      <c r="A497" s="30" t="s">
        <v>32</v>
      </c>
      <c r="B497" s="6" t="s">
        <v>32</v>
      </c>
      <c r="C497" s="5">
        <v>0</v>
      </c>
      <c r="D497" s="6">
        <f t="shared" ca="1" si="140"/>
        <v>0</v>
      </c>
      <c r="E497" s="6"/>
      <c r="F497" s="6"/>
      <c r="G497" s="7"/>
      <c r="H497" s="7"/>
      <c r="I497" s="7"/>
      <c r="J497" s="7"/>
      <c r="K497" s="6">
        <f t="shared" ca="1" si="141"/>
        <v>0</v>
      </c>
      <c r="L497" s="7">
        <f t="shared" ca="1" si="142"/>
        <v>0</v>
      </c>
      <c r="N497" s="6"/>
      <c r="O497" s="6"/>
      <c r="P497" s="6"/>
      <c r="Q497" s="7"/>
      <c r="R497" s="7"/>
      <c r="S497" s="7"/>
      <c r="T497" s="7"/>
      <c r="U497" s="7"/>
      <c r="W497" s="7"/>
      <c r="Z497" s="22"/>
      <c r="AA497" s="22"/>
      <c r="AL497" s="14"/>
      <c r="AM497" s="14"/>
      <c r="AN497" s="14"/>
      <c r="AO497" s="16"/>
      <c r="AP497" s="16"/>
      <c r="AQ497" s="16"/>
      <c r="AR497" s="16"/>
      <c r="AS497" s="16"/>
      <c r="AT497" s="18"/>
      <c r="AU497" s="16"/>
      <c r="AV497" s="18"/>
    </row>
    <row r="498" spans="1:48" hidden="1" outlineLevel="1">
      <c r="A498" s="30" t="s">
        <v>32</v>
      </c>
      <c r="B498" s="6" t="s">
        <v>32</v>
      </c>
      <c r="C498" s="5">
        <v>0</v>
      </c>
      <c r="D498" s="6">
        <f t="shared" ca="1" si="140"/>
        <v>0</v>
      </c>
      <c r="E498" s="6"/>
      <c r="F498" s="6"/>
      <c r="G498" s="7"/>
      <c r="H498" s="7"/>
      <c r="I498" s="7"/>
      <c r="J498" s="7"/>
      <c r="K498" s="6">
        <f t="shared" ca="1" si="141"/>
        <v>0</v>
      </c>
      <c r="L498" s="7">
        <f t="shared" ca="1" si="142"/>
        <v>0</v>
      </c>
      <c r="N498" s="6"/>
      <c r="O498" s="6"/>
      <c r="P498" s="6"/>
      <c r="Q498" s="7"/>
      <c r="R498" s="7"/>
      <c r="S498" s="7"/>
      <c r="T498" s="7"/>
      <c r="U498" s="7"/>
      <c r="W498" s="7"/>
      <c r="Z498" s="22"/>
      <c r="AA498" s="22"/>
      <c r="AL498" s="14"/>
      <c r="AM498" s="14"/>
      <c r="AN498" s="14"/>
      <c r="AO498" s="16"/>
      <c r="AP498" s="16"/>
      <c r="AQ498" s="16"/>
      <c r="AR498" s="16"/>
      <c r="AS498" s="16"/>
      <c r="AT498" s="18"/>
      <c r="AU498" s="16"/>
      <c r="AV498" s="18"/>
    </row>
    <row r="499" spans="1:48" hidden="1" outlineLevel="1">
      <c r="A499" s="30" t="s">
        <v>32</v>
      </c>
      <c r="B499" s="6" t="s">
        <v>32</v>
      </c>
      <c r="C499" s="5">
        <v>0</v>
      </c>
      <c r="D499" s="6">
        <f t="shared" ca="1" si="140"/>
        <v>0</v>
      </c>
      <c r="E499" s="6"/>
      <c r="F499" s="6"/>
      <c r="G499" s="7"/>
      <c r="H499" s="7"/>
      <c r="I499" s="7"/>
      <c r="J499" s="7"/>
      <c r="K499" s="6">
        <f t="shared" ca="1" si="141"/>
        <v>0</v>
      </c>
      <c r="L499" s="7">
        <f t="shared" ca="1" si="142"/>
        <v>0</v>
      </c>
      <c r="N499" s="6"/>
      <c r="O499" s="6"/>
      <c r="P499" s="6"/>
      <c r="Q499" s="7"/>
      <c r="R499" s="7"/>
      <c r="S499" s="7"/>
      <c r="T499" s="7"/>
      <c r="U499" s="7"/>
      <c r="W499" s="7"/>
      <c r="Z499" s="22"/>
      <c r="AA499" s="22"/>
      <c r="AL499" s="14"/>
      <c r="AM499" s="14"/>
      <c r="AN499" s="14"/>
      <c r="AO499" s="16"/>
      <c r="AP499" s="16"/>
      <c r="AQ499" s="16"/>
      <c r="AR499" s="16"/>
      <c r="AS499" s="16"/>
      <c r="AT499" s="18"/>
      <c r="AU499" s="16"/>
      <c r="AV499" s="18"/>
    </row>
    <row r="500" spans="1:48" s="8" customFormat="1" outlineLevel="1">
      <c r="A500" s="25"/>
      <c r="B500" s="8" t="s">
        <v>22</v>
      </c>
      <c r="C500" s="8">
        <f t="shared" ref="C500:L500" ca="1" si="143">SUM(C490:C499)</f>
        <v>1066435.0246866052</v>
      </c>
      <c r="D500" s="8">
        <f t="shared" ca="1" si="143"/>
        <v>1035196.5402749601</v>
      </c>
      <c r="E500" s="8">
        <f t="shared" ca="1" si="143"/>
        <v>256687.36739587865</v>
      </c>
      <c r="F500" s="8">
        <f t="shared" ca="1" si="143"/>
        <v>778509.17287908134</v>
      </c>
      <c r="G500" s="8">
        <f t="shared" ca="1" si="143"/>
        <v>31238.484411645069</v>
      </c>
      <c r="H500" s="8">
        <f t="shared" ca="1" si="143"/>
        <v>0</v>
      </c>
      <c r="I500" s="8">
        <f t="shared" ca="1" si="143"/>
        <v>0</v>
      </c>
      <c r="J500" s="8">
        <f t="shared" ca="1" si="143"/>
        <v>0</v>
      </c>
      <c r="K500" s="8">
        <f t="shared" ca="1" si="143"/>
        <v>0</v>
      </c>
      <c r="L500" s="8">
        <f t="shared" ca="1" si="143"/>
        <v>1066435.0246866052</v>
      </c>
      <c r="V500" s="4"/>
      <c r="AD500" s="4"/>
      <c r="AE500" s="4"/>
      <c r="AL500" s="11"/>
      <c r="AM500" s="11"/>
      <c r="AN500" s="11"/>
      <c r="AO500" s="11"/>
      <c r="AP500" s="11"/>
      <c r="AQ500" s="11"/>
      <c r="AR500" s="11"/>
      <c r="AS500" s="11"/>
      <c r="AT500" s="18"/>
      <c r="AU500" s="11"/>
      <c r="AV500" s="11"/>
    </row>
    <row r="501" spans="1:48" outlineLevel="1"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</row>
    <row r="502" spans="1:48" outlineLevel="1">
      <c r="B502" s="1" t="s">
        <v>294</v>
      </c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</row>
    <row r="503" spans="1:48" outlineLevel="1">
      <c r="A503" s="30">
        <v>912</v>
      </c>
      <c r="B503" s="6" t="s">
        <v>237</v>
      </c>
      <c r="C503" s="5">
        <v>1735.6795637626292</v>
      </c>
      <c r="D503" s="6">
        <f t="shared" ref="D503:D509" ca="1" si="144">E503+F503</f>
        <v>1679.4190263789349</v>
      </c>
      <c r="E503" s="6">
        <v>1679.4190263789349</v>
      </c>
      <c r="F503" s="6"/>
      <c r="G503" s="7">
        <v>56.26053738369432</v>
      </c>
      <c r="H503" s="7"/>
      <c r="I503" s="7"/>
      <c r="J503" s="7"/>
      <c r="K503" s="6">
        <f t="shared" ref="K503:K509" ca="1" si="145">+I503+J503</f>
        <v>0</v>
      </c>
      <c r="L503" s="7">
        <f t="shared" ref="L503:L509" ca="1" si="146">D503+G503+H503+K503</f>
        <v>1735.6795637626292</v>
      </c>
      <c r="N503" s="6" t="s">
        <v>56</v>
      </c>
      <c r="O503" s="6" t="s">
        <v>63</v>
      </c>
      <c r="P503" s="6"/>
      <c r="Q503" s="7"/>
      <c r="R503" s="7" t="s">
        <v>231</v>
      </c>
      <c r="S503" s="7"/>
      <c r="T503" s="7"/>
      <c r="U503" s="7"/>
      <c r="W503" s="7"/>
      <c r="Z503" s="22"/>
      <c r="AA503" s="22"/>
      <c r="AL503" s="14"/>
      <c r="AM503" s="14"/>
      <c r="AN503" s="14"/>
      <c r="AO503" s="14"/>
      <c r="AP503" s="14"/>
      <c r="AQ503" s="14"/>
      <c r="AR503" s="14"/>
      <c r="AS503" s="14"/>
      <c r="AT503" s="18"/>
      <c r="AU503" s="14"/>
      <c r="AV503" s="18"/>
    </row>
    <row r="504" spans="1:48" hidden="1" outlineLevel="1">
      <c r="A504" s="30" t="s">
        <v>32</v>
      </c>
      <c r="B504" s="6" t="s">
        <v>32</v>
      </c>
      <c r="C504" s="5">
        <v>0</v>
      </c>
      <c r="D504" s="6">
        <f t="shared" ca="1" si="144"/>
        <v>0</v>
      </c>
      <c r="E504" s="6"/>
      <c r="F504" s="6"/>
      <c r="G504" s="7"/>
      <c r="H504" s="7"/>
      <c r="I504" s="7"/>
      <c r="J504" s="7"/>
      <c r="K504" s="6">
        <f t="shared" ca="1" si="145"/>
        <v>0</v>
      </c>
      <c r="L504" s="7">
        <f t="shared" ca="1" si="146"/>
        <v>0</v>
      </c>
      <c r="N504" s="6"/>
      <c r="O504" s="6"/>
      <c r="P504" s="6"/>
      <c r="Q504" s="7"/>
      <c r="R504" s="7"/>
      <c r="S504" s="7"/>
      <c r="T504" s="7"/>
      <c r="U504" s="7"/>
      <c r="W504" s="7"/>
      <c r="Z504" s="22"/>
      <c r="AA504" s="22"/>
      <c r="AL504" s="14"/>
      <c r="AM504" s="14"/>
      <c r="AN504" s="14"/>
      <c r="AO504" s="16"/>
      <c r="AP504" s="16"/>
      <c r="AQ504" s="16"/>
      <c r="AR504" s="16"/>
      <c r="AS504" s="16"/>
      <c r="AT504" s="18"/>
      <c r="AU504" s="16"/>
      <c r="AV504" s="18"/>
    </row>
    <row r="505" spans="1:48" hidden="1" outlineLevel="1">
      <c r="A505" s="30" t="s">
        <v>32</v>
      </c>
      <c r="B505" s="6" t="s">
        <v>32</v>
      </c>
      <c r="C505" s="5">
        <v>0</v>
      </c>
      <c r="D505" s="6">
        <f t="shared" ca="1" si="144"/>
        <v>0</v>
      </c>
      <c r="E505" s="6"/>
      <c r="F505" s="6"/>
      <c r="G505" s="7"/>
      <c r="H505" s="7"/>
      <c r="I505" s="7"/>
      <c r="J505" s="7"/>
      <c r="K505" s="6">
        <f t="shared" ca="1" si="145"/>
        <v>0</v>
      </c>
      <c r="L505" s="7">
        <f t="shared" ca="1" si="146"/>
        <v>0</v>
      </c>
      <c r="N505" s="6"/>
      <c r="O505" s="6"/>
      <c r="P505" s="6"/>
      <c r="Q505" s="7"/>
      <c r="R505" s="7"/>
      <c r="S505" s="7"/>
      <c r="T505" s="7"/>
      <c r="U505" s="7"/>
      <c r="W505" s="7"/>
      <c r="Z505" s="22"/>
      <c r="AA505" s="22"/>
      <c r="AL505" s="14"/>
      <c r="AM505" s="14"/>
      <c r="AN505" s="14"/>
      <c r="AO505" s="16"/>
      <c r="AP505" s="16"/>
      <c r="AQ505" s="16"/>
      <c r="AR505" s="16"/>
      <c r="AS505" s="16"/>
      <c r="AT505" s="18"/>
      <c r="AU505" s="16"/>
      <c r="AV505" s="18"/>
    </row>
    <row r="506" spans="1:48" hidden="1" outlineLevel="1">
      <c r="A506" s="30" t="s">
        <v>32</v>
      </c>
      <c r="B506" s="6" t="s">
        <v>32</v>
      </c>
      <c r="C506" s="5">
        <v>0</v>
      </c>
      <c r="D506" s="6">
        <f t="shared" ca="1" si="144"/>
        <v>0</v>
      </c>
      <c r="E506" s="6"/>
      <c r="F506" s="6"/>
      <c r="G506" s="7"/>
      <c r="H506" s="7"/>
      <c r="I506" s="7"/>
      <c r="J506" s="7"/>
      <c r="K506" s="6">
        <f t="shared" ca="1" si="145"/>
        <v>0</v>
      </c>
      <c r="L506" s="7">
        <f t="shared" ca="1" si="146"/>
        <v>0</v>
      </c>
      <c r="N506" s="6"/>
      <c r="O506" s="6"/>
      <c r="P506" s="6"/>
      <c r="Q506" s="7"/>
      <c r="R506" s="7"/>
      <c r="S506" s="7"/>
      <c r="T506" s="7"/>
      <c r="U506" s="7"/>
      <c r="W506" s="7"/>
      <c r="Z506" s="22"/>
      <c r="AA506" s="22"/>
      <c r="AL506" s="14"/>
      <c r="AM506" s="14"/>
      <c r="AN506" s="14"/>
      <c r="AO506" s="16"/>
      <c r="AP506" s="16"/>
      <c r="AQ506" s="16"/>
      <c r="AR506" s="16"/>
      <c r="AS506" s="16"/>
      <c r="AT506" s="18"/>
      <c r="AU506" s="16"/>
      <c r="AV506" s="18"/>
    </row>
    <row r="507" spans="1:48" hidden="1" outlineLevel="1">
      <c r="A507" s="30" t="s">
        <v>32</v>
      </c>
      <c r="B507" s="6" t="s">
        <v>32</v>
      </c>
      <c r="C507" s="5">
        <v>0</v>
      </c>
      <c r="D507" s="6">
        <f t="shared" ca="1" si="144"/>
        <v>0</v>
      </c>
      <c r="E507" s="6"/>
      <c r="F507" s="6"/>
      <c r="G507" s="7"/>
      <c r="H507" s="7"/>
      <c r="I507" s="7"/>
      <c r="J507" s="7"/>
      <c r="K507" s="6">
        <f t="shared" ca="1" si="145"/>
        <v>0</v>
      </c>
      <c r="L507" s="7">
        <f t="shared" ca="1" si="146"/>
        <v>0</v>
      </c>
      <c r="N507" s="6"/>
      <c r="O507" s="6"/>
      <c r="P507" s="6"/>
      <c r="Q507" s="7"/>
      <c r="R507" s="7"/>
      <c r="S507" s="7"/>
      <c r="T507" s="7"/>
      <c r="U507" s="7"/>
      <c r="W507" s="7"/>
      <c r="Z507" s="22"/>
      <c r="AA507" s="22"/>
      <c r="AL507" s="14"/>
      <c r="AM507" s="14"/>
      <c r="AN507" s="14"/>
      <c r="AO507" s="16"/>
      <c r="AP507" s="16"/>
      <c r="AQ507" s="16"/>
      <c r="AR507" s="16"/>
      <c r="AS507" s="16"/>
      <c r="AT507" s="18"/>
      <c r="AU507" s="16"/>
      <c r="AV507" s="18"/>
    </row>
    <row r="508" spans="1:48" hidden="1" outlineLevel="1">
      <c r="A508" s="30" t="s">
        <v>32</v>
      </c>
      <c r="B508" s="6" t="s">
        <v>32</v>
      </c>
      <c r="C508" s="5">
        <v>0</v>
      </c>
      <c r="D508" s="6">
        <f t="shared" ca="1" si="144"/>
        <v>0</v>
      </c>
      <c r="E508" s="6"/>
      <c r="F508" s="6"/>
      <c r="G508" s="7"/>
      <c r="H508" s="7"/>
      <c r="I508" s="7"/>
      <c r="J508" s="7"/>
      <c r="K508" s="6">
        <f t="shared" ca="1" si="145"/>
        <v>0</v>
      </c>
      <c r="L508" s="7">
        <f t="shared" ca="1" si="146"/>
        <v>0</v>
      </c>
      <c r="N508" s="6"/>
      <c r="O508" s="6"/>
      <c r="P508" s="6"/>
      <c r="Q508" s="7"/>
      <c r="R508" s="7"/>
      <c r="S508" s="7"/>
      <c r="T508" s="7"/>
      <c r="U508" s="7"/>
      <c r="W508" s="7"/>
      <c r="Z508" s="22"/>
      <c r="AA508" s="22"/>
      <c r="AL508" s="14"/>
      <c r="AM508" s="14"/>
      <c r="AN508" s="14"/>
      <c r="AO508" s="16"/>
      <c r="AP508" s="16"/>
      <c r="AQ508" s="16"/>
      <c r="AR508" s="16"/>
      <c r="AS508" s="16"/>
      <c r="AT508" s="18"/>
      <c r="AU508" s="16"/>
      <c r="AV508" s="18"/>
    </row>
    <row r="509" spans="1:48" hidden="1" outlineLevel="1">
      <c r="A509" s="30" t="s">
        <v>32</v>
      </c>
      <c r="B509" s="6" t="s">
        <v>32</v>
      </c>
      <c r="C509" s="5">
        <v>0</v>
      </c>
      <c r="D509" s="6">
        <f t="shared" ca="1" si="144"/>
        <v>0</v>
      </c>
      <c r="E509" s="6"/>
      <c r="F509" s="6"/>
      <c r="G509" s="7"/>
      <c r="H509" s="7"/>
      <c r="I509" s="7"/>
      <c r="J509" s="7"/>
      <c r="K509" s="6">
        <f t="shared" ca="1" si="145"/>
        <v>0</v>
      </c>
      <c r="L509" s="7">
        <f t="shared" ca="1" si="146"/>
        <v>0</v>
      </c>
      <c r="N509" s="6"/>
      <c r="O509" s="6"/>
      <c r="P509" s="6"/>
      <c r="Q509" s="7"/>
      <c r="R509" s="7"/>
      <c r="S509" s="7"/>
      <c r="T509" s="7"/>
      <c r="U509" s="7"/>
      <c r="W509" s="7"/>
      <c r="Z509" s="22"/>
      <c r="AA509" s="22"/>
      <c r="AL509" s="14"/>
      <c r="AM509" s="14"/>
      <c r="AN509" s="14"/>
      <c r="AO509" s="16"/>
      <c r="AP509" s="16"/>
      <c r="AQ509" s="16"/>
      <c r="AR509" s="16"/>
      <c r="AS509" s="16"/>
      <c r="AT509" s="18"/>
      <c r="AU509" s="16"/>
      <c r="AV509" s="18"/>
    </row>
    <row r="510" spans="1:48" s="8" customFormat="1" outlineLevel="1">
      <c r="A510" s="25"/>
      <c r="B510" s="8" t="s">
        <v>22</v>
      </c>
      <c r="C510" s="8">
        <f t="shared" ref="C510:L510" ca="1" si="147">SUM(C503:C509)</f>
        <v>1735.6795637626292</v>
      </c>
      <c r="D510" s="8">
        <f t="shared" ca="1" si="147"/>
        <v>1679.4190263789349</v>
      </c>
      <c r="E510" s="8">
        <f t="shared" ca="1" si="147"/>
        <v>1679.4190263789349</v>
      </c>
      <c r="F510" s="8">
        <f t="shared" ca="1" si="147"/>
        <v>0</v>
      </c>
      <c r="G510" s="8">
        <f t="shared" ca="1" si="147"/>
        <v>56.26053738369432</v>
      </c>
      <c r="H510" s="8">
        <f t="shared" ca="1" si="147"/>
        <v>0</v>
      </c>
      <c r="I510" s="8">
        <f t="shared" ca="1" si="147"/>
        <v>0</v>
      </c>
      <c r="J510" s="8">
        <f t="shared" ca="1" si="147"/>
        <v>0</v>
      </c>
      <c r="K510" s="8">
        <f t="shared" ca="1" si="147"/>
        <v>0</v>
      </c>
      <c r="L510" s="8">
        <f t="shared" ca="1" si="147"/>
        <v>1735.6795637626292</v>
      </c>
      <c r="M510" s="4"/>
      <c r="V510" s="4"/>
      <c r="AD510" s="4"/>
      <c r="AE510" s="4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</row>
    <row r="511" spans="1:48" outlineLevel="1">
      <c r="B511" s="1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</row>
    <row r="512" spans="1:48" outlineLevel="1">
      <c r="B512" s="1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</row>
    <row r="513" spans="1:48">
      <c r="B513" s="12" t="s">
        <v>295</v>
      </c>
      <c r="C513" s="12">
        <f ca="1" xml:space="preserve"> SUM(C408,C413,C423,C439,C448,C473,C487,C500,C510)</f>
        <v>36972491.579096645</v>
      </c>
      <c r="D513" s="12">
        <f t="shared" ref="D513:L513" ca="1" si="148" xml:space="preserve"> SUM(D408,D413,D423,D439,D448,D473,D487,D500,D510)</f>
        <v>35999657.492993556</v>
      </c>
      <c r="E513" s="12">
        <f t="shared" ca="1" si="148"/>
        <v>28844729.836480983</v>
      </c>
      <c r="F513" s="12">
        <f t="shared" ca="1" si="148"/>
        <v>7154927.656512565</v>
      </c>
      <c r="G513" s="12">
        <f t="shared" ca="1" si="148"/>
        <v>972834.08610309905</v>
      </c>
      <c r="H513" s="12">
        <f t="shared" ca="1" si="148"/>
        <v>0</v>
      </c>
      <c r="I513" s="12">
        <f ca="1" xml:space="preserve"> SUM(I408,I413,I423,I439,I448,I473,I487,I500,I510)</f>
        <v>0</v>
      </c>
      <c r="J513" s="12">
        <f ca="1" xml:space="preserve"> SUM(J408,J413,J423,J439,J448,J473,J487,J500,J510)</f>
        <v>0</v>
      </c>
      <c r="K513" s="12">
        <f t="shared" ca="1" si="148"/>
        <v>0</v>
      </c>
      <c r="L513" s="12">
        <f t="shared" ca="1" si="148"/>
        <v>36972491.579096645</v>
      </c>
      <c r="N513" s="12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</row>
    <row r="514" spans="1:48"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</row>
    <row r="515" spans="1:48">
      <c r="G515" s="9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</row>
    <row r="516" spans="1:48" ht="15.6">
      <c r="A516" s="28" t="s">
        <v>296</v>
      </c>
      <c r="H516" s="9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</row>
    <row r="517" spans="1:48" outlineLevel="1">
      <c r="A517" s="30">
        <v>403</v>
      </c>
      <c r="B517" s="6" t="s">
        <v>297</v>
      </c>
      <c r="C517" s="5">
        <v>36531.348112225998</v>
      </c>
      <c r="D517" s="6">
        <f t="shared" ref="D517:D533" ca="1" si="149">E517+F517</f>
        <v>60213.72</v>
      </c>
      <c r="E517" s="6">
        <v>60213.72</v>
      </c>
      <c r="F517" s="6"/>
      <c r="G517" s="6">
        <v>-23682.371887774003</v>
      </c>
      <c r="H517" s="7"/>
      <c r="I517" s="7"/>
      <c r="J517" s="7"/>
      <c r="K517" s="6">
        <f t="shared" ref="K517:K533" ca="1" si="150">+I517+J517</f>
        <v>0</v>
      </c>
      <c r="L517" s="7">
        <f t="shared" ref="L517:L533" ca="1" si="151">D517+G517+H517+K517</f>
        <v>36531.348112225998</v>
      </c>
      <c r="N517" s="6"/>
      <c r="O517" s="6"/>
      <c r="P517" s="6"/>
      <c r="Q517" s="7"/>
      <c r="R517" s="7"/>
      <c r="S517" s="7"/>
      <c r="T517" s="7"/>
      <c r="U517" s="7"/>
      <c r="W517" s="7" t="s">
        <v>25</v>
      </c>
      <c r="Z517" s="22"/>
      <c r="AA517" s="22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</row>
    <row r="518" spans="1:48" outlineLevel="1">
      <c r="A518" s="30">
        <v>403</v>
      </c>
      <c r="B518" s="6" t="s">
        <v>298</v>
      </c>
      <c r="C518" s="5">
        <v>0</v>
      </c>
      <c r="D518" s="6">
        <f t="shared" ca="1" si="149"/>
        <v>0</v>
      </c>
      <c r="E518" s="6">
        <v>0</v>
      </c>
      <c r="F518" s="6"/>
      <c r="G518" s="6"/>
      <c r="H518" s="7"/>
      <c r="I518" s="7"/>
      <c r="J518" s="7"/>
      <c r="K518" s="6">
        <f t="shared" ca="1" si="150"/>
        <v>0</v>
      </c>
      <c r="L518" s="7">
        <f t="shared" ca="1" si="151"/>
        <v>0</v>
      </c>
      <c r="N518" s="6" t="s">
        <v>35</v>
      </c>
      <c r="O518" s="6" t="s">
        <v>36</v>
      </c>
      <c r="P518" s="6"/>
      <c r="Q518" s="6" t="s">
        <v>37</v>
      </c>
      <c r="R518" s="6"/>
      <c r="S518" s="7"/>
      <c r="T518" s="7"/>
      <c r="U518" s="7"/>
      <c r="W518" s="7"/>
      <c r="Z518" s="22"/>
      <c r="AA518" s="22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</row>
    <row r="519" spans="1:48" outlineLevel="1">
      <c r="A519" s="30">
        <v>403</v>
      </c>
      <c r="B519" s="6" t="s">
        <v>299</v>
      </c>
      <c r="C519" s="5">
        <v>1050443.9252726268</v>
      </c>
      <c r="D519" s="6">
        <f t="shared" ca="1" si="149"/>
        <v>861455.64</v>
      </c>
      <c r="E519" s="6">
        <v>861455.64</v>
      </c>
      <c r="F519" s="6"/>
      <c r="G519" s="6">
        <v>188988.28527262667</v>
      </c>
      <c r="H519" s="7"/>
      <c r="I519" s="7"/>
      <c r="J519" s="7"/>
      <c r="K519" s="6">
        <f ca="1">+I519+J519</f>
        <v>0</v>
      </c>
      <c r="L519" s="7">
        <f ca="1">D519+G519+H519+K519</f>
        <v>1050443.9252726268</v>
      </c>
      <c r="N519" s="6"/>
      <c r="O519" s="6"/>
      <c r="P519" s="6"/>
      <c r="Q519" s="6"/>
      <c r="R519" s="6"/>
      <c r="S519" s="7"/>
      <c r="T519" s="7"/>
      <c r="U519" s="7"/>
      <c r="W519" s="7" t="s">
        <v>141</v>
      </c>
      <c r="Z519" s="22"/>
      <c r="AA519" s="22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</row>
    <row r="520" spans="1:48" outlineLevel="1">
      <c r="A520" s="30">
        <v>403</v>
      </c>
      <c r="B520" s="6" t="s">
        <v>300</v>
      </c>
      <c r="C520" s="5">
        <v>327939.31828419765</v>
      </c>
      <c r="D520" s="6">
        <f ca="1">E520+F520</f>
        <v>377649.96</v>
      </c>
      <c r="E520" s="6">
        <v>377649.96</v>
      </c>
      <c r="F520" s="6"/>
      <c r="G520" s="6">
        <v>-49710.641715802369</v>
      </c>
      <c r="H520" s="7"/>
      <c r="I520" s="7"/>
      <c r="J520" s="7"/>
      <c r="K520" s="6">
        <f t="shared" ca="1" si="150"/>
        <v>0</v>
      </c>
      <c r="L520" s="7">
        <f t="shared" ca="1" si="151"/>
        <v>327939.31828419765</v>
      </c>
      <c r="N520" s="6"/>
      <c r="O520" s="6"/>
      <c r="P520" s="6"/>
      <c r="Q520" s="7"/>
      <c r="R520" s="7"/>
      <c r="S520" s="7"/>
      <c r="T520" s="7"/>
      <c r="U520" s="7"/>
      <c r="W520" s="7" t="s">
        <v>301</v>
      </c>
      <c r="Z520" s="22"/>
      <c r="AA520" s="22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</row>
    <row r="521" spans="1:48" outlineLevel="1">
      <c r="A521" s="30">
        <v>403</v>
      </c>
      <c r="B521" s="6" t="s">
        <v>302</v>
      </c>
      <c r="C521" s="5">
        <v>31155.72</v>
      </c>
      <c r="D521" s="6">
        <f t="shared" ca="1" si="149"/>
        <v>31155.72</v>
      </c>
      <c r="E521" s="6">
        <v>31155.72</v>
      </c>
      <c r="F521" s="6"/>
      <c r="G521" s="6"/>
      <c r="H521" s="7"/>
      <c r="I521" s="7"/>
      <c r="J521" s="7"/>
      <c r="K521" s="6">
        <f t="shared" ca="1" si="150"/>
        <v>0</v>
      </c>
      <c r="L521" s="7">
        <f t="shared" ca="1" si="151"/>
        <v>31155.72</v>
      </c>
      <c r="N521" s="6"/>
      <c r="O521" s="6"/>
      <c r="P521" s="6"/>
      <c r="Q521" s="7"/>
      <c r="R521" s="7"/>
      <c r="S521" s="7"/>
      <c r="T521" s="7"/>
      <c r="U521" s="7"/>
      <c r="W521" s="7" t="s">
        <v>301</v>
      </c>
      <c r="Z521" s="22"/>
      <c r="AA521" s="22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</row>
    <row r="522" spans="1:48" outlineLevel="1">
      <c r="A522" s="30">
        <v>403</v>
      </c>
      <c r="B522" s="6" t="s">
        <v>303</v>
      </c>
      <c r="C522" s="5">
        <v>0</v>
      </c>
      <c r="D522" s="6">
        <f t="shared" ca="1" si="149"/>
        <v>0</v>
      </c>
      <c r="E522" s="6">
        <v>0</v>
      </c>
      <c r="F522" s="6"/>
      <c r="G522" s="6"/>
      <c r="H522" s="7"/>
      <c r="I522" s="7"/>
      <c r="J522" s="7"/>
      <c r="K522" s="6">
        <f t="shared" ca="1" si="150"/>
        <v>0</v>
      </c>
      <c r="L522" s="7">
        <f t="shared" ca="1" si="151"/>
        <v>0</v>
      </c>
      <c r="N522" s="6"/>
      <c r="O522" s="6"/>
      <c r="P522" s="6"/>
      <c r="Q522" s="7"/>
      <c r="R522" s="7"/>
      <c r="S522" s="7"/>
      <c r="T522" s="7"/>
      <c r="U522" s="7"/>
      <c r="W522" s="7" t="s">
        <v>304</v>
      </c>
      <c r="Z522" s="22"/>
      <c r="AA522" s="22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</row>
    <row r="523" spans="1:48" outlineLevel="1">
      <c r="A523" s="30">
        <v>403</v>
      </c>
      <c r="B523" s="6" t="s">
        <v>305</v>
      </c>
      <c r="C523" s="5">
        <v>90136987.367107853</v>
      </c>
      <c r="D523" s="6">
        <f ca="1">E523+F523</f>
        <v>111239580.05</v>
      </c>
      <c r="E523" s="6">
        <v>111239580.05</v>
      </c>
      <c r="F523" s="6"/>
      <c r="G523" s="6">
        <f ca="1">-20879200-223392.682892145</f>
        <v>-21102592.682892144</v>
      </c>
      <c r="H523" s="7"/>
      <c r="I523" s="7"/>
      <c r="J523" s="7"/>
      <c r="K523" s="6">
        <f t="shared" ca="1" si="150"/>
        <v>0</v>
      </c>
      <c r="L523" s="7">
        <f ca="1">D523+G523+H523+K523</f>
        <v>90136987.367107853</v>
      </c>
      <c r="N523" s="6"/>
      <c r="O523" s="6"/>
      <c r="P523" s="6"/>
      <c r="Q523" s="6"/>
      <c r="R523" s="6"/>
      <c r="S523" s="7"/>
      <c r="T523" s="7"/>
      <c r="U523" s="7"/>
      <c r="W523" s="7" t="s">
        <v>55</v>
      </c>
      <c r="Z523" s="22"/>
      <c r="AA523" s="22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</row>
    <row r="524" spans="1:48" outlineLevel="1">
      <c r="A524" s="30">
        <v>403</v>
      </c>
      <c r="B524" s="6" t="s">
        <v>306</v>
      </c>
      <c r="C524" s="5">
        <v>2026752.3069394501</v>
      </c>
      <c r="D524" s="6">
        <f ca="1">E524+F524</f>
        <v>0</v>
      </c>
      <c r="E524" s="6"/>
      <c r="F524" s="6"/>
      <c r="G524" s="6">
        <v>2026752.3069394501</v>
      </c>
      <c r="H524" s="7"/>
      <c r="I524" s="7"/>
      <c r="J524" s="7"/>
      <c r="K524" s="6">
        <f t="shared" ca="1" si="150"/>
        <v>0</v>
      </c>
      <c r="L524" s="7">
        <f ca="1">D524+G524+H524+K524</f>
        <v>2026752.3069394501</v>
      </c>
      <c r="N524" s="6" t="s">
        <v>56</v>
      </c>
      <c r="O524" s="6" t="s">
        <v>63</v>
      </c>
      <c r="P524" s="6"/>
      <c r="Q524" s="7"/>
      <c r="R524" s="7" t="s">
        <v>76</v>
      </c>
      <c r="S524" s="7"/>
      <c r="T524" s="7"/>
      <c r="U524" s="7"/>
      <c r="W524" s="7"/>
      <c r="Z524" s="22"/>
      <c r="AA524" s="22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</row>
    <row r="525" spans="1:48" outlineLevel="1">
      <c r="A525" s="30">
        <v>403</v>
      </c>
      <c r="B525" s="6" t="s">
        <v>307</v>
      </c>
      <c r="C525" s="5">
        <v>8036999.0937826335</v>
      </c>
      <c r="D525" s="6">
        <f ca="1">E525+F525</f>
        <v>9285053.9894989878</v>
      </c>
      <c r="E525" s="6">
        <v>1751794.75</v>
      </c>
      <c r="F525" s="6">
        <v>7533259.2394989878</v>
      </c>
      <c r="G525" s="7">
        <f ca="1">-20208300-SUM(G517:G524)</f>
        <v>-1248054.8957163543</v>
      </c>
      <c r="H525" s="7"/>
      <c r="I525" s="7"/>
      <c r="J525" s="7"/>
      <c r="K525" s="6">
        <f t="shared" ca="1" si="150"/>
        <v>0</v>
      </c>
      <c r="L525" s="7">
        <f ca="1">D525+G525+H525+K525</f>
        <v>8036999.0937826335</v>
      </c>
      <c r="N525" s="6"/>
      <c r="O525" s="6"/>
      <c r="P525" s="6"/>
      <c r="Q525" s="6"/>
      <c r="R525" s="6"/>
      <c r="S525" s="7"/>
      <c r="T525" s="7"/>
      <c r="U525" s="7"/>
      <c r="W525" s="7" t="s">
        <v>271</v>
      </c>
      <c r="Z525" s="22"/>
      <c r="AA525" s="22"/>
    </row>
    <row r="526" spans="1:48" hidden="1" outlineLevel="1">
      <c r="A526" s="30" t="s">
        <v>32</v>
      </c>
      <c r="B526" s="6" t="s">
        <v>32</v>
      </c>
      <c r="C526" s="5">
        <v>0</v>
      </c>
      <c r="D526" s="6">
        <f t="shared" ca="1" si="149"/>
        <v>0</v>
      </c>
      <c r="E526" s="6"/>
      <c r="F526" s="6"/>
      <c r="G526" s="7"/>
      <c r="H526" s="7"/>
      <c r="I526" s="7"/>
      <c r="J526" s="7"/>
      <c r="K526" s="6">
        <f t="shared" ca="1" si="150"/>
        <v>0</v>
      </c>
      <c r="L526" s="7">
        <f t="shared" ca="1" si="151"/>
        <v>0</v>
      </c>
      <c r="N526" s="6"/>
      <c r="O526" s="6"/>
      <c r="P526" s="6"/>
      <c r="Q526" s="6"/>
      <c r="R526" s="6"/>
      <c r="S526" s="7"/>
      <c r="T526" s="7"/>
      <c r="U526" s="7"/>
      <c r="W526" s="7"/>
      <c r="Z526" s="22"/>
      <c r="AA526" s="22"/>
    </row>
    <row r="527" spans="1:48" outlineLevel="1">
      <c r="A527" s="30">
        <v>403.1</v>
      </c>
      <c r="B527" s="6" t="s">
        <v>308</v>
      </c>
      <c r="C527" s="5">
        <v>153458.65324505017</v>
      </c>
      <c r="D527" s="6">
        <f t="shared" ca="1" si="149"/>
        <v>225675.98652199999</v>
      </c>
      <c r="E527" s="6">
        <v>173994.91999999899</v>
      </c>
      <c r="F527" s="6">
        <v>51681.066522000998</v>
      </c>
      <c r="G527" s="7">
        <v>-72217.333276949808</v>
      </c>
      <c r="H527" s="7"/>
      <c r="I527" s="7"/>
      <c r="J527" s="7"/>
      <c r="K527" s="6">
        <f t="shared" ca="1" si="150"/>
        <v>0</v>
      </c>
      <c r="L527" s="7">
        <f t="shared" ca="1" si="151"/>
        <v>153458.65324505017</v>
      </c>
      <c r="N527" s="6"/>
      <c r="O527" s="6"/>
      <c r="P527" s="6"/>
      <c r="Q527" s="7"/>
      <c r="R527" s="7"/>
      <c r="S527" s="7"/>
      <c r="T527" s="7"/>
      <c r="U527" s="7"/>
      <c r="W527" s="7" t="s">
        <v>194</v>
      </c>
      <c r="Z527" s="22"/>
      <c r="AA527" s="22"/>
    </row>
    <row r="528" spans="1:48" outlineLevel="1">
      <c r="A528" s="30">
        <v>404</v>
      </c>
      <c r="B528" s="6" t="s">
        <v>309</v>
      </c>
      <c r="C528" s="5">
        <v>11632340.560181901</v>
      </c>
      <c r="D528" s="6">
        <f t="shared" ca="1" si="149"/>
        <v>11632340.560181901</v>
      </c>
      <c r="E528" s="6">
        <v>1560964.14</v>
      </c>
      <c r="F528" s="6">
        <v>10071376.4201819</v>
      </c>
      <c r="G528" s="7">
        <v>0</v>
      </c>
      <c r="H528" s="7"/>
      <c r="I528" s="7"/>
      <c r="J528" s="7"/>
      <c r="K528" s="6">
        <f t="shared" ca="1" si="150"/>
        <v>0</v>
      </c>
      <c r="L528" s="7">
        <f t="shared" ca="1" si="151"/>
        <v>11632340.560181901</v>
      </c>
      <c r="N528" s="6"/>
      <c r="O528" s="6"/>
      <c r="P528" s="6"/>
      <c r="Q528" s="7"/>
      <c r="R528" s="7"/>
      <c r="S528" s="7"/>
      <c r="T528" s="7"/>
      <c r="U528" s="7"/>
      <c r="W528" s="7" t="s">
        <v>271</v>
      </c>
      <c r="Z528" s="22"/>
      <c r="AA528" s="22"/>
    </row>
    <row r="529" spans="1:27" outlineLevel="1">
      <c r="A529" s="30">
        <v>407</v>
      </c>
      <c r="B529" s="6" t="s">
        <v>310</v>
      </c>
      <c r="C529" s="5">
        <v>0</v>
      </c>
      <c r="D529" s="6">
        <f t="shared" ca="1" si="149"/>
        <v>0</v>
      </c>
      <c r="E529" s="6">
        <v>0</v>
      </c>
      <c r="F529" s="6">
        <v>0</v>
      </c>
      <c r="G529" s="7"/>
      <c r="H529" s="7"/>
      <c r="I529" s="7"/>
      <c r="J529" s="7"/>
      <c r="K529" s="6">
        <f t="shared" ca="1" si="150"/>
        <v>0</v>
      </c>
      <c r="L529" s="7">
        <f t="shared" ca="1" si="151"/>
        <v>0</v>
      </c>
      <c r="N529" s="6"/>
      <c r="O529" s="6"/>
      <c r="P529" s="6"/>
      <c r="Q529" s="7"/>
      <c r="R529" s="7"/>
      <c r="S529" s="7"/>
      <c r="T529" s="7"/>
      <c r="U529" s="7"/>
      <c r="W529" s="7" t="s">
        <v>18</v>
      </c>
      <c r="Z529" s="22"/>
      <c r="AA529" s="22"/>
    </row>
    <row r="530" spans="1:27" outlineLevel="1">
      <c r="A530" s="30">
        <v>407.3</v>
      </c>
      <c r="B530" s="6" t="s">
        <v>311</v>
      </c>
      <c r="C530" s="5">
        <v>14438496.687999997</v>
      </c>
      <c r="D530" s="6">
        <f t="shared" ca="1" si="149"/>
        <v>0</v>
      </c>
      <c r="E530" s="6">
        <v>0</v>
      </c>
      <c r="F530" s="6"/>
      <c r="G530" s="7">
        <v>14438496.687999997</v>
      </c>
      <c r="H530" s="7"/>
      <c r="I530" s="7"/>
      <c r="J530" s="7"/>
      <c r="K530" s="6">
        <f t="shared" ca="1" si="150"/>
        <v>0</v>
      </c>
      <c r="L530" s="7">
        <f t="shared" ca="1" si="151"/>
        <v>14438496.687999997</v>
      </c>
      <c r="N530" s="6" t="s">
        <v>56</v>
      </c>
      <c r="O530" s="6" t="s">
        <v>36</v>
      </c>
      <c r="P530" s="6"/>
      <c r="Q530" s="7" t="s">
        <v>312</v>
      </c>
      <c r="R530" s="7"/>
      <c r="S530" s="7"/>
      <c r="T530" s="7"/>
      <c r="U530" s="7"/>
      <c r="W530" s="7"/>
      <c r="Z530" s="22"/>
      <c r="AA530" s="22"/>
    </row>
    <row r="531" spans="1:27" outlineLevel="1">
      <c r="A531" s="30">
        <v>407.4</v>
      </c>
      <c r="B531" s="6" t="s">
        <v>313</v>
      </c>
      <c r="C531" s="5">
        <v>-5916160.5151539948</v>
      </c>
      <c r="D531" s="6">
        <f ca="1">E531+F531</f>
        <v>-39064.743450000002</v>
      </c>
      <c r="E531" s="6">
        <v>0</v>
      </c>
      <c r="F531" s="6">
        <v>-39064.743450000002</v>
      </c>
      <c r="G531" s="7">
        <v>-5877095.7717039948</v>
      </c>
      <c r="H531" s="7"/>
      <c r="I531" s="7"/>
      <c r="J531" s="7"/>
      <c r="K531" s="6">
        <f ca="1">+I531+J531</f>
        <v>0</v>
      </c>
      <c r="L531" s="7">
        <f ca="1">D531+G531+H531+K531</f>
        <v>-5916160.5151539948</v>
      </c>
      <c r="N531" s="6" t="s">
        <v>56</v>
      </c>
      <c r="O531" s="6" t="s">
        <v>36</v>
      </c>
      <c r="P531" s="6"/>
      <c r="Q531" s="7" t="s">
        <v>312</v>
      </c>
      <c r="R531" s="7"/>
      <c r="S531" s="7"/>
      <c r="T531" s="7"/>
      <c r="U531" s="7"/>
      <c r="W531" s="7"/>
      <c r="Z531" s="22"/>
      <c r="AA531" s="22"/>
    </row>
    <row r="532" spans="1:27" outlineLevel="1">
      <c r="A532" s="30">
        <v>411</v>
      </c>
      <c r="B532" s="6" t="s">
        <v>314</v>
      </c>
      <c r="C532" s="5">
        <v>25409.813093289813</v>
      </c>
      <c r="D532" s="6">
        <f t="shared" ca="1" si="149"/>
        <v>33662.933920000003</v>
      </c>
      <c r="E532" s="6">
        <v>28810.3</v>
      </c>
      <c r="F532" s="6">
        <v>4852.6339200000039</v>
      </c>
      <c r="G532" s="7">
        <v>-8253.1208267101902</v>
      </c>
      <c r="H532" s="7"/>
      <c r="I532" s="7"/>
      <c r="J532" s="7"/>
      <c r="K532" s="6">
        <f t="shared" ca="1" si="150"/>
        <v>0</v>
      </c>
      <c r="L532" s="7">
        <f t="shared" ca="1" si="151"/>
        <v>25409.813093289813</v>
      </c>
      <c r="N532" s="6"/>
      <c r="O532" s="6"/>
      <c r="P532" s="6"/>
      <c r="Q532" s="7"/>
      <c r="R532" s="7"/>
      <c r="S532" s="7"/>
      <c r="T532" s="7"/>
      <c r="U532" s="7"/>
      <c r="W532" s="7" t="s">
        <v>194</v>
      </c>
      <c r="Z532" s="22"/>
      <c r="AA532" s="22"/>
    </row>
    <row r="533" spans="1:27" outlineLevel="1">
      <c r="A533" s="30">
        <v>414</v>
      </c>
      <c r="B533" s="6" t="s">
        <v>315</v>
      </c>
      <c r="C533" s="5">
        <v>-30231.199999999895</v>
      </c>
      <c r="D533" s="6">
        <f t="shared" ca="1" si="149"/>
        <v>-191908.1999999999</v>
      </c>
      <c r="E533" s="7">
        <v>-45370.199999999895</v>
      </c>
      <c r="F533" s="7">
        <f ca="1">-304457+157919</f>
        <v>-146538</v>
      </c>
      <c r="G533" s="7">
        <f ca="1">87834+73843</f>
        <v>161677</v>
      </c>
      <c r="H533" s="7"/>
      <c r="I533" s="7"/>
      <c r="J533" s="7"/>
      <c r="K533" s="6">
        <f t="shared" ca="1" si="150"/>
        <v>0</v>
      </c>
      <c r="L533" s="7">
        <f t="shared" ca="1" si="151"/>
        <v>-30231.199999999895</v>
      </c>
      <c r="N533" s="6"/>
      <c r="O533" s="6"/>
      <c r="P533" s="6"/>
      <c r="Q533" s="7"/>
      <c r="R533" s="7"/>
      <c r="S533" s="7"/>
      <c r="T533" s="7"/>
      <c r="U533" s="7"/>
      <c r="W533" s="7" t="s">
        <v>271</v>
      </c>
      <c r="Z533" s="22"/>
      <c r="AA533" s="22"/>
    </row>
    <row r="534" spans="1:27">
      <c r="B534" s="12" t="s">
        <v>316</v>
      </c>
      <c r="C534" s="12">
        <f t="shared" ref="C534:L534" ca="1" si="152">SUM(C517:C533)</f>
        <v>121950123.07886523</v>
      </c>
      <c r="D534" s="12">
        <f t="shared" ca="1" si="152"/>
        <v>133515815.61667289</v>
      </c>
      <c r="E534" s="12">
        <f ca="1">SUM(E517:E533)</f>
        <v>116040249</v>
      </c>
      <c r="F534" s="12">
        <f t="shared" ca="1" si="152"/>
        <v>17475566.616672888</v>
      </c>
      <c r="G534" s="12">
        <f ca="1">SUM(G517:G533)</f>
        <v>-11565692.537807658</v>
      </c>
      <c r="H534" s="12">
        <f t="shared" ca="1" si="152"/>
        <v>0</v>
      </c>
      <c r="I534" s="12">
        <f t="shared" ca="1" si="152"/>
        <v>0</v>
      </c>
      <c r="J534" s="12">
        <f t="shared" ca="1" si="152"/>
        <v>0</v>
      </c>
      <c r="K534" s="12">
        <f t="shared" ca="1" si="152"/>
        <v>0</v>
      </c>
      <c r="L534" s="12">
        <f t="shared" ca="1" si="152"/>
        <v>121950123.07886523</v>
      </c>
    </row>
    <row r="535" spans="1:27">
      <c r="B535" s="12"/>
      <c r="C535" s="12"/>
      <c r="D535" s="12"/>
      <c r="E535" s="12"/>
      <c r="F535" s="12"/>
      <c r="G535" s="15"/>
      <c r="H535" s="12"/>
      <c r="I535" s="12"/>
      <c r="J535" s="12"/>
      <c r="K535" s="12"/>
      <c r="L535" s="12"/>
    </row>
    <row r="536" spans="1:27" ht="15.6">
      <c r="A536" s="28" t="s">
        <v>317</v>
      </c>
    </row>
    <row r="537" spans="1:27" outlineLevel="1">
      <c r="A537" s="30">
        <v>408.1</v>
      </c>
      <c r="B537" s="6" t="s">
        <v>318</v>
      </c>
      <c r="C537" s="5">
        <v>193040.65700864451</v>
      </c>
      <c r="D537" s="6">
        <f t="shared" ref="D537:D545" ca="1" si="153">E537+F537</f>
        <v>193040.65700864451</v>
      </c>
      <c r="E537" s="6">
        <v>193040.65700864451</v>
      </c>
      <c r="F537" s="6"/>
      <c r="G537" s="7"/>
      <c r="H537" s="7"/>
      <c r="I537" s="7"/>
      <c r="J537" s="7"/>
      <c r="K537" s="6">
        <f t="shared" ref="K537:K545" ca="1" si="154">+I537+J537</f>
        <v>0</v>
      </c>
      <c r="L537" s="7">
        <f t="shared" ref="L537:L545" ca="1" si="155">D537+G537+H537+K537</f>
        <v>193040.65700864451</v>
      </c>
      <c r="N537" s="7" t="s">
        <v>202</v>
      </c>
      <c r="O537" s="6" t="s">
        <v>203</v>
      </c>
      <c r="P537" s="6"/>
      <c r="Q537" s="6"/>
      <c r="R537" s="6"/>
      <c r="S537" s="6" t="s">
        <v>319</v>
      </c>
      <c r="T537" s="7"/>
      <c r="U537" s="7"/>
      <c r="W537" s="7"/>
      <c r="Z537" s="22"/>
      <c r="AA537" s="22"/>
    </row>
    <row r="538" spans="1:27" outlineLevel="1">
      <c r="A538" s="30">
        <v>408.1</v>
      </c>
      <c r="B538" s="6" t="s">
        <v>320</v>
      </c>
      <c r="C538" s="5">
        <v>50763.065882192008</v>
      </c>
      <c r="D538" s="6">
        <f t="shared" ca="1" si="153"/>
        <v>50763.065882192008</v>
      </c>
      <c r="E538" s="6">
        <v>50763.065882192008</v>
      </c>
      <c r="F538" s="6"/>
      <c r="G538" s="7"/>
      <c r="H538" s="7"/>
      <c r="I538" s="7"/>
      <c r="J538" s="7"/>
      <c r="K538" s="6">
        <f t="shared" ca="1" si="154"/>
        <v>0</v>
      </c>
      <c r="L538" s="7">
        <f t="shared" ca="1" si="155"/>
        <v>50763.065882192008</v>
      </c>
      <c r="N538" s="7" t="s">
        <v>206</v>
      </c>
      <c r="O538" s="6" t="s">
        <v>207</v>
      </c>
      <c r="P538" s="6"/>
      <c r="Q538" s="7"/>
      <c r="R538" s="7"/>
      <c r="S538" s="7"/>
      <c r="T538" s="7" t="s">
        <v>321</v>
      </c>
      <c r="U538" s="7"/>
      <c r="W538" s="7"/>
      <c r="Z538" s="22"/>
      <c r="AA538" s="22"/>
    </row>
    <row r="539" spans="1:27" outlineLevel="1">
      <c r="A539" s="30">
        <v>408.1</v>
      </c>
      <c r="B539" s="6" t="s">
        <v>322</v>
      </c>
      <c r="C539" s="5">
        <v>32224.420065767517</v>
      </c>
      <c r="D539" s="6">
        <f t="shared" ca="1" si="153"/>
        <v>32224.420065767517</v>
      </c>
      <c r="E539" s="6">
        <v>32224.420065767517</v>
      </c>
      <c r="F539" s="6"/>
      <c r="G539" s="7"/>
      <c r="H539" s="7"/>
      <c r="I539" s="7"/>
      <c r="J539" s="7"/>
      <c r="K539" s="6">
        <f t="shared" ca="1" si="154"/>
        <v>0</v>
      </c>
      <c r="L539" s="7">
        <f t="shared" ca="1" si="155"/>
        <v>32224.420065767517</v>
      </c>
      <c r="N539" s="7" t="s">
        <v>202</v>
      </c>
      <c r="O539" s="6" t="s">
        <v>203</v>
      </c>
      <c r="P539" s="6"/>
      <c r="Q539" s="7"/>
      <c r="R539" s="6"/>
      <c r="S539" s="7" t="s">
        <v>241</v>
      </c>
      <c r="T539" s="7"/>
      <c r="U539" s="7"/>
      <c r="W539" s="7"/>
      <c r="Z539" s="22"/>
      <c r="AA539" s="22"/>
    </row>
    <row r="540" spans="1:27" outlineLevel="1">
      <c r="A540" s="30">
        <v>408.1</v>
      </c>
      <c r="B540" s="6" t="s">
        <v>323</v>
      </c>
      <c r="C540" s="5">
        <v>47311.350000000006</v>
      </c>
      <c r="D540" s="6">
        <f ca="1">E540+F540</f>
        <v>47311.350000000006</v>
      </c>
      <c r="E540" s="6">
        <v>47311.350000000006</v>
      </c>
      <c r="F540" s="6"/>
      <c r="G540" s="7"/>
      <c r="H540" s="7"/>
      <c r="I540" s="7"/>
      <c r="J540" s="7"/>
      <c r="K540" s="6">
        <f ca="1">+I540+J540</f>
        <v>0</v>
      </c>
      <c r="L540" s="7">
        <f ca="1">D540+G540+H540+K540</f>
        <v>47311.350000000006</v>
      </c>
      <c r="N540" s="6" t="s">
        <v>56</v>
      </c>
      <c r="O540" s="6" t="s">
        <v>63</v>
      </c>
      <c r="P540" s="6"/>
      <c r="Q540" s="6"/>
      <c r="R540" s="6" t="s">
        <v>76</v>
      </c>
      <c r="S540" s="7"/>
      <c r="T540" s="7"/>
      <c r="U540" s="7"/>
      <c r="W540" s="7"/>
      <c r="Z540" s="22"/>
      <c r="AA540" s="22"/>
    </row>
    <row r="541" spans="1:27" outlineLevel="1">
      <c r="A541" s="30">
        <v>408.1</v>
      </c>
      <c r="B541" s="6" t="s">
        <v>324</v>
      </c>
      <c r="C541" s="5">
        <v>16102785.352075629</v>
      </c>
      <c r="D541" s="6">
        <f t="shared" ca="1" si="153"/>
        <v>57938635.232106201</v>
      </c>
      <c r="E541" s="6">
        <f ca="1">94117017-E542-H545-2714812</f>
        <v>57537276.626304202</v>
      </c>
      <c r="F541" s="6">
        <v>401358.60580200009</v>
      </c>
      <c r="G541" s="7">
        <f ca="1">-61297863-G542-G543</f>
        <v>-41835849.880030572</v>
      </c>
      <c r="H541" s="7"/>
      <c r="I541" s="7"/>
      <c r="J541" s="7"/>
      <c r="K541" s="6">
        <f t="shared" ca="1" si="154"/>
        <v>0</v>
      </c>
      <c r="L541" s="7">
        <f t="shared" ca="1" si="155"/>
        <v>16102785.352075629</v>
      </c>
      <c r="N541" s="6" t="s">
        <v>56</v>
      </c>
      <c r="O541" s="6" t="s">
        <v>36</v>
      </c>
      <c r="P541" s="6"/>
      <c r="Q541" s="7" t="s">
        <v>261</v>
      </c>
      <c r="R541" s="7"/>
      <c r="S541" s="7"/>
      <c r="T541" s="7"/>
      <c r="U541" s="7"/>
      <c r="W541" s="7"/>
      <c r="Z541" s="22"/>
      <c r="AA541" s="22"/>
    </row>
    <row r="542" spans="1:27" outlineLevel="1">
      <c r="A542" s="30">
        <v>408.1</v>
      </c>
      <c r="B542" s="6" t="s">
        <v>325</v>
      </c>
      <c r="C542" s="5">
        <v>0</v>
      </c>
      <c r="D542" s="6">
        <f ca="1">E542+F542</f>
        <v>19519464.630000003</v>
      </c>
      <c r="E542" s="6">
        <v>19519464.630000003</v>
      </c>
      <c r="F542" s="6"/>
      <c r="G542" s="7">
        <v>-19519464.630000003</v>
      </c>
      <c r="H542" s="7"/>
      <c r="I542" s="7"/>
      <c r="J542" s="7"/>
      <c r="K542" s="6">
        <f ca="1">+I542+J542</f>
        <v>0</v>
      </c>
      <c r="L542" s="7">
        <f ca="1">D542+G542+H542+K542</f>
        <v>0</v>
      </c>
      <c r="N542" s="6"/>
      <c r="O542" s="6"/>
      <c r="P542" s="6"/>
      <c r="Q542" s="7"/>
      <c r="R542" s="7"/>
      <c r="S542" s="7"/>
      <c r="T542" s="7"/>
      <c r="U542" s="7"/>
      <c r="W542" s="7" t="s">
        <v>18</v>
      </c>
      <c r="Z542" s="22"/>
      <c r="AA542" s="22"/>
    </row>
    <row r="543" spans="1:27" outlineLevel="1">
      <c r="A543" s="30">
        <v>408.1</v>
      </c>
      <c r="B543" s="6" t="s">
        <v>326</v>
      </c>
      <c r="C543" s="5">
        <v>3584534.8890819722</v>
      </c>
      <c r="D543" s="6">
        <f ca="1">E543+F543</f>
        <v>3527083.3790513962</v>
      </c>
      <c r="E543" s="6">
        <f ca="1">2714812-SUM(E537:E540)</f>
        <v>2391472.5070433961</v>
      </c>
      <c r="F543" s="6">
        <v>1135610.872008</v>
      </c>
      <c r="G543" s="7">
        <v>57451.510030576028</v>
      </c>
      <c r="H543" s="7"/>
      <c r="I543" s="7"/>
      <c r="J543" s="7"/>
      <c r="K543" s="6">
        <f ca="1">+I543+J543</f>
        <v>0</v>
      </c>
      <c r="L543" s="7">
        <f ca="1">D543+G543+H543+K543</f>
        <v>3584534.8890819722</v>
      </c>
      <c r="N543" s="6"/>
      <c r="O543" s="6"/>
      <c r="P543" s="6"/>
      <c r="Q543" s="7"/>
      <c r="R543" s="7"/>
      <c r="S543" s="7"/>
      <c r="T543" s="7"/>
      <c r="U543" s="7"/>
      <c r="W543" s="7" t="s">
        <v>21</v>
      </c>
      <c r="Z543" s="22"/>
      <c r="AA543" s="22"/>
    </row>
    <row r="544" spans="1:27" outlineLevel="1">
      <c r="A544" s="30">
        <v>408.1</v>
      </c>
      <c r="B544" s="6" t="s">
        <v>327</v>
      </c>
      <c r="C544" s="5">
        <v>881121.26754000003</v>
      </c>
      <c r="D544" s="6">
        <f t="shared" ca="1" si="153"/>
        <v>0</v>
      </c>
      <c r="E544" s="6"/>
      <c r="F544" s="6"/>
      <c r="G544" s="7"/>
      <c r="H544" s="7"/>
      <c r="I544" s="7">
        <v>881121.26754000003</v>
      </c>
      <c r="J544" s="7"/>
      <c r="K544" s="6">
        <f t="shared" ca="1" si="154"/>
        <v>881121.26754000003</v>
      </c>
      <c r="L544" s="7">
        <f t="shared" ca="1" si="155"/>
        <v>881121.26754000003</v>
      </c>
      <c r="N544" s="6" t="s">
        <v>56</v>
      </c>
      <c r="O544" s="6" t="s">
        <v>36</v>
      </c>
      <c r="P544" s="6"/>
      <c r="Q544" s="7" t="s">
        <v>261</v>
      </c>
      <c r="R544" s="7"/>
      <c r="S544" s="7"/>
      <c r="T544" s="7"/>
      <c r="U544" s="7"/>
      <c r="W544" s="7"/>
      <c r="Z544" s="22"/>
      <c r="AA544" s="22"/>
    </row>
    <row r="545" spans="1:31" outlineLevel="1">
      <c r="A545" s="30">
        <v>408.1</v>
      </c>
      <c r="B545" s="6" t="s">
        <v>328</v>
      </c>
      <c r="C545" s="5">
        <v>0</v>
      </c>
      <c r="D545" s="6">
        <f t="shared" ca="1" si="153"/>
        <v>0</v>
      </c>
      <c r="E545" s="6">
        <v>0</v>
      </c>
      <c r="F545" s="6"/>
      <c r="G545" s="7"/>
      <c r="H545" s="7">
        <v>14345463.743695803</v>
      </c>
      <c r="I545" s="7"/>
      <c r="J545" s="7"/>
      <c r="K545" s="6">
        <f t="shared" ca="1" si="154"/>
        <v>0</v>
      </c>
      <c r="L545" s="7">
        <f t="shared" ca="1" si="155"/>
        <v>14345463.743695803</v>
      </c>
      <c r="N545" s="6" t="s">
        <v>56</v>
      </c>
      <c r="O545" s="6" t="s">
        <v>36</v>
      </c>
      <c r="P545" s="6"/>
      <c r="Q545" s="7" t="s">
        <v>265</v>
      </c>
      <c r="R545" s="7"/>
      <c r="S545" s="7"/>
      <c r="T545" s="7"/>
      <c r="U545" s="7"/>
      <c r="W545" s="7"/>
      <c r="Z545" s="22"/>
      <c r="AA545" s="22"/>
      <c r="AE545" s="16"/>
    </row>
    <row r="546" spans="1:31">
      <c r="B546" s="12" t="s">
        <v>329</v>
      </c>
      <c r="C546" s="12">
        <f t="shared" ref="C546:L546" ca="1" si="156">SUM(C537:C545)</f>
        <v>20891781.001654208</v>
      </c>
      <c r="D546" s="12">
        <f t="shared" ca="1" si="156"/>
        <v>81308522.734114215</v>
      </c>
      <c r="E546" s="12">
        <f t="shared" ca="1" si="156"/>
        <v>79771553.256304204</v>
      </c>
      <c r="F546" s="12">
        <f t="shared" ca="1" si="156"/>
        <v>1536969.4778100001</v>
      </c>
      <c r="G546" s="12">
        <f t="shared" ca="1" si="156"/>
        <v>-61297863</v>
      </c>
      <c r="H546" s="12">
        <f t="shared" ca="1" si="156"/>
        <v>14345463.743695803</v>
      </c>
      <c r="I546" s="12">
        <f t="shared" ca="1" si="156"/>
        <v>881121.26754000003</v>
      </c>
      <c r="J546" s="12">
        <f t="shared" ca="1" si="156"/>
        <v>0</v>
      </c>
      <c r="K546" s="12">
        <f t="shared" ca="1" si="156"/>
        <v>881121.26754000003</v>
      </c>
      <c r="L546" s="12">
        <f t="shared" ca="1" si="156"/>
        <v>35237244.745350011</v>
      </c>
      <c r="M546" s="18"/>
    </row>
    <row r="547" spans="1:31">
      <c r="M547" s="18"/>
    </row>
    <row r="548" spans="1:31">
      <c r="A548" s="24" t="s">
        <v>330</v>
      </c>
      <c r="C548" s="12">
        <f t="shared" ref="C548:L548" ca="1" si="157">SUM(C394,C546,C534,)</f>
        <v>282590123.77919024</v>
      </c>
      <c r="D548" s="12">
        <f t="shared" ca="1" si="157"/>
        <v>367061792.05096155</v>
      </c>
      <c r="E548" s="12">
        <f t="shared" ca="1" si="157"/>
        <v>299737705.23749989</v>
      </c>
      <c r="F548" s="12">
        <f t="shared" ca="1" si="157"/>
        <v>67324086.813461691</v>
      </c>
      <c r="G548" s="12">
        <f t="shared" ca="1" si="157"/>
        <v>-85516956.489111334</v>
      </c>
      <c r="H548" s="12">
        <f ca="1">SUM(H394,H546,H534,)</f>
        <v>374239633.9879986</v>
      </c>
      <c r="I548" s="12">
        <f t="shared" ca="1" si="157"/>
        <v>1045288.21734</v>
      </c>
      <c r="J548" s="12">
        <f t="shared" ca="1" si="157"/>
        <v>0</v>
      </c>
      <c r="K548" s="12">
        <f ca="1">SUM(K394,K546,K534,)</f>
        <v>1045288.21734</v>
      </c>
      <c r="L548" s="12">
        <f t="shared" ca="1" si="157"/>
        <v>656829757.76718891</v>
      </c>
      <c r="M548" s="18"/>
    </row>
    <row r="549" spans="1:31">
      <c r="C549" s="9"/>
      <c r="M549" s="18"/>
    </row>
    <row r="550" spans="1:31" ht="15.6">
      <c r="A550" s="43" t="s">
        <v>331</v>
      </c>
      <c r="M550" s="18"/>
    </row>
    <row r="551" spans="1:31" outlineLevel="1">
      <c r="A551" s="30">
        <v>410.1</v>
      </c>
      <c r="B551" s="6" t="s">
        <v>332</v>
      </c>
      <c r="C551" s="5">
        <v>38564775.620000005</v>
      </c>
      <c r="D551" s="6">
        <f t="shared" ref="D551:D557" ca="1" si="158">E551+F551</f>
        <v>262308679.19999999</v>
      </c>
      <c r="E551" s="6">
        <v>262308679.19999999</v>
      </c>
      <c r="F551" s="6">
        <v>0</v>
      </c>
      <c r="G551" s="7">
        <v>-223743903.57999998</v>
      </c>
      <c r="H551" s="7"/>
      <c r="I551" s="7"/>
      <c r="J551" s="7"/>
      <c r="K551" s="6">
        <f t="shared" ref="K551:K557" ca="1" si="159">+I551+J551</f>
        <v>0</v>
      </c>
      <c r="L551" s="7">
        <f t="shared" ref="L551:L557" ca="1" si="160">D551+G551+H551+K551</f>
        <v>38564775.620000005</v>
      </c>
      <c r="N551" s="6"/>
      <c r="O551" s="6"/>
      <c r="P551" s="6"/>
      <c r="Q551" s="7"/>
      <c r="R551" s="7"/>
      <c r="S551" s="7"/>
      <c r="T551" s="7"/>
      <c r="U551" s="7"/>
      <c r="W551" s="7" t="s">
        <v>333</v>
      </c>
      <c r="Y551" s="22"/>
      <c r="Z551" s="22"/>
      <c r="AA551" s="22"/>
    </row>
    <row r="552" spans="1:31" outlineLevel="1">
      <c r="A552" s="30">
        <v>411.1</v>
      </c>
      <c r="B552" s="6" t="s">
        <v>334</v>
      </c>
      <c r="C552" s="5">
        <v>0</v>
      </c>
      <c r="D552" s="6">
        <f t="shared" ca="1" si="158"/>
        <v>-196455256.46000001</v>
      </c>
      <c r="E552" s="6">
        <v>-196455256.46000001</v>
      </c>
      <c r="F552" s="6"/>
      <c r="G552" s="7">
        <v>196455256.45999998</v>
      </c>
      <c r="H552" s="7"/>
      <c r="I552" s="7"/>
      <c r="J552" s="7"/>
      <c r="K552" s="6">
        <f t="shared" ca="1" si="159"/>
        <v>0</v>
      </c>
      <c r="L552" s="7">
        <f t="shared" ca="1" si="160"/>
        <v>-2.9802322387695313E-8</v>
      </c>
      <c r="N552" s="6"/>
      <c r="O552" s="6"/>
      <c r="P552" s="6"/>
      <c r="Q552" s="7"/>
      <c r="R552" s="7"/>
      <c r="S552" s="7"/>
      <c r="T552" s="7"/>
      <c r="U552" s="7"/>
      <c r="W552" s="7" t="s">
        <v>333</v>
      </c>
      <c r="Y552" s="22"/>
      <c r="Z552" s="22"/>
      <c r="AA552" s="22"/>
    </row>
    <row r="553" spans="1:31" outlineLevel="1">
      <c r="A553" s="30">
        <v>411.4</v>
      </c>
      <c r="B553" s="6" t="s">
        <v>335</v>
      </c>
      <c r="C553" s="5">
        <v>0</v>
      </c>
      <c r="D553" s="6">
        <f t="shared" ca="1" si="158"/>
        <v>0</v>
      </c>
      <c r="E553" s="6">
        <v>0</v>
      </c>
      <c r="F553" s="6"/>
      <c r="G553" s="7">
        <v>0</v>
      </c>
      <c r="H553" s="7"/>
      <c r="I553" s="7"/>
      <c r="J553" s="7"/>
      <c r="K553" s="6">
        <f t="shared" ca="1" si="159"/>
        <v>0</v>
      </c>
      <c r="L553" s="7">
        <f t="shared" ca="1" si="160"/>
        <v>0</v>
      </c>
      <c r="N553" s="6"/>
      <c r="O553" s="6"/>
      <c r="P553" s="6"/>
      <c r="Q553" s="7"/>
      <c r="R553" s="7"/>
      <c r="S553" s="7"/>
      <c r="T553" s="7"/>
      <c r="U553" s="7"/>
      <c r="W553" s="7" t="s">
        <v>333</v>
      </c>
      <c r="Y553" s="22"/>
      <c r="Z553" s="22"/>
      <c r="AA553" s="22"/>
    </row>
    <row r="554" spans="1:31" outlineLevel="1">
      <c r="A554" s="30">
        <v>409.1</v>
      </c>
      <c r="B554" s="6" t="s">
        <v>336</v>
      </c>
      <c r="C554" s="5">
        <v>-576843.34264039737</v>
      </c>
      <c r="D554" s="6">
        <f ca="1">E554+F554</f>
        <v>0</v>
      </c>
      <c r="E554" s="6"/>
      <c r="F554" s="6"/>
      <c r="G554" s="7">
        <v>-576843.34264039737</v>
      </c>
      <c r="H554" s="7"/>
      <c r="I554" s="7"/>
      <c r="J554" s="7"/>
      <c r="K554" s="6">
        <f t="shared" ca="1" si="159"/>
        <v>0</v>
      </c>
      <c r="L554" s="7">
        <f t="shared" ca="1" si="160"/>
        <v>-576843.34264039737</v>
      </c>
      <c r="N554" s="6"/>
      <c r="O554" s="6"/>
      <c r="P554" s="6"/>
      <c r="Q554" s="7"/>
      <c r="R554" s="7"/>
      <c r="S554" s="7"/>
      <c r="T554" s="7"/>
      <c r="U554" s="7"/>
      <c r="W554" s="7" t="s">
        <v>333</v>
      </c>
      <c r="Y554" s="22"/>
      <c r="Z554" s="22"/>
      <c r="AA554" s="22"/>
    </row>
    <row r="555" spans="1:31" outlineLevel="1">
      <c r="A555" s="30">
        <v>409.1</v>
      </c>
      <c r="B555" s="6" t="s">
        <v>337</v>
      </c>
      <c r="C555" s="5">
        <v>7681541.7261600001</v>
      </c>
      <c r="D555" s="6">
        <f ca="1">E555+F555</f>
        <v>0</v>
      </c>
      <c r="E555" s="6"/>
      <c r="F555" s="6"/>
      <c r="G555" s="7"/>
      <c r="H555" s="7"/>
      <c r="I555" s="7">
        <v>7681541.7261600001</v>
      </c>
      <c r="J555" s="7"/>
      <c r="K555" s="6">
        <f t="shared" ca="1" si="159"/>
        <v>7681541.7261600001</v>
      </c>
      <c r="L555" s="7">
        <f t="shared" ca="1" si="160"/>
        <v>7681541.7261600001</v>
      </c>
      <c r="N555" s="6"/>
      <c r="O555" s="6"/>
      <c r="P555" s="6"/>
      <c r="Q555" s="7"/>
      <c r="R555" s="7"/>
      <c r="S555" s="7"/>
      <c r="T555" s="7"/>
      <c r="U555" s="7"/>
      <c r="W555" s="7" t="s">
        <v>333</v>
      </c>
      <c r="Y555" s="22"/>
      <c r="Z555" s="22"/>
      <c r="AA555" s="22"/>
    </row>
    <row r="556" spans="1:31" hidden="1" outlineLevel="1">
      <c r="A556" s="30" t="s">
        <v>32</v>
      </c>
      <c r="B556" s="6" t="s">
        <v>32</v>
      </c>
      <c r="C556" s="5">
        <v>0</v>
      </c>
      <c r="D556" s="6">
        <f t="shared" ca="1" si="158"/>
        <v>0</v>
      </c>
      <c r="E556" s="6"/>
      <c r="F556" s="6"/>
      <c r="G556" s="7"/>
      <c r="H556" s="7"/>
      <c r="I556" s="7"/>
      <c r="J556" s="7"/>
      <c r="K556" s="6">
        <f t="shared" ca="1" si="159"/>
        <v>0</v>
      </c>
      <c r="L556" s="7">
        <f t="shared" ca="1" si="160"/>
        <v>0</v>
      </c>
      <c r="N556" s="6"/>
      <c r="O556" s="6"/>
      <c r="P556" s="6"/>
      <c r="Q556" s="7"/>
      <c r="R556" s="7"/>
      <c r="S556" s="7"/>
      <c r="T556" s="7"/>
      <c r="U556" s="7"/>
      <c r="W556" s="7"/>
      <c r="Z556" s="22"/>
      <c r="AA556" s="22"/>
    </row>
    <row r="557" spans="1:31" hidden="1" outlineLevel="1">
      <c r="A557" s="30" t="s">
        <v>32</v>
      </c>
      <c r="B557" s="6" t="s">
        <v>32</v>
      </c>
      <c r="C557" s="5">
        <v>0</v>
      </c>
      <c r="D557" s="6">
        <f t="shared" ca="1" si="158"/>
        <v>0</v>
      </c>
      <c r="E557" s="6"/>
      <c r="F557" s="6"/>
      <c r="G557" s="7"/>
      <c r="H557" s="7"/>
      <c r="I557" s="7"/>
      <c r="J557" s="7"/>
      <c r="K557" s="6">
        <f t="shared" ca="1" si="159"/>
        <v>0</v>
      </c>
      <c r="L557" s="7">
        <f t="shared" ca="1" si="160"/>
        <v>0</v>
      </c>
      <c r="N557" s="6"/>
      <c r="O557" s="6"/>
      <c r="P557" s="6"/>
      <c r="Q557" s="7"/>
      <c r="R557" s="7"/>
      <c r="S557" s="7"/>
      <c r="T557" s="7"/>
      <c r="U557" s="7"/>
      <c r="W557" s="7"/>
      <c r="Z557" s="22"/>
      <c r="AA557" s="22"/>
    </row>
    <row r="558" spans="1:31" collapsed="1">
      <c r="B558" s="12" t="s">
        <v>338</v>
      </c>
      <c r="C558" s="19">
        <f t="shared" ref="C558:L558" ca="1" si="161">SUM(C551:C557)</f>
        <v>45669474.003519602</v>
      </c>
      <c r="D558" s="19">
        <f t="shared" ca="1" si="161"/>
        <v>65853422.73999998</v>
      </c>
      <c r="E558" s="19">
        <f t="shared" ca="1" si="161"/>
        <v>65853422.73999998</v>
      </c>
      <c r="F558" s="19">
        <f t="shared" ca="1" si="161"/>
        <v>0</v>
      </c>
      <c r="G558" s="19">
        <f t="shared" ca="1" si="161"/>
        <v>-27865490.462640401</v>
      </c>
      <c r="H558" s="19">
        <f t="shared" ca="1" si="161"/>
        <v>0</v>
      </c>
      <c r="I558" s="19">
        <f t="shared" ca="1" si="161"/>
        <v>7681541.7261600001</v>
      </c>
      <c r="J558" s="19">
        <f t="shared" ca="1" si="161"/>
        <v>0</v>
      </c>
      <c r="K558" s="19">
        <f t="shared" ca="1" si="161"/>
        <v>7681541.7261600001</v>
      </c>
      <c r="L558" s="19">
        <f t="shared" ca="1" si="161"/>
        <v>45669474.003519572</v>
      </c>
    </row>
    <row r="559" spans="1:31">
      <c r="B559" s="12"/>
      <c r="C559" s="19"/>
      <c r="D559" s="19"/>
      <c r="E559" s="19"/>
      <c r="F559" s="19"/>
      <c r="G559" s="19"/>
      <c r="H559" s="19"/>
      <c r="I559" s="19"/>
      <c r="J559" s="19"/>
      <c r="K559" s="19"/>
      <c r="L559" s="19"/>
    </row>
    <row r="560" spans="1:31" ht="15.6">
      <c r="A560" s="28" t="s">
        <v>339</v>
      </c>
    </row>
    <row r="561" spans="1:38"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</row>
    <row r="562" spans="1:38" ht="15.6">
      <c r="A562" s="43" t="s">
        <v>340</v>
      </c>
      <c r="B562" s="1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</row>
    <row r="563" spans="1:38" s="1" customFormat="1" hidden="1">
      <c r="B563" s="1" t="s">
        <v>341</v>
      </c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</row>
    <row r="564" spans="1:38" hidden="1">
      <c r="A564" s="6"/>
      <c r="B564" s="6" t="s">
        <v>342</v>
      </c>
      <c r="C564" s="5">
        <v>0</v>
      </c>
      <c r="D564" s="6">
        <f ca="1">E564+F564</f>
        <v>0</v>
      </c>
      <c r="E564" s="6"/>
      <c r="F564" s="6"/>
      <c r="G564" s="6"/>
      <c r="H564" s="6">
        <v>0</v>
      </c>
      <c r="I564" s="7"/>
      <c r="J564" s="7"/>
      <c r="K564" s="6">
        <f ca="1">+I564+J564</f>
        <v>0</v>
      </c>
      <c r="L564" s="7">
        <f ca="1">D564+G564+H564+K564</f>
        <v>0</v>
      </c>
      <c r="N564" s="6" t="s">
        <v>343</v>
      </c>
      <c r="O564" s="6" t="s">
        <v>29</v>
      </c>
      <c r="P564" s="7" t="s">
        <v>344</v>
      </c>
      <c r="Q564" s="6"/>
      <c r="R564" s="6"/>
      <c r="S564" s="6"/>
      <c r="T564" s="6"/>
      <c r="U564" s="6"/>
      <c r="W564" s="6"/>
      <c r="AB564" s="14"/>
      <c r="AC564" s="14"/>
      <c r="AD564" s="14"/>
      <c r="AE564" s="14"/>
      <c r="AF564" s="14"/>
      <c r="AG564" s="18"/>
      <c r="AH564" s="14"/>
      <c r="AI564" s="14"/>
      <c r="AJ564" s="16"/>
      <c r="AK564" s="14"/>
      <c r="AL564" s="14"/>
    </row>
    <row r="565" spans="1:38" hidden="1">
      <c r="A565" s="6"/>
      <c r="B565" s="6" t="s">
        <v>345</v>
      </c>
      <c r="C565" s="5">
        <v>0</v>
      </c>
      <c r="D565" s="6">
        <f ca="1">E565+F565</f>
        <v>0</v>
      </c>
      <c r="E565" s="6"/>
      <c r="F565" s="6"/>
      <c r="G565" s="6"/>
      <c r="H565" s="6">
        <v>0</v>
      </c>
      <c r="I565" s="7"/>
      <c r="J565" s="7"/>
      <c r="K565" s="6">
        <f ca="1">+I565+J565</f>
        <v>0</v>
      </c>
      <c r="L565" s="7">
        <f ca="1">D565+G565+H565+K565</f>
        <v>0</v>
      </c>
      <c r="N565" s="6" t="s">
        <v>343</v>
      </c>
      <c r="O565" s="6" t="s">
        <v>29</v>
      </c>
      <c r="P565" s="6" t="s">
        <v>30</v>
      </c>
      <c r="Q565" s="6"/>
      <c r="R565" s="6"/>
      <c r="S565" s="6"/>
      <c r="T565" s="6"/>
      <c r="U565" s="6"/>
      <c r="W565" s="6"/>
      <c r="AB565" s="14"/>
      <c r="AC565" s="14"/>
      <c r="AD565" s="14"/>
      <c r="AE565" s="14"/>
      <c r="AF565" s="14"/>
      <c r="AG565" s="18"/>
      <c r="AH565" s="14"/>
      <c r="AI565" s="14"/>
      <c r="AJ565" s="14"/>
      <c r="AK565" s="14"/>
      <c r="AL565" s="14"/>
    </row>
    <row r="566" spans="1:38" hidden="1">
      <c r="A566" s="30" t="s">
        <v>32</v>
      </c>
      <c r="B566" s="6" t="s">
        <v>32</v>
      </c>
      <c r="C566" s="5">
        <v>0</v>
      </c>
      <c r="D566" s="6">
        <f ca="1">E566+F566</f>
        <v>0</v>
      </c>
      <c r="E566" s="6"/>
      <c r="F566" s="6"/>
      <c r="G566" s="6"/>
      <c r="H566" s="6"/>
      <c r="I566" s="7"/>
      <c r="J566" s="7"/>
      <c r="K566" s="6">
        <f ca="1">+I566+J566</f>
        <v>0</v>
      </c>
      <c r="L566" s="7">
        <f ca="1">D566+G566+H566+K566</f>
        <v>0</v>
      </c>
      <c r="N566" s="6"/>
      <c r="O566" s="6"/>
      <c r="P566" s="6"/>
      <c r="Q566" s="6"/>
      <c r="R566" s="6"/>
      <c r="S566" s="6"/>
      <c r="T566" s="6"/>
      <c r="U566" s="6"/>
      <c r="W566" s="6"/>
      <c r="AB566" s="14"/>
      <c r="AC566" s="14"/>
      <c r="AD566" s="14"/>
      <c r="AE566" s="14"/>
      <c r="AF566" s="14"/>
      <c r="AG566" s="18"/>
      <c r="AH566" s="14"/>
      <c r="AI566" s="14"/>
      <c r="AJ566" s="14"/>
      <c r="AK566" s="14"/>
      <c r="AL566" s="14"/>
    </row>
    <row r="567" spans="1:38" hidden="1">
      <c r="B567" s="8" t="s">
        <v>346</v>
      </c>
      <c r="C567" s="8">
        <f t="shared" ref="C567:L567" ca="1" si="162">SUM(C564:C566)</f>
        <v>0</v>
      </c>
      <c r="D567" s="8">
        <f t="shared" ca="1" si="162"/>
        <v>0</v>
      </c>
      <c r="E567" s="8">
        <f t="shared" ca="1" si="162"/>
        <v>0</v>
      </c>
      <c r="F567" s="8">
        <f t="shared" ca="1" si="162"/>
        <v>0</v>
      </c>
      <c r="G567" s="8">
        <f t="shared" ca="1" si="162"/>
        <v>0</v>
      </c>
      <c r="H567" s="8">
        <f t="shared" ca="1" si="162"/>
        <v>0</v>
      </c>
      <c r="I567" s="8">
        <f t="shared" ca="1" si="162"/>
        <v>0</v>
      </c>
      <c r="J567" s="8">
        <f t="shared" ca="1" si="162"/>
        <v>0</v>
      </c>
      <c r="K567" s="8">
        <f t="shared" ca="1" si="162"/>
        <v>0</v>
      </c>
      <c r="L567" s="8">
        <f t="shared" ca="1" si="162"/>
        <v>0</v>
      </c>
      <c r="M567" s="8"/>
      <c r="N567" s="8"/>
      <c r="O567" s="8"/>
      <c r="P567" s="8"/>
      <c r="Q567" s="8"/>
      <c r="R567" s="8"/>
      <c r="S567" s="8"/>
      <c r="T567" s="8"/>
      <c r="U567" s="8"/>
      <c r="W567" s="8"/>
      <c r="AB567" s="11"/>
      <c r="AC567" s="11"/>
      <c r="AD567" s="11"/>
      <c r="AE567" s="11"/>
      <c r="AF567" s="11"/>
      <c r="AG567" s="18"/>
      <c r="AH567" s="11"/>
      <c r="AI567" s="11"/>
      <c r="AJ567" s="11"/>
      <c r="AK567" s="11"/>
      <c r="AL567" s="11"/>
    </row>
    <row r="568" spans="1:38" hidden="1">
      <c r="B568" s="18"/>
      <c r="C568" s="18"/>
      <c r="D568" s="45"/>
      <c r="G568" s="46"/>
      <c r="H568" s="46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</row>
    <row r="569" spans="1:38">
      <c r="A569" s="4"/>
      <c r="B569" s="1" t="s">
        <v>347</v>
      </c>
      <c r="C569" s="18"/>
      <c r="D569" s="45"/>
      <c r="G569" s="46"/>
      <c r="H569" s="46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</row>
    <row r="570" spans="1:38">
      <c r="A570" s="6"/>
      <c r="B570" s="6" t="s">
        <v>348</v>
      </c>
      <c r="C570" s="5">
        <v>0</v>
      </c>
      <c r="D570" s="6">
        <f t="shared" ref="D570:D577" ca="1" si="163">E570+F570</f>
        <v>0</v>
      </c>
      <c r="E570" s="6"/>
      <c r="F570" s="6"/>
      <c r="G570" s="6"/>
      <c r="H570" s="6">
        <v>1083965.5703814928</v>
      </c>
      <c r="I570" s="6"/>
      <c r="J570" s="6"/>
      <c r="K570" s="6">
        <f t="shared" ref="K570:K577" ca="1" si="164">+I570+J570</f>
        <v>0</v>
      </c>
      <c r="L570" s="7">
        <f t="shared" ref="L570:L577" ca="1" si="165">D570+G570+H570+K570</f>
        <v>1083965.5703814928</v>
      </c>
      <c r="N570" s="6" t="s">
        <v>343</v>
      </c>
      <c r="O570" s="6" t="s">
        <v>29</v>
      </c>
      <c r="P570" s="7" t="s">
        <v>344</v>
      </c>
      <c r="Q570" s="6"/>
      <c r="R570" s="6"/>
      <c r="S570" s="6"/>
      <c r="T570" s="6"/>
      <c r="U570" s="6"/>
      <c r="W570" s="6"/>
      <c r="AB570" s="14"/>
      <c r="AC570" s="14"/>
      <c r="AD570" s="16"/>
      <c r="AE570" s="14"/>
      <c r="AF570" s="14"/>
      <c r="AG570" s="18"/>
      <c r="AH570" s="14"/>
      <c r="AI570" s="14"/>
      <c r="AJ570" s="16"/>
      <c r="AK570" s="14"/>
      <c r="AL570" s="14"/>
    </row>
    <row r="571" spans="1:38">
      <c r="A571" s="6"/>
      <c r="B571" s="6" t="s">
        <v>349</v>
      </c>
      <c r="C571" s="5">
        <v>0</v>
      </c>
      <c r="D571" s="6">
        <f t="shared" ca="1" si="163"/>
        <v>0</v>
      </c>
      <c r="E571" s="6"/>
      <c r="F571" s="6"/>
      <c r="G571" s="6"/>
      <c r="H571" s="6">
        <v>3667842.7310688533</v>
      </c>
      <c r="I571" s="6"/>
      <c r="J571" s="6"/>
      <c r="K571" s="6">
        <f t="shared" ca="1" si="164"/>
        <v>0</v>
      </c>
      <c r="L571" s="7">
        <f t="shared" ca="1" si="165"/>
        <v>3667842.7310688533</v>
      </c>
      <c r="N571" s="6" t="s">
        <v>343</v>
      </c>
      <c r="O571" s="6" t="s">
        <v>29</v>
      </c>
      <c r="P571" s="7" t="s">
        <v>344</v>
      </c>
      <c r="Q571" s="6"/>
      <c r="R571" s="6"/>
      <c r="S571" s="6"/>
      <c r="T571" s="6"/>
      <c r="U571" s="6"/>
      <c r="W571" s="6"/>
      <c r="AB571" s="14"/>
      <c r="AC571" s="14"/>
      <c r="AD571" s="16"/>
      <c r="AE571" s="14"/>
      <c r="AF571" s="14"/>
      <c r="AG571" s="18"/>
      <c r="AH571" s="14"/>
      <c r="AI571" s="14"/>
      <c r="AJ571" s="16"/>
      <c r="AK571" s="14"/>
      <c r="AL571" s="14"/>
    </row>
    <row r="572" spans="1:38">
      <c r="A572" s="6"/>
      <c r="B572" s="6" t="s">
        <v>350</v>
      </c>
      <c r="C572" s="5">
        <v>0</v>
      </c>
      <c r="D572" s="6">
        <f t="shared" ca="1" si="163"/>
        <v>0</v>
      </c>
      <c r="E572" s="6"/>
      <c r="F572" s="6"/>
      <c r="G572" s="6"/>
      <c r="H572" s="6">
        <v>248312.72907466665</v>
      </c>
      <c r="I572" s="6"/>
      <c r="J572" s="6"/>
      <c r="K572" s="6">
        <f t="shared" ca="1" si="164"/>
        <v>0</v>
      </c>
      <c r="L572" s="7">
        <f t="shared" ca="1" si="165"/>
        <v>248312.72907466665</v>
      </c>
      <c r="N572" s="6" t="s">
        <v>343</v>
      </c>
      <c r="O572" s="6" t="s">
        <v>29</v>
      </c>
      <c r="P572" s="7" t="s">
        <v>351</v>
      </c>
      <c r="Q572" s="6"/>
      <c r="R572" s="6"/>
      <c r="S572" s="6"/>
      <c r="T572" s="6"/>
      <c r="U572" s="6"/>
      <c r="W572" s="6"/>
      <c r="AB572" s="14"/>
      <c r="AC572" s="14"/>
      <c r="AD572" s="16"/>
      <c r="AE572" s="14"/>
      <c r="AF572" s="14"/>
      <c r="AG572" s="18"/>
      <c r="AH572" s="14"/>
      <c r="AI572" s="14"/>
      <c r="AJ572" s="16"/>
      <c r="AK572" s="14"/>
      <c r="AL572" s="14"/>
    </row>
    <row r="573" spans="1:38">
      <c r="A573" s="6"/>
      <c r="B573" s="6" t="s">
        <v>352</v>
      </c>
      <c r="C573" s="5">
        <v>0</v>
      </c>
      <c r="D573" s="6">
        <f t="shared" ca="1" si="163"/>
        <v>0</v>
      </c>
      <c r="E573" s="6"/>
      <c r="F573" s="6"/>
      <c r="G573" s="6"/>
      <c r="H573" s="6">
        <v>62078.182268666656</v>
      </c>
      <c r="I573" s="6"/>
      <c r="J573" s="6"/>
      <c r="K573" s="6">
        <f t="shared" ca="1" si="164"/>
        <v>0</v>
      </c>
      <c r="L573" s="7">
        <f t="shared" ca="1" si="165"/>
        <v>62078.182268666656</v>
      </c>
      <c r="N573" s="6" t="s">
        <v>343</v>
      </c>
      <c r="O573" s="6" t="s">
        <v>36</v>
      </c>
      <c r="P573" s="7"/>
      <c r="Q573" s="6" t="s">
        <v>353</v>
      </c>
      <c r="R573" s="6"/>
      <c r="S573" s="6"/>
      <c r="T573" s="6"/>
      <c r="U573" s="6"/>
      <c r="W573" s="6"/>
      <c r="AB573" s="14"/>
      <c r="AC573" s="14"/>
      <c r="AD573" s="16"/>
      <c r="AE573" s="14"/>
      <c r="AF573" s="14"/>
      <c r="AG573" s="18"/>
      <c r="AH573" s="14"/>
      <c r="AI573" s="14"/>
      <c r="AJ573" s="16"/>
      <c r="AK573" s="14"/>
      <c r="AL573" s="14"/>
    </row>
    <row r="574" spans="1:38">
      <c r="A574" s="6"/>
      <c r="B574" s="6" t="s">
        <v>354</v>
      </c>
      <c r="C574" s="5">
        <v>0</v>
      </c>
      <c r="D574" s="6">
        <f t="shared" ca="1" si="163"/>
        <v>0</v>
      </c>
      <c r="E574" s="6"/>
      <c r="F574" s="6"/>
      <c r="G574" s="6"/>
      <c r="H574" s="6">
        <v>226168.69708400001</v>
      </c>
      <c r="I574" s="6"/>
      <c r="J574" s="6"/>
      <c r="K574" s="6">
        <f t="shared" ca="1" si="164"/>
        <v>0</v>
      </c>
      <c r="L574" s="7">
        <f t="shared" ca="1" si="165"/>
        <v>226168.69708400001</v>
      </c>
      <c r="N574" s="6" t="s">
        <v>343</v>
      </c>
      <c r="O574" s="6" t="s">
        <v>29</v>
      </c>
      <c r="P574" s="7" t="s">
        <v>351</v>
      </c>
      <c r="Q574" s="6"/>
      <c r="R574" s="6"/>
      <c r="S574" s="6"/>
      <c r="T574" s="6"/>
      <c r="U574" s="6"/>
      <c r="W574" s="6"/>
      <c r="AB574" s="14"/>
      <c r="AC574" s="14"/>
      <c r="AD574" s="16"/>
      <c r="AE574" s="14"/>
      <c r="AF574" s="14"/>
      <c r="AG574" s="18"/>
      <c r="AH574" s="14"/>
      <c r="AI574" s="14"/>
      <c r="AJ574" s="16"/>
      <c r="AK574" s="14"/>
      <c r="AL574" s="14"/>
    </row>
    <row r="575" spans="1:38">
      <c r="A575" s="6"/>
      <c r="B575" s="6" t="s">
        <v>355</v>
      </c>
      <c r="C575" s="5">
        <v>0</v>
      </c>
      <c r="D575" s="6">
        <f t="shared" ca="1" si="163"/>
        <v>0</v>
      </c>
      <c r="E575" s="6"/>
      <c r="F575" s="6"/>
      <c r="G575" s="6"/>
      <c r="H575" s="6">
        <v>56542.174270999996</v>
      </c>
      <c r="I575" s="6"/>
      <c r="J575" s="6"/>
      <c r="K575" s="6">
        <f t="shared" ca="1" si="164"/>
        <v>0</v>
      </c>
      <c r="L575" s="7">
        <f t="shared" ca="1" si="165"/>
        <v>56542.174270999996</v>
      </c>
      <c r="N575" s="6" t="s">
        <v>343</v>
      </c>
      <c r="O575" s="6" t="s">
        <v>36</v>
      </c>
      <c r="P575" s="7"/>
      <c r="Q575" s="6" t="s">
        <v>353</v>
      </c>
      <c r="R575" s="6"/>
      <c r="S575" s="6"/>
      <c r="T575" s="6"/>
      <c r="U575" s="6"/>
      <c r="W575" s="6"/>
      <c r="AB575" s="14"/>
      <c r="AC575" s="14"/>
      <c r="AD575" s="16"/>
      <c r="AE575" s="14"/>
      <c r="AF575" s="14"/>
      <c r="AG575" s="18"/>
      <c r="AH575" s="14"/>
      <c r="AI575" s="14"/>
      <c r="AJ575" s="16"/>
      <c r="AK575" s="14"/>
      <c r="AL575" s="14"/>
    </row>
    <row r="576" spans="1:38" hidden="1">
      <c r="A576" s="6"/>
      <c r="B576" s="6"/>
      <c r="C576" s="5">
        <v>0</v>
      </c>
      <c r="D576" s="6">
        <f t="shared" ca="1" si="163"/>
        <v>0</v>
      </c>
      <c r="E576" s="6"/>
      <c r="F576" s="6"/>
      <c r="G576" s="6"/>
      <c r="H576" s="6">
        <v>0</v>
      </c>
      <c r="I576" s="6"/>
      <c r="J576" s="6"/>
      <c r="K576" s="6">
        <f t="shared" ca="1" si="164"/>
        <v>0</v>
      </c>
      <c r="L576" s="7">
        <f t="shared" ca="1" si="165"/>
        <v>0</v>
      </c>
      <c r="N576" s="6" t="s">
        <v>343</v>
      </c>
      <c r="O576" s="6" t="s">
        <v>29</v>
      </c>
      <c r="P576" s="6" t="s">
        <v>30</v>
      </c>
      <c r="Q576" s="6"/>
      <c r="R576" s="6"/>
      <c r="S576" s="6"/>
      <c r="T576" s="6"/>
      <c r="U576" s="6"/>
      <c r="W576" s="6"/>
      <c r="AB576" s="14"/>
      <c r="AC576" s="14"/>
      <c r="AD576" s="14"/>
      <c r="AE576" s="14"/>
      <c r="AF576" s="14"/>
      <c r="AG576" s="18"/>
      <c r="AH576" s="14"/>
      <c r="AI576" s="14"/>
      <c r="AJ576" s="14"/>
      <c r="AK576" s="14"/>
      <c r="AL576" s="14"/>
    </row>
    <row r="577" spans="1:38" hidden="1">
      <c r="A577" s="6"/>
      <c r="B577" s="6"/>
      <c r="C577" s="5">
        <v>0</v>
      </c>
      <c r="D577" s="6">
        <f t="shared" ca="1" si="163"/>
        <v>0</v>
      </c>
      <c r="E577" s="6"/>
      <c r="F577" s="6"/>
      <c r="G577" s="6"/>
      <c r="H577" s="6">
        <v>0</v>
      </c>
      <c r="I577" s="6"/>
      <c r="J577" s="6"/>
      <c r="K577" s="6">
        <f t="shared" ca="1" si="164"/>
        <v>0</v>
      </c>
      <c r="L577" s="7">
        <f t="shared" ca="1" si="165"/>
        <v>0</v>
      </c>
      <c r="N577" s="6" t="s">
        <v>343</v>
      </c>
      <c r="O577" s="6" t="s">
        <v>29</v>
      </c>
      <c r="P577" s="6" t="s">
        <v>30</v>
      </c>
      <c r="Q577" s="6"/>
      <c r="R577" s="6"/>
      <c r="S577" s="6"/>
      <c r="T577" s="6"/>
      <c r="U577" s="6"/>
      <c r="W577" s="6"/>
      <c r="AB577" s="14"/>
      <c r="AC577" s="14"/>
      <c r="AD577" s="14"/>
      <c r="AE577" s="14"/>
      <c r="AF577" s="14"/>
      <c r="AG577" s="18"/>
      <c r="AH577" s="14"/>
      <c r="AI577" s="14"/>
      <c r="AJ577" s="14"/>
      <c r="AK577" s="14"/>
      <c r="AL577" s="14"/>
    </row>
    <row r="578" spans="1:38">
      <c r="B578" s="8" t="s">
        <v>356</v>
      </c>
      <c r="C578" s="8">
        <f t="shared" ref="C578:L578" ca="1" si="166">SUM(C570:C577)</f>
        <v>0</v>
      </c>
      <c r="D578" s="8">
        <f t="shared" ca="1" si="166"/>
        <v>0</v>
      </c>
      <c r="E578" s="8">
        <f t="shared" ca="1" si="166"/>
        <v>0</v>
      </c>
      <c r="F578" s="8">
        <f t="shared" ca="1" si="166"/>
        <v>0</v>
      </c>
      <c r="G578" s="8">
        <f t="shared" ca="1" si="166"/>
        <v>0</v>
      </c>
      <c r="H578" s="8">
        <f t="shared" ca="1" si="166"/>
        <v>5344910.0841486789</v>
      </c>
      <c r="I578" s="8">
        <f t="shared" ca="1" si="166"/>
        <v>0</v>
      </c>
      <c r="J578" s="8">
        <f t="shared" ca="1" si="166"/>
        <v>0</v>
      </c>
      <c r="K578" s="8">
        <f t="shared" ca="1" si="166"/>
        <v>0</v>
      </c>
      <c r="L578" s="8">
        <f t="shared" ca="1" si="166"/>
        <v>5344910.0841486789</v>
      </c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</row>
    <row r="579" spans="1:38">
      <c r="B579" s="18"/>
      <c r="C579" s="18"/>
      <c r="D579" s="45"/>
      <c r="G579" s="46"/>
      <c r="H579" s="46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</row>
    <row r="580" spans="1:38">
      <c r="A580" s="4"/>
      <c r="B580" s="1" t="s">
        <v>357</v>
      </c>
      <c r="C580" s="18"/>
      <c r="D580" s="45"/>
      <c r="G580" s="46"/>
      <c r="H580" s="46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</row>
    <row r="581" spans="1:38">
      <c r="A581" s="6"/>
      <c r="B581" s="6" t="s">
        <v>358</v>
      </c>
      <c r="C581" s="5">
        <v>0</v>
      </c>
      <c r="D581" s="6">
        <f t="shared" ref="D581:D588" ca="1" si="167">E581+F581</f>
        <v>0</v>
      </c>
      <c r="E581" s="6"/>
      <c r="F581" s="6"/>
      <c r="G581" s="6"/>
      <c r="H581" s="6">
        <f ca="1">79286561+7911204</f>
        <v>87197765</v>
      </c>
      <c r="I581" s="6"/>
      <c r="J581" s="6"/>
      <c r="K581" s="6">
        <f t="shared" ref="K581:K588" ca="1" si="168">+I581+J581</f>
        <v>0</v>
      </c>
      <c r="L581" s="7">
        <f t="shared" ref="L581:L588" ca="1" si="169">D581+G581+H581+K581</f>
        <v>87197765</v>
      </c>
      <c r="N581" s="6" t="s">
        <v>343</v>
      </c>
      <c r="O581" s="6" t="s">
        <v>29</v>
      </c>
      <c r="P581" s="7" t="s">
        <v>359</v>
      </c>
      <c r="Q581" s="6"/>
      <c r="R581" s="6"/>
      <c r="S581" s="6"/>
      <c r="T581" s="6"/>
      <c r="U581" s="6"/>
      <c r="W581" s="6"/>
      <c r="AB581" s="14"/>
      <c r="AC581" s="14"/>
      <c r="AD581" s="14"/>
      <c r="AE581" s="14"/>
      <c r="AF581" s="14"/>
      <c r="AG581" s="18"/>
      <c r="AH581" s="14"/>
      <c r="AI581" s="14"/>
      <c r="AJ581" s="16"/>
      <c r="AK581" s="14"/>
      <c r="AL581" s="14"/>
    </row>
    <row r="582" spans="1:38">
      <c r="A582" s="6"/>
      <c r="B582" s="6" t="s">
        <v>360</v>
      </c>
      <c r="C582" s="5">
        <v>0</v>
      </c>
      <c r="D582" s="6">
        <f t="shared" ca="1" si="167"/>
        <v>0</v>
      </c>
      <c r="E582" s="6"/>
      <c r="F582" s="6"/>
      <c r="G582" s="6"/>
      <c r="H582" s="6">
        <v>39000</v>
      </c>
      <c r="I582" s="6"/>
      <c r="J582" s="6"/>
      <c r="K582" s="6">
        <f t="shared" ca="1" si="168"/>
        <v>0</v>
      </c>
      <c r="L582" s="7">
        <f t="shared" ca="1" si="169"/>
        <v>39000</v>
      </c>
      <c r="N582" s="6" t="s">
        <v>343</v>
      </c>
      <c r="O582" s="6" t="s">
        <v>29</v>
      </c>
      <c r="P582" s="7" t="s">
        <v>359</v>
      </c>
      <c r="Q582" s="6"/>
      <c r="R582" s="6"/>
      <c r="S582" s="6"/>
      <c r="T582" s="6"/>
      <c r="U582" s="6"/>
      <c r="W582" s="6"/>
      <c r="AB582" s="14"/>
      <c r="AC582" s="14"/>
      <c r="AD582" s="14"/>
      <c r="AE582" s="14"/>
      <c r="AF582" s="14"/>
      <c r="AG582" s="18"/>
      <c r="AH582" s="14"/>
      <c r="AI582" s="14"/>
      <c r="AJ582" s="16"/>
      <c r="AK582" s="14"/>
      <c r="AL582" s="14"/>
    </row>
    <row r="583" spans="1:38">
      <c r="A583" s="6"/>
      <c r="B583" s="6" t="s">
        <v>361</v>
      </c>
      <c r="C583" s="5">
        <v>0</v>
      </c>
      <c r="D583" s="6">
        <f t="shared" ca="1" si="167"/>
        <v>0</v>
      </c>
      <c r="E583" s="6"/>
      <c r="F583" s="6"/>
      <c r="G583" s="6"/>
      <c r="H583" s="6">
        <v>2599189.2432562001</v>
      </c>
      <c r="I583" s="6"/>
      <c r="J583" s="6"/>
      <c r="K583" s="6">
        <f t="shared" ca="1" si="168"/>
        <v>0</v>
      </c>
      <c r="L583" s="7">
        <f t="shared" ca="1" si="169"/>
        <v>2599189.2432562001</v>
      </c>
      <c r="N583" s="6" t="s">
        <v>343</v>
      </c>
      <c r="O583" s="6" t="s">
        <v>29</v>
      </c>
      <c r="P583" s="7" t="s">
        <v>359</v>
      </c>
      <c r="Q583" s="6"/>
      <c r="R583" s="6"/>
      <c r="S583" s="6"/>
      <c r="T583" s="6"/>
      <c r="U583" s="6"/>
      <c r="W583" s="6"/>
      <c r="AB583" s="14"/>
      <c r="AC583" s="14"/>
      <c r="AD583" s="14"/>
      <c r="AE583" s="14"/>
      <c r="AF583" s="14"/>
      <c r="AG583" s="18"/>
      <c r="AH583" s="14"/>
      <c r="AI583" s="14"/>
      <c r="AJ583" s="16"/>
      <c r="AK583" s="14"/>
      <c r="AL583" s="14"/>
    </row>
    <row r="584" spans="1:38">
      <c r="A584" s="6"/>
      <c r="B584" s="6" t="s">
        <v>362</v>
      </c>
      <c r="C584" s="5">
        <v>0</v>
      </c>
      <c r="D584" s="6">
        <f t="shared" ca="1" si="167"/>
        <v>0</v>
      </c>
      <c r="E584" s="6"/>
      <c r="F584" s="6"/>
      <c r="G584" s="6"/>
      <c r="H584" s="6">
        <v>13079013.918737857</v>
      </c>
      <c r="I584" s="6"/>
      <c r="J584" s="6"/>
      <c r="K584" s="6">
        <f t="shared" ca="1" si="168"/>
        <v>0</v>
      </c>
      <c r="L584" s="7">
        <f t="shared" ca="1" si="169"/>
        <v>13079013.918737857</v>
      </c>
      <c r="N584" s="6" t="s">
        <v>343</v>
      </c>
      <c r="O584" s="6" t="s">
        <v>29</v>
      </c>
      <c r="P584" s="7" t="s">
        <v>359</v>
      </c>
      <c r="Q584" s="6"/>
      <c r="R584" s="6"/>
      <c r="S584" s="6"/>
      <c r="T584" s="6"/>
      <c r="U584" s="6"/>
      <c r="W584" s="6"/>
      <c r="AB584" s="14"/>
      <c r="AC584" s="14"/>
      <c r="AD584" s="14"/>
      <c r="AE584" s="14"/>
      <c r="AF584" s="14"/>
      <c r="AG584" s="18"/>
      <c r="AH584" s="14"/>
      <c r="AI584" s="14"/>
      <c r="AJ584" s="16"/>
      <c r="AK584" s="14"/>
      <c r="AL584" s="14"/>
    </row>
    <row r="585" spans="1:38">
      <c r="A585" s="6"/>
      <c r="B585" s="6" t="s">
        <v>363</v>
      </c>
      <c r="C585" s="5">
        <v>0</v>
      </c>
      <c r="D585" s="6">
        <f t="shared" ca="1" si="167"/>
        <v>0</v>
      </c>
      <c r="E585" s="6"/>
      <c r="F585" s="6"/>
      <c r="G585" s="6"/>
      <c r="H585" s="6">
        <v>6116879.9545395728</v>
      </c>
      <c r="I585" s="6"/>
      <c r="J585" s="6"/>
      <c r="K585" s="6">
        <f t="shared" ca="1" si="168"/>
        <v>0</v>
      </c>
      <c r="L585" s="7">
        <f t="shared" ca="1" si="169"/>
        <v>6116879.9545395728</v>
      </c>
      <c r="N585" s="6" t="s">
        <v>343</v>
      </c>
      <c r="O585" s="6" t="s">
        <v>29</v>
      </c>
      <c r="P585" s="7" t="s">
        <v>359</v>
      </c>
      <c r="Q585" s="6"/>
      <c r="R585" s="6"/>
      <c r="S585" s="6"/>
      <c r="T585" s="6"/>
      <c r="U585" s="6"/>
      <c r="W585" s="6"/>
      <c r="AB585" s="14"/>
      <c r="AC585" s="14"/>
      <c r="AD585" s="14"/>
      <c r="AE585" s="14"/>
      <c r="AF585" s="14"/>
      <c r="AG585" s="18"/>
      <c r="AH585" s="14"/>
      <c r="AI585" s="14"/>
      <c r="AJ585" s="16"/>
      <c r="AK585" s="14"/>
      <c r="AL585" s="14"/>
    </row>
    <row r="586" spans="1:38">
      <c r="A586" s="6"/>
      <c r="B586" s="6" t="s">
        <v>364</v>
      </c>
      <c r="C586" s="5">
        <v>0</v>
      </c>
      <c r="D586" s="6">
        <f t="shared" ca="1" si="167"/>
        <v>0</v>
      </c>
      <c r="E586" s="6"/>
      <c r="F586" s="6"/>
      <c r="G586" s="6"/>
      <c r="H586" s="6">
        <v>5985203.8893333329</v>
      </c>
      <c r="I586" s="6"/>
      <c r="J586" s="6"/>
      <c r="K586" s="6">
        <f t="shared" ca="1" si="168"/>
        <v>0</v>
      </c>
      <c r="L586" s="7">
        <f t="shared" ca="1" si="169"/>
        <v>5985203.8893333329</v>
      </c>
      <c r="N586" s="6" t="s">
        <v>343</v>
      </c>
      <c r="O586" s="6" t="s">
        <v>29</v>
      </c>
      <c r="P586" s="7" t="s">
        <v>351</v>
      </c>
      <c r="Q586" s="6"/>
      <c r="R586" s="6"/>
      <c r="S586" s="6"/>
      <c r="T586" s="6"/>
      <c r="U586" s="6"/>
      <c r="W586" s="6"/>
      <c r="AB586" s="14"/>
      <c r="AC586" s="14"/>
      <c r="AD586" s="16"/>
      <c r="AE586" s="14"/>
      <c r="AF586" s="14"/>
      <c r="AG586" s="18"/>
      <c r="AH586" s="14"/>
      <c r="AI586" s="14"/>
      <c r="AJ586" s="16"/>
      <c r="AK586" s="14"/>
      <c r="AL586" s="14"/>
    </row>
    <row r="587" spans="1:38">
      <c r="A587" s="6"/>
      <c r="B587" s="6" t="s">
        <v>365</v>
      </c>
      <c r="C587" s="5">
        <v>0</v>
      </c>
      <c r="D587" s="6">
        <f t="shared" ca="1" si="167"/>
        <v>0</v>
      </c>
      <c r="E587" s="6"/>
      <c r="F587" s="6"/>
      <c r="G587" s="6"/>
      <c r="H587" s="6">
        <v>1496300.9723333335</v>
      </c>
      <c r="I587" s="6"/>
      <c r="J587" s="6"/>
      <c r="K587" s="6">
        <f t="shared" ca="1" si="168"/>
        <v>0</v>
      </c>
      <c r="L587" s="7">
        <f t="shared" ca="1" si="169"/>
        <v>1496300.9723333335</v>
      </c>
      <c r="N587" s="6" t="s">
        <v>343</v>
      </c>
      <c r="O587" s="6" t="s">
        <v>36</v>
      </c>
      <c r="P587" s="7"/>
      <c r="Q587" s="6" t="s">
        <v>353</v>
      </c>
      <c r="R587" s="6"/>
      <c r="S587" s="6"/>
      <c r="T587" s="6"/>
      <c r="U587" s="6"/>
      <c r="W587" s="6"/>
      <c r="AB587" s="14"/>
      <c r="AC587" s="14"/>
      <c r="AD587" s="16"/>
      <c r="AE587" s="14"/>
      <c r="AF587" s="14"/>
      <c r="AG587" s="18"/>
      <c r="AH587" s="14"/>
      <c r="AI587" s="14"/>
      <c r="AJ587" s="16"/>
      <c r="AK587" s="14"/>
      <c r="AL587" s="14"/>
    </row>
    <row r="588" spans="1:38" hidden="1">
      <c r="A588" s="6"/>
      <c r="B588" s="6"/>
      <c r="C588" s="5">
        <v>0</v>
      </c>
      <c r="D588" s="6">
        <f t="shared" ca="1" si="167"/>
        <v>0</v>
      </c>
      <c r="E588" s="6"/>
      <c r="F588" s="6"/>
      <c r="G588" s="6"/>
      <c r="H588" s="6">
        <v>0</v>
      </c>
      <c r="I588" s="6"/>
      <c r="J588" s="6"/>
      <c r="K588" s="6">
        <f t="shared" ca="1" si="168"/>
        <v>0</v>
      </c>
      <c r="L588" s="7">
        <f t="shared" ca="1" si="169"/>
        <v>0</v>
      </c>
      <c r="N588" s="6" t="s">
        <v>343</v>
      </c>
      <c r="O588" s="6" t="s">
        <v>29</v>
      </c>
      <c r="P588" s="6" t="s">
        <v>30</v>
      </c>
      <c r="Q588" s="6"/>
      <c r="R588" s="6"/>
      <c r="S588" s="6"/>
      <c r="T588" s="6"/>
      <c r="U588" s="6"/>
      <c r="W588" s="6"/>
      <c r="AB588" s="14"/>
      <c r="AC588" s="14"/>
      <c r="AD588" s="16"/>
      <c r="AE588" s="14"/>
      <c r="AF588" s="14"/>
      <c r="AG588" s="18"/>
      <c r="AH588" s="14"/>
      <c r="AI588" s="14"/>
      <c r="AJ588" s="14"/>
      <c r="AK588" s="14"/>
      <c r="AL588" s="14"/>
    </row>
    <row r="589" spans="1:38" s="8" customFormat="1">
      <c r="B589" s="8" t="s">
        <v>366</v>
      </c>
      <c r="C589" s="8">
        <f t="shared" ref="C589:L589" ca="1" si="170">SUM(C581:C588)</f>
        <v>0</v>
      </c>
      <c r="D589" s="8">
        <f t="shared" ca="1" si="170"/>
        <v>0</v>
      </c>
      <c r="E589" s="8">
        <f t="shared" ca="1" si="170"/>
        <v>0</v>
      </c>
      <c r="F589" s="8">
        <f t="shared" ca="1" si="170"/>
        <v>0</v>
      </c>
      <c r="G589" s="8">
        <f t="shared" ca="1" si="170"/>
        <v>0</v>
      </c>
      <c r="H589" s="8">
        <f t="shared" ca="1" si="170"/>
        <v>116513352.97820029</v>
      </c>
      <c r="I589" s="8">
        <f t="shared" ca="1" si="170"/>
        <v>0</v>
      </c>
      <c r="J589" s="8">
        <f t="shared" ca="1" si="170"/>
        <v>0</v>
      </c>
      <c r="K589" s="8">
        <f t="shared" ca="1" si="170"/>
        <v>0</v>
      </c>
      <c r="L589" s="8">
        <f t="shared" ca="1" si="170"/>
        <v>116513352.97820029</v>
      </c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</row>
    <row r="590" spans="1:38">
      <c r="B590" s="18"/>
      <c r="C590" s="18"/>
      <c r="D590" s="45"/>
      <c r="G590" s="46"/>
      <c r="H590" s="46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</row>
    <row r="591" spans="1:38">
      <c r="B591" s="1" t="s">
        <v>100</v>
      </c>
      <c r="C591" s="18"/>
      <c r="D591" s="45"/>
      <c r="G591" s="46"/>
      <c r="H591" s="46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</row>
    <row r="592" spans="1:38">
      <c r="A592" s="6"/>
      <c r="B592" s="6" t="s">
        <v>367</v>
      </c>
      <c r="C592" s="5">
        <v>0</v>
      </c>
      <c r="D592" s="6">
        <f ca="1">E592+F592</f>
        <v>0</v>
      </c>
      <c r="E592" s="6"/>
      <c r="F592" s="6"/>
      <c r="G592" s="6"/>
      <c r="H592" s="6">
        <v>-2901841.97511</v>
      </c>
      <c r="I592" s="6"/>
      <c r="J592" s="6"/>
      <c r="K592" s="6">
        <f ca="1">+I592+J592</f>
        <v>0</v>
      </c>
      <c r="L592" s="7">
        <f ca="1">D592+G592+H592+K592</f>
        <v>-2901841.97511</v>
      </c>
      <c r="N592" s="6" t="s">
        <v>343</v>
      </c>
      <c r="O592" s="6" t="s">
        <v>29</v>
      </c>
      <c r="P592" s="7" t="s">
        <v>359</v>
      </c>
      <c r="Q592" s="6"/>
      <c r="R592" s="6"/>
      <c r="S592" s="6"/>
      <c r="T592" s="6"/>
      <c r="U592" s="6"/>
      <c r="W592" s="6"/>
      <c r="AB592" s="14"/>
      <c r="AC592" s="14"/>
      <c r="AD592" s="14"/>
      <c r="AE592" s="14"/>
      <c r="AF592" s="14"/>
      <c r="AG592" s="18"/>
      <c r="AH592" s="14"/>
      <c r="AI592" s="14"/>
      <c r="AJ592" s="16"/>
      <c r="AK592" s="14"/>
      <c r="AL592" s="14"/>
    </row>
    <row r="593" spans="1:38" hidden="1">
      <c r="A593" s="6"/>
      <c r="B593" s="6"/>
      <c r="C593" s="5"/>
      <c r="D593" s="6"/>
      <c r="E593" s="6"/>
      <c r="F593" s="6"/>
      <c r="G593" s="6"/>
      <c r="H593" s="6"/>
      <c r="I593" s="6"/>
      <c r="J593" s="6"/>
      <c r="K593" s="6"/>
      <c r="L593" s="7"/>
      <c r="N593" s="6"/>
      <c r="O593" s="6"/>
      <c r="P593" s="6"/>
      <c r="Q593" s="6"/>
      <c r="R593" s="6"/>
      <c r="S593" s="6"/>
      <c r="T593" s="6"/>
      <c r="U593" s="6"/>
      <c r="W593" s="6"/>
      <c r="AB593" s="14"/>
      <c r="AC593" s="14"/>
      <c r="AD593" s="14"/>
      <c r="AE593" s="14"/>
      <c r="AF593" s="14"/>
      <c r="AG593" s="18"/>
      <c r="AH593" s="14"/>
      <c r="AI593" s="14"/>
      <c r="AJ593" s="14"/>
      <c r="AK593" s="14"/>
      <c r="AL593" s="14"/>
    </row>
    <row r="594" spans="1:38" s="8" customFormat="1">
      <c r="B594" s="8" t="s">
        <v>368</v>
      </c>
      <c r="C594" s="8">
        <f t="shared" ref="C594:L594" ca="1" si="171">SUM(C592:C593)</f>
        <v>0</v>
      </c>
      <c r="D594" s="8">
        <f t="shared" ca="1" si="171"/>
        <v>0</v>
      </c>
      <c r="E594" s="8">
        <f t="shared" ca="1" si="171"/>
        <v>0</v>
      </c>
      <c r="F594" s="8">
        <f t="shared" ca="1" si="171"/>
        <v>0</v>
      </c>
      <c r="G594" s="8">
        <f t="shared" ca="1" si="171"/>
        <v>0</v>
      </c>
      <c r="H594" s="8">
        <f t="shared" ca="1" si="171"/>
        <v>-2901841.97511</v>
      </c>
      <c r="I594" s="8">
        <f t="shared" ca="1" si="171"/>
        <v>0</v>
      </c>
      <c r="J594" s="8">
        <f t="shared" ca="1" si="171"/>
        <v>0</v>
      </c>
      <c r="K594" s="8">
        <f t="shared" ca="1" si="171"/>
        <v>0</v>
      </c>
      <c r="L594" s="8">
        <f t="shared" ca="1" si="171"/>
        <v>-2901841.97511</v>
      </c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</row>
    <row r="595" spans="1:38">
      <c r="B595" s="18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</row>
    <row r="596" spans="1:38" s="12" customFormat="1">
      <c r="B596" s="12" t="s">
        <v>369</v>
      </c>
      <c r="C596" s="12">
        <f t="shared" ref="C596:L596" ca="1" si="172">C567+C578+C589+C594</f>
        <v>0</v>
      </c>
      <c r="D596" s="12">
        <f t="shared" ca="1" si="172"/>
        <v>0</v>
      </c>
      <c r="E596" s="12">
        <f t="shared" ca="1" si="172"/>
        <v>0</v>
      </c>
      <c r="F596" s="12">
        <f t="shared" ca="1" si="172"/>
        <v>0</v>
      </c>
      <c r="G596" s="12">
        <f t="shared" ca="1" si="172"/>
        <v>0</v>
      </c>
      <c r="H596" s="12">
        <f t="shared" ca="1" si="172"/>
        <v>118956421.08723897</v>
      </c>
      <c r="I596" s="12">
        <f ca="1">I567+I578+I589+I594</f>
        <v>0</v>
      </c>
      <c r="J596" s="12">
        <f ca="1">J567+J578+J589+J594</f>
        <v>0</v>
      </c>
      <c r="K596" s="12">
        <f t="shared" ca="1" si="172"/>
        <v>0</v>
      </c>
      <c r="L596" s="12">
        <f t="shared" ca="1" si="172"/>
        <v>118956421.08723897</v>
      </c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</row>
    <row r="597" spans="1:38">
      <c r="B597" s="18"/>
      <c r="C597" s="18"/>
      <c r="D597" s="45"/>
      <c r="G597" s="46"/>
      <c r="H597" s="46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</row>
    <row r="598" spans="1:38" ht="15.6">
      <c r="A598" s="43" t="s">
        <v>370</v>
      </c>
      <c r="C598" s="18"/>
      <c r="D598" s="45"/>
      <c r="G598" s="46"/>
      <c r="H598" s="46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</row>
    <row r="599" spans="1:38">
      <c r="B599" s="1" t="s">
        <v>341</v>
      </c>
      <c r="C599" s="18"/>
      <c r="D599" s="45"/>
      <c r="G599" s="46"/>
      <c r="H599" s="46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</row>
    <row r="600" spans="1:38" hidden="1">
      <c r="A600" s="6"/>
      <c r="B600" s="6"/>
      <c r="C600" s="5">
        <v>0</v>
      </c>
      <c r="D600" s="6">
        <f t="shared" ref="D600:D608" ca="1" si="173">E600+F600</f>
        <v>0</v>
      </c>
      <c r="E600" s="6"/>
      <c r="F600" s="6"/>
      <c r="G600" s="6"/>
      <c r="H600" s="6">
        <v>0</v>
      </c>
      <c r="I600" s="6"/>
      <c r="J600" s="6"/>
      <c r="K600" s="6">
        <f t="shared" ref="K600:K608" ca="1" si="174">+I600+J600</f>
        <v>0</v>
      </c>
      <c r="L600" s="7">
        <f t="shared" ref="L600:L608" ca="1" si="175">D600+G600+H600+K600</f>
        <v>0</v>
      </c>
      <c r="N600" s="6" t="s">
        <v>343</v>
      </c>
      <c r="O600" s="6" t="s">
        <v>36</v>
      </c>
      <c r="P600" s="6"/>
      <c r="Q600" s="6" t="s">
        <v>133</v>
      </c>
      <c r="R600" s="6"/>
      <c r="S600" s="6"/>
      <c r="T600" s="6"/>
      <c r="U600" s="6"/>
      <c r="W600" s="6"/>
      <c r="AB600" s="14"/>
      <c r="AC600" s="14"/>
      <c r="AD600" s="14"/>
      <c r="AE600" s="14"/>
      <c r="AF600" s="14"/>
      <c r="AG600" s="18"/>
      <c r="AH600" s="14"/>
      <c r="AI600" s="14"/>
      <c r="AJ600" s="14"/>
      <c r="AK600" s="14"/>
      <c r="AL600" s="14"/>
    </row>
    <row r="601" spans="1:38">
      <c r="A601" s="6"/>
      <c r="B601" s="6" t="s">
        <v>371</v>
      </c>
      <c r="C601" s="5">
        <v>0</v>
      </c>
      <c r="D601" s="6">
        <f t="shared" ca="1" si="173"/>
        <v>0</v>
      </c>
      <c r="E601" s="6"/>
      <c r="F601" s="6"/>
      <c r="G601" s="6"/>
      <c r="H601" s="6">
        <v>238255977.45338035</v>
      </c>
      <c r="I601" s="6"/>
      <c r="J601" s="6"/>
      <c r="K601" s="6">
        <f t="shared" ca="1" si="174"/>
        <v>0</v>
      </c>
      <c r="L601" s="7">
        <f t="shared" ca="1" si="175"/>
        <v>238255977.45338035</v>
      </c>
      <c r="N601" s="6" t="s">
        <v>343</v>
      </c>
      <c r="O601" s="6" t="s">
        <v>36</v>
      </c>
      <c r="P601" s="6"/>
      <c r="Q601" s="6" t="s">
        <v>133</v>
      </c>
      <c r="R601" s="6"/>
      <c r="S601" s="6"/>
      <c r="T601" s="6"/>
      <c r="U601" s="6"/>
      <c r="W601" s="6"/>
      <c r="AB601" s="14"/>
      <c r="AC601" s="14"/>
      <c r="AD601" s="14"/>
      <c r="AE601" s="14"/>
      <c r="AF601" s="14"/>
      <c r="AG601" s="18"/>
      <c r="AH601" s="14"/>
      <c r="AI601" s="14"/>
      <c r="AJ601" s="14"/>
      <c r="AK601" s="14"/>
      <c r="AL601" s="14"/>
    </row>
    <row r="602" spans="1:38" hidden="1">
      <c r="A602" s="6"/>
      <c r="B602" s="6"/>
      <c r="C602" s="5">
        <v>0</v>
      </c>
      <c r="D602" s="6">
        <f t="shared" ca="1" si="173"/>
        <v>0</v>
      </c>
      <c r="E602" s="6"/>
      <c r="F602" s="6"/>
      <c r="G602" s="6"/>
      <c r="H602" s="6">
        <v>0</v>
      </c>
      <c r="I602" s="6"/>
      <c r="J602" s="6"/>
      <c r="K602" s="6">
        <f t="shared" ca="1" si="174"/>
        <v>0</v>
      </c>
      <c r="L602" s="7">
        <f t="shared" ca="1" si="175"/>
        <v>0</v>
      </c>
      <c r="N602" s="6" t="s">
        <v>343</v>
      </c>
      <c r="O602" s="6" t="s">
        <v>36</v>
      </c>
      <c r="P602" s="6"/>
      <c r="Q602" s="7" t="s">
        <v>372</v>
      </c>
      <c r="R602" s="6"/>
      <c r="S602" s="6"/>
      <c r="T602" s="6"/>
      <c r="U602" s="6"/>
      <c r="W602" s="6"/>
      <c r="AB602" s="14"/>
      <c r="AC602" s="14"/>
      <c r="AD602" s="14"/>
      <c r="AE602" s="16"/>
      <c r="AF602" s="14"/>
      <c r="AG602" s="18"/>
      <c r="AH602" s="14"/>
      <c r="AI602" s="14"/>
      <c r="AJ602" s="14"/>
      <c r="AK602" s="16"/>
      <c r="AL602" s="14"/>
    </row>
    <row r="603" spans="1:38" hidden="1">
      <c r="A603" s="6"/>
      <c r="B603" s="6"/>
      <c r="C603" s="5">
        <v>0</v>
      </c>
      <c r="D603" s="6">
        <f t="shared" ca="1" si="173"/>
        <v>0</v>
      </c>
      <c r="E603" s="6"/>
      <c r="F603" s="6"/>
      <c r="G603" s="6"/>
      <c r="H603" s="6"/>
      <c r="I603" s="6"/>
      <c r="J603" s="6"/>
      <c r="K603" s="6">
        <f t="shared" ca="1" si="174"/>
        <v>0</v>
      </c>
      <c r="L603" s="7">
        <f t="shared" ca="1" si="175"/>
        <v>0</v>
      </c>
      <c r="N603" s="6" t="s">
        <v>343</v>
      </c>
      <c r="O603" s="6" t="s">
        <v>36</v>
      </c>
      <c r="P603" s="6"/>
      <c r="Q603" s="6" t="s">
        <v>133</v>
      </c>
      <c r="R603" s="6"/>
      <c r="S603" s="6"/>
      <c r="T603" s="6"/>
      <c r="U603" s="6"/>
      <c r="W603" s="6"/>
      <c r="AB603" s="14"/>
      <c r="AC603" s="14"/>
      <c r="AD603" s="14"/>
      <c r="AE603" s="14"/>
      <c r="AF603" s="14"/>
      <c r="AG603" s="18"/>
      <c r="AH603" s="14"/>
      <c r="AI603" s="14"/>
      <c r="AJ603" s="14"/>
      <c r="AK603" s="14"/>
      <c r="AL603" s="14"/>
    </row>
    <row r="604" spans="1:38">
      <c r="A604" s="6"/>
      <c r="B604" s="6" t="s">
        <v>373</v>
      </c>
      <c r="C604" s="5">
        <v>0</v>
      </c>
      <c r="D604" s="6">
        <f t="shared" ca="1" si="173"/>
        <v>0</v>
      </c>
      <c r="E604" s="6"/>
      <c r="F604" s="6"/>
      <c r="G604" s="6"/>
      <c r="H604" s="6">
        <v>36368327.940643288</v>
      </c>
      <c r="I604" s="6"/>
      <c r="J604" s="6"/>
      <c r="K604" s="6">
        <f t="shared" ca="1" si="174"/>
        <v>0</v>
      </c>
      <c r="L604" s="7">
        <f t="shared" ca="1" si="175"/>
        <v>36368327.940643288</v>
      </c>
      <c r="N604" s="6" t="s">
        <v>343</v>
      </c>
      <c r="O604" s="6" t="s">
        <v>36</v>
      </c>
      <c r="P604" s="6"/>
      <c r="Q604" s="7" t="s">
        <v>374</v>
      </c>
      <c r="R604" s="6"/>
      <c r="S604" s="6"/>
      <c r="T604" s="6"/>
      <c r="U604" s="6"/>
      <c r="W604" s="6"/>
      <c r="AB604" s="14"/>
      <c r="AC604" s="14"/>
      <c r="AD604" s="14"/>
      <c r="AE604" s="14"/>
      <c r="AF604" s="14"/>
      <c r="AG604" s="18"/>
      <c r="AH604" s="14"/>
      <c r="AI604" s="14"/>
      <c r="AJ604" s="14"/>
      <c r="AK604" s="16"/>
      <c r="AL604" s="14"/>
    </row>
    <row r="605" spans="1:38">
      <c r="A605" s="6"/>
      <c r="B605" s="6" t="s">
        <v>375</v>
      </c>
      <c r="C605" s="5">
        <v>0</v>
      </c>
      <c r="D605" s="6">
        <f t="shared" ca="1" si="173"/>
        <v>0</v>
      </c>
      <c r="E605" s="6"/>
      <c r="F605" s="6"/>
      <c r="G605" s="6"/>
      <c r="H605" s="6">
        <v>-35466988.512557842</v>
      </c>
      <c r="I605" s="6"/>
      <c r="J605" s="6"/>
      <c r="K605" s="6">
        <f t="shared" ca="1" si="174"/>
        <v>0</v>
      </c>
      <c r="L605" s="7">
        <f t="shared" ca="1" si="175"/>
        <v>-35466988.512557842</v>
      </c>
      <c r="N605" s="6" t="s">
        <v>343</v>
      </c>
      <c r="O605" s="6" t="s">
        <v>36</v>
      </c>
      <c r="P605" s="6"/>
      <c r="Q605" s="7" t="s">
        <v>374</v>
      </c>
      <c r="R605" s="6"/>
      <c r="S605" s="6"/>
      <c r="T605" s="6"/>
      <c r="U605" s="6"/>
      <c r="W605" s="6"/>
      <c r="AB605" s="14"/>
      <c r="AC605" s="14"/>
      <c r="AD605" s="14"/>
      <c r="AE605" s="14"/>
      <c r="AF605" s="14"/>
      <c r="AG605" s="18"/>
      <c r="AH605" s="14"/>
      <c r="AI605" s="14"/>
      <c r="AJ605" s="14"/>
      <c r="AK605" s="14"/>
      <c r="AL605" s="14"/>
    </row>
    <row r="606" spans="1:38">
      <c r="A606" s="6"/>
      <c r="B606" s="6" t="s">
        <v>376</v>
      </c>
      <c r="C606" s="5">
        <v>0</v>
      </c>
      <c r="D606" s="6">
        <f t="shared" ca="1" si="173"/>
        <v>0</v>
      </c>
      <c r="E606" s="6"/>
      <c r="F606" s="6"/>
      <c r="G606" s="6"/>
      <c r="H606" s="6">
        <v>9874549.5483871084</v>
      </c>
      <c r="I606" s="6"/>
      <c r="J606" s="6"/>
      <c r="K606" s="6">
        <f t="shared" ca="1" si="174"/>
        <v>0</v>
      </c>
      <c r="L606" s="7">
        <f t="shared" ca="1" si="175"/>
        <v>9874549.5483871084</v>
      </c>
      <c r="N606" s="6" t="s">
        <v>343</v>
      </c>
      <c r="O606" s="6" t="s">
        <v>36</v>
      </c>
      <c r="P606" s="6"/>
      <c r="Q606" s="6" t="s">
        <v>133</v>
      </c>
      <c r="R606" s="6"/>
      <c r="S606" s="6"/>
      <c r="T606" s="6"/>
      <c r="U606" s="6"/>
      <c r="W606" s="6"/>
      <c r="AB606" s="14"/>
      <c r="AC606" s="14"/>
      <c r="AD606" s="14"/>
      <c r="AE606" s="14"/>
      <c r="AF606" s="14"/>
      <c r="AG606" s="18"/>
      <c r="AH606" s="14"/>
      <c r="AI606" s="14"/>
      <c r="AJ606" s="14"/>
      <c r="AK606" s="14"/>
      <c r="AL606" s="14"/>
    </row>
    <row r="607" spans="1:38">
      <c r="A607" s="6"/>
      <c r="B607" s="6" t="s">
        <v>377</v>
      </c>
      <c r="C607" s="5">
        <v>0</v>
      </c>
      <c r="D607" s="6">
        <f t="shared" ca="1" si="173"/>
        <v>0</v>
      </c>
      <c r="E607" s="6"/>
      <c r="F607" s="6"/>
      <c r="G607" s="6"/>
      <c r="H607" s="6">
        <v>-10133010.243970796</v>
      </c>
      <c r="I607" s="6"/>
      <c r="J607" s="6"/>
      <c r="K607" s="6">
        <f t="shared" ca="1" si="174"/>
        <v>0</v>
      </c>
      <c r="L607" s="7">
        <f t="shared" ca="1" si="175"/>
        <v>-10133010.243970796</v>
      </c>
      <c r="N607" s="6" t="s">
        <v>343</v>
      </c>
      <c r="O607" s="6" t="s">
        <v>36</v>
      </c>
      <c r="P607" s="6"/>
      <c r="Q607" s="6" t="s">
        <v>133</v>
      </c>
      <c r="R607" s="6"/>
      <c r="S607" s="6"/>
      <c r="T607" s="6"/>
      <c r="U607" s="6"/>
      <c r="W607" s="6"/>
      <c r="AB607" s="14"/>
      <c r="AC607" s="14"/>
      <c r="AD607" s="14"/>
      <c r="AE607" s="14"/>
      <c r="AF607" s="14"/>
      <c r="AG607" s="18"/>
      <c r="AH607" s="14"/>
      <c r="AI607" s="14"/>
      <c r="AJ607" s="14"/>
      <c r="AK607" s="14"/>
      <c r="AL607" s="14"/>
    </row>
    <row r="608" spans="1:38">
      <c r="A608" s="6"/>
      <c r="B608" s="6" t="s">
        <v>378</v>
      </c>
      <c r="C608" s="5">
        <v>0</v>
      </c>
      <c r="D608" s="6">
        <f t="shared" ca="1" si="173"/>
        <v>0</v>
      </c>
      <c r="E608" s="6"/>
      <c r="F608" s="6"/>
      <c r="G608" s="6"/>
      <c r="H608" s="6">
        <v>-3944291.4892588258</v>
      </c>
      <c r="I608" s="6"/>
      <c r="J608" s="6"/>
      <c r="K608" s="6">
        <f t="shared" ca="1" si="174"/>
        <v>0</v>
      </c>
      <c r="L608" s="7">
        <f t="shared" ca="1" si="175"/>
        <v>-3944291.4892588258</v>
      </c>
      <c r="N608" s="6" t="s">
        <v>343</v>
      </c>
      <c r="O608" s="6" t="s">
        <v>36</v>
      </c>
      <c r="P608" s="6"/>
      <c r="Q608" s="6" t="s">
        <v>133</v>
      </c>
      <c r="R608" s="6"/>
      <c r="S608" s="6"/>
      <c r="T608" s="6"/>
      <c r="U608" s="6"/>
      <c r="W608" s="6"/>
      <c r="AB608" s="14"/>
      <c r="AC608" s="14"/>
      <c r="AD608" s="14"/>
      <c r="AE608" s="14"/>
      <c r="AF608" s="14"/>
      <c r="AG608" s="18"/>
      <c r="AH608" s="14"/>
      <c r="AI608" s="14"/>
      <c r="AJ608" s="14"/>
      <c r="AK608" s="14"/>
      <c r="AL608" s="14"/>
    </row>
    <row r="609" spans="1:38" s="8" customFormat="1">
      <c r="B609" s="8" t="s">
        <v>379</v>
      </c>
      <c r="C609" s="8">
        <f t="shared" ref="C609:L609" ca="1" si="176">SUM(C600:C608)</f>
        <v>0</v>
      </c>
      <c r="D609" s="8">
        <f t="shared" ca="1" si="176"/>
        <v>0</v>
      </c>
      <c r="E609" s="8">
        <f t="shared" ca="1" si="176"/>
        <v>0</v>
      </c>
      <c r="F609" s="8">
        <f t="shared" ca="1" si="176"/>
        <v>0</v>
      </c>
      <c r="G609" s="8">
        <f t="shared" ca="1" si="176"/>
        <v>0</v>
      </c>
      <c r="H609" s="8">
        <f t="shared" ca="1" si="176"/>
        <v>234954564.69662333</v>
      </c>
      <c r="I609" s="8">
        <f t="shared" ca="1" si="176"/>
        <v>0</v>
      </c>
      <c r="J609" s="8">
        <f t="shared" ca="1" si="176"/>
        <v>0</v>
      </c>
      <c r="K609" s="8">
        <f t="shared" ca="1" si="176"/>
        <v>0</v>
      </c>
      <c r="L609" s="8">
        <f t="shared" ca="1" si="176"/>
        <v>234954564.69662333</v>
      </c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</row>
    <row r="610" spans="1:38">
      <c r="B610" s="18"/>
      <c r="C610" s="18"/>
      <c r="D610" s="18"/>
      <c r="G610" s="46"/>
      <c r="H610" s="46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</row>
    <row r="611" spans="1:38">
      <c r="B611" s="1" t="s">
        <v>347</v>
      </c>
      <c r="C611" s="18"/>
      <c r="D611" s="45"/>
      <c r="G611" s="46"/>
      <c r="H611" s="46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</row>
    <row r="612" spans="1:38" hidden="1">
      <c r="A612" s="6"/>
      <c r="B612" s="6"/>
      <c r="C612" s="5">
        <v>0</v>
      </c>
      <c r="D612" s="6">
        <f ca="1">E612+F612</f>
        <v>0</v>
      </c>
      <c r="E612" s="6"/>
      <c r="F612" s="6"/>
      <c r="G612" s="6"/>
      <c r="H612" s="6">
        <v>0</v>
      </c>
      <c r="I612" s="6"/>
      <c r="J612" s="6"/>
      <c r="K612" s="6">
        <f ca="1">+I612+J612</f>
        <v>0</v>
      </c>
      <c r="L612" s="7">
        <f ca="1">D612+G612+H612+K612</f>
        <v>0</v>
      </c>
      <c r="N612" s="6" t="s">
        <v>343</v>
      </c>
      <c r="O612" s="6" t="s">
        <v>36</v>
      </c>
      <c r="P612" s="6"/>
      <c r="Q612" s="7" t="s">
        <v>380</v>
      </c>
      <c r="R612" s="6"/>
      <c r="S612" s="6"/>
      <c r="T612" s="6"/>
      <c r="U612" s="6"/>
      <c r="W612" s="6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</row>
    <row r="613" spans="1:38" hidden="1">
      <c r="A613" s="6"/>
      <c r="B613" s="6"/>
      <c r="C613" s="5">
        <v>0</v>
      </c>
      <c r="D613" s="6">
        <f ca="1">E613+F613</f>
        <v>0</v>
      </c>
      <c r="E613" s="6"/>
      <c r="F613" s="6"/>
      <c r="G613" s="6"/>
      <c r="H613" s="6">
        <v>0</v>
      </c>
      <c r="I613" s="6"/>
      <c r="J613" s="6"/>
      <c r="K613" s="6">
        <f ca="1">+I613+J613</f>
        <v>0</v>
      </c>
      <c r="L613" s="7">
        <f ca="1">D613+G613+H613+K613</f>
        <v>0</v>
      </c>
      <c r="N613" s="6" t="s">
        <v>343</v>
      </c>
      <c r="O613" s="6" t="s">
        <v>36</v>
      </c>
      <c r="P613" s="6"/>
      <c r="Q613" s="6" t="s">
        <v>353</v>
      </c>
      <c r="R613" s="6"/>
      <c r="S613" s="6"/>
      <c r="T613" s="6"/>
      <c r="U613" s="6"/>
      <c r="W613" s="6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</row>
    <row r="614" spans="1:38" hidden="1">
      <c r="A614" s="6"/>
      <c r="B614" s="6"/>
      <c r="C614" s="5">
        <v>0</v>
      </c>
      <c r="D614" s="6">
        <f ca="1">E614+F614</f>
        <v>0</v>
      </c>
      <c r="E614" s="6"/>
      <c r="F614" s="6"/>
      <c r="G614" s="6"/>
      <c r="H614" s="6">
        <v>0</v>
      </c>
      <c r="I614" s="6"/>
      <c r="J614" s="6"/>
      <c r="K614" s="6">
        <f ca="1">+I614+J614</f>
        <v>0</v>
      </c>
      <c r="L614" s="7">
        <f ca="1">D614+G614+H614+K614</f>
        <v>0</v>
      </c>
      <c r="N614" s="6" t="s">
        <v>343</v>
      </c>
      <c r="O614" s="6" t="s">
        <v>36</v>
      </c>
      <c r="P614" s="6"/>
      <c r="Q614" s="7" t="s">
        <v>372</v>
      </c>
      <c r="R614" s="6"/>
      <c r="S614" s="6"/>
      <c r="T614" s="6"/>
      <c r="U614" s="6"/>
      <c r="W614" s="6"/>
      <c r="AB614" s="14"/>
      <c r="AC614" s="14"/>
      <c r="AD614" s="14"/>
      <c r="AE614" s="14"/>
      <c r="AF614" s="14"/>
      <c r="AG614" s="18"/>
      <c r="AH614" s="14"/>
      <c r="AI614" s="14"/>
      <c r="AJ614" s="14"/>
      <c r="AK614" s="16"/>
      <c r="AL614" s="14"/>
    </row>
    <row r="615" spans="1:38" hidden="1">
      <c r="A615" s="6"/>
      <c r="B615" s="6"/>
      <c r="C615" s="5">
        <v>0</v>
      </c>
      <c r="D615" s="6">
        <f ca="1">E615+F615</f>
        <v>0</v>
      </c>
      <c r="E615" s="6"/>
      <c r="F615" s="6"/>
      <c r="G615" s="6"/>
      <c r="H615" s="6">
        <v>0</v>
      </c>
      <c r="I615" s="6"/>
      <c r="J615" s="6"/>
      <c r="K615" s="6">
        <f ca="1">+I615+J615</f>
        <v>0</v>
      </c>
      <c r="L615" s="7">
        <f ca="1">D615+G615+H615+K615</f>
        <v>0</v>
      </c>
      <c r="N615" s="6" t="s">
        <v>343</v>
      </c>
      <c r="O615" s="6" t="s">
        <v>36</v>
      </c>
      <c r="P615" s="6"/>
      <c r="Q615" s="7" t="s">
        <v>372</v>
      </c>
      <c r="R615" s="6"/>
      <c r="S615" s="6"/>
      <c r="T615" s="6"/>
      <c r="U615" s="6"/>
      <c r="W615" s="6"/>
      <c r="AB615" s="14"/>
      <c r="AC615" s="14"/>
      <c r="AD615" s="14"/>
      <c r="AE615" s="14"/>
      <c r="AF615" s="14"/>
      <c r="AG615" s="18"/>
      <c r="AH615" s="14"/>
      <c r="AI615" s="14"/>
      <c r="AJ615" s="14"/>
      <c r="AK615" s="16"/>
      <c r="AL615" s="14"/>
    </row>
    <row r="616" spans="1:38">
      <c r="A616" s="6"/>
      <c r="B616" s="6" t="s">
        <v>381</v>
      </c>
      <c r="C616" s="5">
        <v>0</v>
      </c>
      <c r="D616" s="6">
        <f ca="1">E616+F616</f>
        <v>0</v>
      </c>
      <c r="E616" s="6"/>
      <c r="F616" s="6"/>
      <c r="G616" s="6"/>
      <c r="H616" s="6">
        <v>251381.82541959998</v>
      </c>
      <c r="I616" s="6"/>
      <c r="J616" s="6"/>
      <c r="K616" s="6">
        <f ca="1">+I616+J616</f>
        <v>0</v>
      </c>
      <c r="L616" s="7">
        <f ca="1">D616+G616+H616+K616</f>
        <v>251381.82541959998</v>
      </c>
      <c r="N616" s="6" t="s">
        <v>343</v>
      </c>
      <c r="O616" s="6" t="s">
        <v>36</v>
      </c>
      <c r="P616" s="6"/>
      <c r="Q616" s="7" t="s">
        <v>374</v>
      </c>
      <c r="R616" s="6"/>
      <c r="S616" s="6"/>
      <c r="T616" s="6"/>
      <c r="U616" s="6"/>
      <c r="W616" s="6"/>
      <c r="AB616" s="14"/>
      <c r="AC616" s="14"/>
      <c r="AD616" s="14"/>
      <c r="AE616" s="14"/>
      <c r="AF616" s="14"/>
      <c r="AG616" s="18"/>
      <c r="AH616" s="14"/>
      <c r="AI616" s="14"/>
      <c r="AJ616" s="14"/>
      <c r="AK616" s="16"/>
      <c r="AL616" s="14"/>
    </row>
    <row r="617" spans="1:38" s="8" customFormat="1">
      <c r="B617" s="8" t="s">
        <v>382</v>
      </c>
      <c r="C617" s="8">
        <f ca="1">SUM(C612:C616)</f>
        <v>0</v>
      </c>
      <c r="D617" s="8">
        <f t="shared" ref="D617:K617" ca="1" si="177">SUM(D614:D616)</f>
        <v>0</v>
      </c>
      <c r="E617" s="8">
        <f t="shared" ca="1" si="177"/>
        <v>0</v>
      </c>
      <c r="F617" s="8">
        <f t="shared" ca="1" si="177"/>
        <v>0</v>
      </c>
      <c r="G617" s="8">
        <f t="shared" ca="1" si="177"/>
        <v>0</v>
      </c>
      <c r="H617" s="8">
        <f ca="1">SUM(H612:H616)</f>
        <v>251381.82541959998</v>
      </c>
      <c r="I617" s="8">
        <f t="shared" ca="1" si="177"/>
        <v>0</v>
      </c>
      <c r="J617" s="8">
        <f t="shared" ca="1" si="177"/>
        <v>0</v>
      </c>
      <c r="K617" s="8">
        <f t="shared" ca="1" si="177"/>
        <v>0</v>
      </c>
      <c r="L617" s="8">
        <f ca="1">SUM(L612:L616)</f>
        <v>251381.82541959998</v>
      </c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</row>
    <row r="618" spans="1:38">
      <c r="B618" s="18"/>
      <c r="C618" s="18"/>
      <c r="D618" s="18"/>
      <c r="G618" s="46"/>
      <c r="H618" s="46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</row>
    <row r="619" spans="1:38">
      <c r="B619" s="1" t="s">
        <v>357</v>
      </c>
      <c r="C619" s="18"/>
      <c r="D619" s="18"/>
      <c r="G619" s="46"/>
      <c r="H619" s="46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</row>
    <row r="620" spans="1:38">
      <c r="A620" s="6"/>
      <c r="B620" s="6" t="s">
        <v>383</v>
      </c>
      <c r="C620" s="5">
        <v>0</v>
      </c>
      <c r="D620" s="6">
        <f t="shared" ref="D620:D626" ca="1" si="178">E620+F620</f>
        <v>0</v>
      </c>
      <c r="E620" s="6"/>
      <c r="F620" s="6"/>
      <c r="G620" s="6"/>
      <c r="H620" s="6">
        <v>2769156.5087483227</v>
      </c>
      <c r="I620" s="6"/>
      <c r="J620" s="6"/>
      <c r="K620" s="6">
        <f t="shared" ref="K620:K626" ca="1" si="179">+I620+J620</f>
        <v>0</v>
      </c>
      <c r="L620" s="7">
        <f t="shared" ref="L620:L626" ca="1" si="180">D620+G620+H620+K620</f>
        <v>2769156.5087483227</v>
      </c>
      <c r="N620" s="6" t="s">
        <v>343</v>
      </c>
      <c r="O620" s="6" t="s">
        <v>36</v>
      </c>
      <c r="P620" s="6"/>
      <c r="Q620" s="7" t="s">
        <v>384</v>
      </c>
      <c r="R620" s="6"/>
      <c r="S620" s="6"/>
      <c r="T620" s="6"/>
      <c r="U620" s="6"/>
      <c r="W620" s="6"/>
      <c r="AB620" s="14"/>
      <c r="AC620" s="14"/>
      <c r="AD620" s="14"/>
      <c r="AE620" s="14"/>
      <c r="AF620" s="14"/>
      <c r="AG620" s="18"/>
      <c r="AH620" s="14"/>
      <c r="AI620" s="14"/>
      <c r="AJ620" s="14"/>
      <c r="AK620" s="16"/>
      <c r="AL620" s="14"/>
    </row>
    <row r="621" spans="1:38">
      <c r="A621" s="6"/>
      <c r="B621" s="6" t="s">
        <v>364</v>
      </c>
      <c r="C621" s="5">
        <v>0</v>
      </c>
      <c r="D621" s="6">
        <f t="shared" ca="1" si="178"/>
        <v>0</v>
      </c>
      <c r="E621" s="6"/>
      <c r="F621" s="6"/>
      <c r="G621" s="6"/>
      <c r="H621" s="6">
        <v>154711.5528</v>
      </c>
      <c r="I621" s="6"/>
      <c r="J621" s="6"/>
      <c r="K621" s="6">
        <f t="shared" ca="1" si="179"/>
        <v>0</v>
      </c>
      <c r="L621" s="7">
        <f t="shared" ca="1" si="180"/>
        <v>154711.5528</v>
      </c>
      <c r="N621" s="6" t="s">
        <v>343</v>
      </c>
      <c r="O621" s="6" t="s">
        <v>36</v>
      </c>
      <c r="P621" s="6"/>
      <c r="Q621" s="7" t="s">
        <v>380</v>
      </c>
      <c r="R621" s="6"/>
      <c r="S621" s="6"/>
      <c r="T621" s="6"/>
      <c r="U621" s="6"/>
      <c r="W621" s="6"/>
      <c r="AB621" s="14"/>
      <c r="AC621" s="14"/>
      <c r="AD621" s="14"/>
      <c r="AE621" s="16"/>
      <c r="AF621" s="14"/>
      <c r="AG621" s="18"/>
      <c r="AH621" s="14"/>
      <c r="AI621" s="14"/>
      <c r="AJ621" s="14"/>
      <c r="AK621" s="16"/>
      <c r="AL621" s="14"/>
    </row>
    <row r="622" spans="1:38">
      <c r="A622" s="6"/>
      <c r="B622" s="6" t="s">
        <v>365</v>
      </c>
      <c r="C622" s="5">
        <v>0</v>
      </c>
      <c r="D622" s="6">
        <f t="shared" ca="1" si="178"/>
        <v>0</v>
      </c>
      <c r="E622" s="6"/>
      <c r="F622" s="6"/>
      <c r="G622" s="6"/>
      <c r="H622" s="6">
        <v>38677.888200000001</v>
      </c>
      <c r="I622" s="6"/>
      <c r="J622" s="6"/>
      <c r="K622" s="6">
        <f t="shared" ca="1" si="179"/>
        <v>0</v>
      </c>
      <c r="L622" s="7">
        <f t="shared" ca="1" si="180"/>
        <v>38677.888200000001</v>
      </c>
      <c r="N622" s="6" t="s">
        <v>343</v>
      </c>
      <c r="O622" s="6" t="s">
        <v>36</v>
      </c>
      <c r="P622" s="7"/>
      <c r="Q622" s="6" t="s">
        <v>353</v>
      </c>
      <c r="R622" s="6"/>
      <c r="S622" s="6"/>
      <c r="T622" s="6"/>
      <c r="U622" s="6"/>
      <c r="W622" s="6"/>
      <c r="AB622" s="14"/>
      <c r="AC622" s="14"/>
      <c r="AD622" s="16"/>
      <c r="AE622" s="14"/>
      <c r="AF622" s="14"/>
      <c r="AG622" s="18"/>
      <c r="AH622" s="14"/>
      <c r="AI622" s="14"/>
      <c r="AJ622" s="16"/>
      <c r="AK622" s="14"/>
      <c r="AL622" s="14"/>
    </row>
    <row r="623" spans="1:38">
      <c r="A623" s="6"/>
      <c r="B623" s="6"/>
      <c r="C623" s="5">
        <v>0</v>
      </c>
      <c r="D623" s="6">
        <f t="shared" ca="1" si="178"/>
        <v>0</v>
      </c>
      <c r="E623" s="6"/>
      <c r="F623" s="6"/>
      <c r="G623" s="6"/>
      <c r="H623" s="6">
        <v>0</v>
      </c>
      <c r="I623" s="6"/>
      <c r="J623" s="6"/>
      <c r="K623" s="6">
        <f t="shared" ca="1" si="179"/>
        <v>0</v>
      </c>
      <c r="L623" s="7">
        <f t="shared" ca="1" si="180"/>
        <v>0</v>
      </c>
      <c r="N623" s="6" t="s">
        <v>343</v>
      </c>
      <c r="O623" s="6" t="s">
        <v>36</v>
      </c>
      <c r="P623" s="6"/>
      <c r="Q623" s="7" t="s">
        <v>372</v>
      </c>
      <c r="R623" s="6"/>
      <c r="S623" s="6"/>
      <c r="T623" s="6"/>
      <c r="U623" s="6"/>
      <c r="W623" s="6"/>
      <c r="AB623" s="14"/>
      <c r="AC623" s="14"/>
      <c r="AD623" s="14"/>
      <c r="AE623" s="16"/>
      <c r="AF623" s="14"/>
      <c r="AG623" s="18"/>
      <c r="AH623" s="14"/>
      <c r="AI623" s="14"/>
      <c r="AJ623" s="14"/>
      <c r="AK623" s="16"/>
      <c r="AL623" s="14"/>
    </row>
    <row r="624" spans="1:38">
      <c r="A624" s="6"/>
      <c r="B624" s="6" t="s">
        <v>361</v>
      </c>
      <c r="C624" s="5">
        <v>0</v>
      </c>
      <c r="D624" s="6">
        <f t="shared" ca="1" si="178"/>
        <v>0</v>
      </c>
      <c r="E624" s="6"/>
      <c r="F624" s="6"/>
      <c r="G624" s="6"/>
      <c r="H624" s="6">
        <v>49422.42462807124</v>
      </c>
      <c r="I624" s="6"/>
      <c r="J624" s="6"/>
      <c r="K624" s="6">
        <f t="shared" ca="1" si="179"/>
        <v>0</v>
      </c>
      <c r="L624" s="7">
        <f t="shared" ca="1" si="180"/>
        <v>49422.42462807124</v>
      </c>
      <c r="N624" s="6" t="s">
        <v>343</v>
      </c>
      <c r="O624" s="6" t="s">
        <v>36</v>
      </c>
      <c r="P624" s="6"/>
      <c r="Q624" s="7" t="s">
        <v>384</v>
      </c>
      <c r="R624" s="6"/>
      <c r="S624" s="6"/>
      <c r="T624" s="6"/>
      <c r="U624" s="6"/>
      <c r="W624" s="6"/>
      <c r="AB624" s="14"/>
      <c r="AC624" s="14"/>
      <c r="AD624" s="14"/>
      <c r="AE624" s="14"/>
      <c r="AF624" s="14"/>
      <c r="AG624" s="18"/>
      <c r="AH624" s="14"/>
      <c r="AI624" s="14"/>
      <c r="AJ624" s="14"/>
      <c r="AK624" s="16"/>
      <c r="AL624" s="14"/>
    </row>
    <row r="625" spans="1:38">
      <c r="A625" s="6"/>
      <c r="B625" s="6" t="s">
        <v>362</v>
      </c>
      <c r="C625" s="5">
        <v>0</v>
      </c>
      <c r="D625" s="6">
        <f t="shared" ca="1" si="178"/>
        <v>0</v>
      </c>
      <c r="E625" s="6"/>
      <c r="F625" s="6"/>
      <c r="G625" s="6"/>
      <c r="H625" s="6">
        <v>47054.602673563328</v>
      </c>
      <c r="I625" s="6"/>
      <c r="J625" s="6"/>
      <c r="K625" s="6">
        <f t="shared" ca="1" si="179"/>
        <v>0</v>
      </c>
      <c r="L625" s="7">
        <f t="shared" ca="1" si="180"/>
        <v>47054.602673563328</v>
      </c>
      <c r="N625" s="6" t="s">
        <v>343</v>
      </c>
      <c r="O625" s="6" t="s">
        <v>36</v>
      </c>
      <c r="P625" s="6"/>
      <c r="Q625" s="7" t="s">
        <v>384</v>
      </c>
      <c r="R625" s="6"/>
      <c r="S625" s="6"/>
      <c r="T625" s="6"/>
      <c r="U625" s="6"/>
      <c r="W625" s="6"/>
      <c r="AB625" s="14"/>
      <c r="AC625" s="14"/>
      <c r="AD625" s="14"/>
      <c r="AE625" s="14"/>
      <c r="AF625" s="14"/>
      <c r="AG625" s="18"/>
      <c r="AH625" s="14"/>
      <c r="AI625" s="14"/>
      <c r="AJ625" s="14"/>
      <c r="AK625" s="16"/>
      <c r="AL625" s="14"/>
    </row>
    <row r="626" spans="1:38" hidden="1">
      <c r="A626" s="6"/>
      <c r="B626" s="6"/>
      <c r="C626" s="5">
        <v>0</v>
      </c>
      <c r="D626" s="6">
        <f t="shared" ca="1" si="178"/>
        <v>0</v>
      </c>
      <c r="E626" s="6"/>
      <c r="F626" s="6"/>
      <c r="G626" s="6"/>
      <c r="H626" s="6">
        <v>0</v>
      </c>
      <c r="I626" s="6"/>
      <c r="J626" s="6"/>
      <c r="K626" s="6">
        <f t="shared" ca="1" si="179"/>
        <v>0</v>
      </c>
      <c r="L626" s="7">
        <f t="shared" ca="1" si="180"/>
        <v>0</v>
      </c>
      <c r="N626" s="6" t="s">
        <v>343</v>
      </c>
      <c r="O626" s="6" t="s">
        <v>36</v>
      </c>
      <c r="P626" s="6"/>
      <c r="Q626" s="7" t="s">
        <v>384</v>
      </c>
      <c r="R626" s="6"/>
      <c r="S626" s="6"/>
      <c r="T626" s="6"/>
      <c r="U626" s="6"/>
      <c r="W626" s="6"/>
      <c r="AB626" s="14"/>
      <c r="AC626" s="14"/>
      <c r="AD626" s="14"/>
      <c r="AE626" s="14"/>
      <c r="AF626" s="14"/>
      <c r="AG626" s="18"/>
      <c r="AH626" s="14"/>
      <c r="AI626" s="14"/>
      <c r="AJ626" s="14"/>
      <c r="AK626" s="16"/>
      <c r="AL626" s="14"/>
    </row>
    <row r="627" spans="1:38" s="8" customFormat="1">
      <c r="B627" s="8" t="s">
        <v>385</v>
      </c>
      <c r="C627" s="8">
        <f t="shared" ref="C627:L627" ca="1" si="181">SUM(C620:C626)</f>
        <v>0</v>
      </c>
      <c r="D627" s="8">
        <f t="shared" ca="1" si="181"/>
        <v>0</v>
      </c>
      <c r="E627" s="8">
        <f t="shared" ca="1" si="181"/>
        <v>0</v>
      </c>
      <c r="F627" s="8">
        <f t="shared" ca="1" si="181"/>
        <v>0</v>
      </c>
      <c r="G627" s="8">
        <f t="shared" ca="1" si="181"/>
        <v>0</v>
      </c>
      <c r="H627" s="8">
        <f t="shared" ca="1" si="181"/>
        <v>3059022.977049957</v>
      </c>
      <c r="I627" s="8">
        <f t="shared" ca="1" si="181"/>
        <v>0</v>
      </c>
      <c r="J627" s="8">
        <f t="shared" ca="1" si="181"/>
        <v>0</v>
      </c>
      <c r="K627" s="8">
        <f t="shared" ca="1" si="181"/>
        <v>0</v>
      </c>
      <c r="L627" s="8">
        <f t="shared" ca="1" si="181"/>
        <v>3059022.977049957</v>
      </c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</row>
    <row r="628" spans="1:38">
      <c r="B628" s="18"/>
      <c r="D628" s="18"/>
      <c r="G628" s="46"/>
      <c r="H628" s="46"/>
    </row>
    <row r="629" spans="1:38" s="12" customFormat="1">
      <c r="B629" s="12" t="s">
        <v>386</v>
      </c>
      <c r="C629" s="12">
        <f t="shared" ref="C629:L629" ca="1" si="182">C609+C617+C627</f>
        <v>0</v>
      </c>
      <c r="D629" s="12">
        <f t="shared" ca="1" si="182"/>
        <v>0</v>
      </c>
      <c r="E629" s="12">
        <f t="shared" ca="1" si="182"/>
        <v>0</v>
      </c>
      <c r="F629" s="12">
        <f t="shared" ca="1" si="182"/>
        <v>0</v>
      </c>
      <c r="G629" s="12">
        <f t="shared" ca="1" si="182"/>
        <v>0</v>
      </c>
      <c r="H629" s="12">
        <f t="shared" ca="1" si="182"/>
        <v>238264969.49909288</v>
      </c>
      <c r="I629" s="12">
        <f ca="1">I609+I617+I627</f>
        <v>0</v>
      </c>
      <c r="J629" s="12">
        <f ca="1">J609+J617+J627</f>
        <v>0</v>
      </c>
      <c r="K629" s="12">
        <f t="shared" ca="1" si="182"/>
        <v>0</v>
      </c>
      <c r="L629" s="12">
        <f t="shared" ca="1" si="182"/>
        <v>238264969.49909288</v>
      </c>
    </row>
    <row r="630" spans="1:38">
      <c r="B630" s="18"/>
      <c r="C630" s="46"/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38" s="12" customFormat="1">
      <c r="B631" s="12" t="s">
        <v>387</v>
      </c>
      <c r="C631" s="12">
        <f t="shared" ref="C631:L631" ca="1" si="183">C596+C629</f>
        <v>0</v>
      </c>
      <c r="D631" s="12">
        <f t="shared" ca="1" si="183"/>
        <v>0</v>
      </c>
      <c r="E631" s="12">
        <f t="shared" ca="1" si="183"/>
        <v>0</v>
      </c>
      <c r="F631" s="12">
        <f t="shared" ca="1" si="183"/>
        <v>0</v>
      </c>
      <c r="G631" s="12">
        <f t="shared" ca="1" si="183"/>
        <v>0</v>
      </c>
      <c r="H631" s="12">
        <f t="shared" ca="1" si="183"/>
        <v>357221390.58633184</v>
      </c>
      <c r="I631" s="12">
        <f ca="1">I596+I629</f>
        <v>0</v>
      </c>
      <c r="J631" s="12">
        <f ca="1">J596+J629</f>
        <v>0</v>
      </c>
      <c r="K631" s="12">
        <f t="shared" ca="1" si="183"/>
        <v>0</v>
      </c>
      <c r="L631" s="12">
        <f t="shared" ca="1" si="183"/>
        <v>357221390.58633184</v>
      </c>
    </row>
    <row r="632" spans="1:38">
      <c r="B632" s="12"/>
      <c r="C632" s="19"/>
      <c r="D632" s="19"/>
      <c r="E632" s="19"/>
      <c r="F632" s="19"/>
      <c r="G632" s="19"/>
      <c r="H632" s="19"/>
      <c r="I632" s="19"/>
      <c r="J632" s="19"/>
      <c r="K632" s="19"/>
      <c r="L632" s="19"/>
    </row>
    <row r="633" spans="1:38" ht="15.6">
      <c r="A633" s="28" t="s">
        <v>388</v>
      </c>
    </row>
    <row r="634" spans="1:38" outlineLevel="1">
      <c r="A634" s="30" t="s">
        <v>32</v>
      </c>
      <c r="B634" s="6" t="s">
        <v>32</v>
      </c>
      <c r="C634" s="5">
        <v>0</v>
      </c>
      <c r="D634" s="6">
        <f t="shared" ref="D634:D646" ca="1" si="184">E634+F634</f>
        <v>0</v>
      </c>
      <c r="E634" s="6"/>
      <c r="F634" s="6"/>
      <c r="G634" s="6"/>
      <c r="H634" s="7"/>
      <c r="I634" s="7"/>
      <c r="J634" s="7"/>
      <c r="K634" s="6">
        <f t="shared" ref="K634:K646" ca="1" si="185">+I634+J634</f>
        <v>0</v>
      </c>
      <c r="L634" s="7">
        <f t="shared" ref="L634:L646" ca="1" si="186">D634+G634+H634+K634</f>
        <v>0</v>
      </c>
      <c r="N634" s="7"/>
      <c r="O634" s="6"/>
      <c r="P634" s="6"/>
      <c r="Q634" s="7"/>
      <c r="R634" s="7"/>
      <c r="S634" s="7"/>
      <c r="T634" s="7"/>
      <c r="U634" s="7"/>
      <c r="W634" s="7"/>
      <c r="Z634" s="22"/>
      <c r="AA634" s="22"/>
      <c r="AB634" s="14"/>
      <c r="AC634" s="14"/>
      <c r="AD634" s="14"/>
      <c r="AE634" s="16"/>
    </row>
    <row r="635" spans="1:38" outlineLevel="1">
      <c r="A635" s="47" t="s">
        <v>389</v>
      </c>
      <c r="B635" s="6" t="s">
        <v>390</v>
      </c>
      <c r="C635" s="5">
        <v>0</v>
      </c>
      <c r="D635" s="6">
        <f ca="1">E635+F635</f>
        <v>0</v>
      </c>
      <c r="E635" s="6"/>
      <c r="F635" s="6"/>
      <c r="G635" s="7">
        <v>0</v>
      </c>
      <c r="H635" s="7">
        <v>374239633.87109828</v>
      </c>
      <c r="I635" s="7">
        <v>0</v>
      </c>
      <c r="J635" s="7">
        <v>0</v>
      </c>
      <c r="K635" s="6">
        <f t="shared" ca="1" si="185"/>
        <v>0</v>
      </c>
      <c r="L635" s="7">
        <f t="shared" ca="1" si="186"/>
        <v>374239633.87109828</v>
      </c>
      <c r="N635" s="6" t="s">
        <v>265</v>
      </c>
      <c r="O635" s="6"/>
      <c r="P635" s="6"/>
      <c r="Q635" s="7"/>
      <c r="R635" s="7"/>
      <c r="S635" s="7"/>
      <c r="T635" s="7"/>
      <c r="U635" s="7"/>
      <c r="W635" s="7"/>
      <c r="Z635" s="22"/>
      <c r="AA635" s="22"/>
      <c r="AB635" s="14"/>
      <c r="AC635" s="14"/>
      <c r="AD635" s="14"/>
      <c r="AE635" s="16"/>
    </row>
    <row r="636" spans="1:38" outlineLevel="1">
      <c r="A636" s="47" t="s">
        <v>389</v>
      </c>
      <c r="B636" s="6" t="s">
        <v>391</v>
      </c>
      <c r="C636" s="5">
        <v>412420855.50079757</v>
      </c>
      <c r="D636" s="6">
        <f t="shared" ca="1" si="184"/>
        <v>412420855.50079757</v>
      </c>
      <c r="E636" s="6">
        <v>412420855.50079757</v>
      </c>
      <c r="F636" s="6"/>
      <c r="G636" s="7">
        <v>0</v>
      </c>
      <c r="H636" s="7">
        <v>0</v>
      </c>
      <c r="I636" s="7">
        <v>0</v>
      </c>
      <c r="J636" s="7">
        <v>0</v>
      </c>
      <c r="K636" s="6">
        <f t="shared" ca="1" si="185"/>
        <v>0</v>
      </c>
      <c r="L636" s="7">
        <f t="shared" ca="1" si="186"/>
        <v>412420855.50079757</v>
      </c>
      <c r="N636" s="6" t="s">
        <v>392</v>
      </c>
      <c r="O636" s="6"/>
      <c r="P636" s="6"/>
      <c r="Q636" s="7"/>
      <c r="R636" s="7"/>
      <c r="S636" s="7"/>
      <c r="T636" s="7"/>
      <c r="U636" s="7"/>
      <c r="W636" s="7"/>
      <c r="Z636" s="22"/>
      <c r="AA636" s="22"/>
      <c r="AB636" s="14"/>
      <c r="AC636" s="14"/>
      <c r="AD636" s="14"/>
      <c r="AE636" s="16"/>
    </row>
    <row r="637" spans="1:38" outlineLevel="1">
      <c r="A637" s="30">
        <v>489</v>
      </c>
      <c r="B637" s="6" t="s">
        <v>393</v>
      </c>
      <c r="C637" s="5">
        <v>16072719.125268601</v>
      </c>
      <c r="D637" s="6">
        <f ca="1">E637+F637</f>
        <v>16072719.125268601</v>
      </c>
      <c r="E637" s="6">
        <v>16072719.125268601</v>
      </c>
      <c r="F637" s="6"/>
      <c r="G637" s="6"/>
      <c r="H637" s="7">
        <v>0</v>
      </c>
      <c r="I637" s="7"/>
      <c r="J637" s="7"/>
      <c r="K637" s="6">
        <f t="shared" ca="1" si="185"/>
        <v>0</v>
      </c>
      <c r="L637" s="7">
        <f t="shared" ca="1" si="186"/>
        <v>16072719.125268601</v>
      </c>
      <c r="N637" s="6" t="s">
        <v>394</v>
      </c>
      <c r="O637" s="6"/>
      <c r="P637" s="6"/>
      <c r="Q637" s="7"/>
      <c r="R637" s="7"/>
      <c r="S637" s="7"/>
      <c r="T637" s="7"/>
      <c r="U637" s="7"/>
      <c r="W637" s="7"/>
      <c r="Z637" s="22"/>
      <c r="AA637" s="22"/>
      <c r="AB637" s="14"/>
      <c r="AC637" s="14"/>
      <c r="AD637" s="14"/>
      <c r="AE637" s="16"/>
    </row>
    <row r="638" spans="1:38" outlineLevel="1">
      <c r="A638" s="30"/>
      <c r="B638" s="6" t="s">
        <v>395</v>
      </c>
      <c r="C638" s="5">
        <v>7009594.2300000004</v>
      </c>
      <c r="D638" s="6">
        <f t="shared" ca="1" si="184"/>
        <v>7009594.2300000004</v>
      </c>
      <c r="E638" s="7">
        <v>7009594.2300000004</v>
      </c>
      <c r="F638" s="7"/>
      <c r="G638" s="7"/>
      <c r="H638" s="7"/>
      <c r="I638" s="7">
        <v>0</v>
      </c>
      <c r="J638" s="7"/>
      <c r="K638" s="6">
        <f t="shared" ca="1" si="185"/>
        <v>0</v>
      </c>
      <c r="L638" s="7">
        <f t="shared" ca="1" si="186"/>
        <v>7009594.2300000004</v>
      </c>
      <c r="N638" s="6" t="s">
        <v>263</v>
      </c>
      <c r="O638" s="6"/>
      <c r="P638" s="6"/>
      <c r="Q638" s="7"/>
      <c r="R638" s="7"/>
      <c r="S638" s="7"/>
      <c r="T638" s="7"/>
      <c r="U638" s="7"/>
      <c r="W638" s="7"/>
      <c r="Z638" s="22"/>
      <c r="AA638" s="22"/>
      <c r="AB638" s="14"/>
      <c r="AC638" s="14"/>
      <c r="AD638" s="14"/>
      <c r="AE638" s="16"/>
    </row>
    <row r="639" spans="1:38" outlineLevel="1">
      <c r="A639" s="30"/>
      <c r="B639" s="6" t="s">
        <v>396</v>
      </c>
      <c r="C639" s="5">
        <v>6041548.46</v>
      </c>
      <c r="D639" s="6">
        <f t="shared" ca="1" si="184"/>
        <v>6041548.46</v>
      </c>
      <c r="E639" s="6">
        <v>6041548.46</v>
      </c>
      <c r="F639" s="6"/>
      <c r="G639" s="6"/>
      <c r="H639" s="7">
        <v>0</v>
      </c>
      <c r="I639" s="7">
        <v>0</v>
      </c>
      <c r="J639" s="7"/>
      <c r="K639" s="6">
        <f t="shared" ca="1" si="185"/>
        <v>0</v>
      </c>
      <c r="L639" s="7">
        <f t="shared" ca="1" si="186"/>
        <v>6041548.46</v>
      </c>
      <c r="N639" s="7" t="s">
        <v>76</v>
      </c>
      <c r="O639" s="6"/>
      <c r="P639" s="6"/>
      <c r="Q639" s="7"/>
      <c r="R639" s="7"/>
      <c r="S639" s="7"/>
      <c r="T639" s="7"/>
      <c r="U639" s="7"/>
      <c r="W639" s="7"/>
      <c r="Z639" s="22"/>
      <c r="AA639" s="22"/>
      <c r="AB639" s="14"/>
      <c r="AC639" s="14"/>
      <c r="AD639" s="14"/>
      <c r="AE639" s="16"/>
    </row>
    <row r="640" spans="1:38" hidden="1" outlineLevel="1">
      <c r="A640" s="30"/>
      <c r="B640" s="6"/>
      <c r="C640" s="5">
        <v>0</v>
      </c>
      <c r="D640" s="6">
        <f t="shared" ca="1" si="184"/>
        <v>0</v>
      </c>
      <c r="E640" s="6"/>
      <c r="F640" s="6"/>
      <c r="G640" s="6"/>
      <c r="H640" s="7"/>
      <c r="I640" s="7"/>
      <c r="J640" s="7"/>
      <c r="K640" s="6"/>
      <c r="L640" s="7"/>
      <c r="N640" s="7"/>
      <c r="O640" s="6"/>
      <c r="P640" s="6"/>
      <c r="Q640" s="7"/>
      <c r="R640" s="7"/>
      <c r="S640" s="7"/>
      <c r="T640" s="7"/>
      <c r="U640" s="7"/>
      <c r="W640" s="7"/>
      <c r="Z640" s="22"/>
      <c r="AA640" s="22"/>
      <c r="AB640" s="14"/>
      <c r="AC640" s="14"/>
      <c r="AD640" s="14"/>
      <c r="AE640" s="16"/>
    </row>
    <row r="641" spans="1:31" hidden="1" outlineLevel="1">
      <c r="A641" s="30"/>
      <c r="B641" s="6"/>
      <c r="C641" s="5"/>
      <c r="D641" s="6"/>
      <c r="E641" s="6"/>
      <c r="F641" s="6"/>
      <c r="G641" s="6"/>
      <c r="H641" s="7"/>
      <c r="I641" s="7"/>
      <c r="J641" s="7"/>
      <c r="K641" s="6"/>
      <c r="L641" s="7"/>
      <c r="N641" s="7"/>
      <c r="O641" s="6"/>
      <c r="P641" s="6"/>
      <c r="Q641" s="7"/>
      <c r="R641" s="7"/>
      <c r="S641" s="7"/>
      <c r="T641" s="7"/>
      <c r="U641" s="7"/>
      <c r="W641" s="7"/>
      <c r="Z641" s="22"/>
      <c r="AA641" s="22"/>
      <c r="AB641" s="14"/>
      <c r="AC641" s="14"/>
      <c r="AD641" s="14"/>
      <c r="AE641" s="16"/>
    </row>
    <row r="642" spans="1:31" hidden="1" outlineLevel="1">
      <c r="A642" s="30"/>
      <c r="B642" s="6"/>
      <c r="C642" s="5"/>
      <c r="D642" s="6"/>
      <c r="E642" s="6"/>
      <c r="F642" s="6"/>
      <c r="G642" s="6"/>
      <c r="H642" s="7"/>
      <c r="I642" s="7"/>
      <c r="J642" s="7"/>
      <c r="K642" s="6"/>
      <c r="L642" s="7"/>
      <c r="N642" s="7"/>
      <c r="O642" s="6"/>
      <c r="P642" s="6"/>
      <c r="Q642" s="7"/>
      <c r="R642" s="7"/>
      <c r="S642" s="7"/>
      <c r="T642" s="7"/>
      <c r="U642" s="7"/>
      <c r="W642" s="7"/>
      <c r="Z642" s="22"/>
      <c r="AA642" s="22"/>
      <c r="AB642" s="14"/>
      <c r="AC642" s="14"/>
      <c r="AD642" s="14"/>
      <c r="AE642" s="16"/>
    </row>
    <row r="643" spans="1:31" hidden="1" outlineLevel="1">
      <c r="A643" s="30"/>
      <c r="B643" s="6"/>
      <c r="C643" s="5"/>
      <c r="D643" s="6"/>
      <c r="E643" s="6"/>
      <c r="F643" s="6"/>
      <c r="G643" s="6"/>
      <c r="H643" s="7"/>
      <c r="I643" s="7"/>
      <c r="J643" s="7"/>
      <c r="K643" s="6"/>
      <c r="L643" s="7"/>
      <c r="N643" s="7"/>
      <c r="O643" s="6"/>
      <c r="P643" s="6"/>
      <c r="Q643" s="7"/>
      <c r="R643" s="7"/>
      <c r="S643" s="7"/>
      <c r="T643" s="7"/>
      <c r="U643" s="7"/>
      <c r="W643" s="7"/>
      <c r="Z643" s="22"/>
      <c r="AA643" s="22"/>
      <c r="AB643" s="14"/>
      <c r="AC643" s="14"/>
      <c r="AD643" s="14"/>
      <c r="AE643" s="16"/>
    </row>
    <row r="644" spans="1:31" outlineLevel="1">
      <c r="A644" s="30">
        <v>489.4</v>
      </c>
      <c r="B644" s="6" t="s">
        <v>397</v>
      </c>
      <c r="C644" s="5">
        <v>0</v>
      </c>
      <c r="D644" s="6">
        <f t="shared" ca="1" si="184"/>
        <v>0</v>
      </c>
      <c r="E644" s="6"/>
      <c r="F644" s="6"/>
      <c r="G644" s="6"/>
      <c r="H644" s="7"/>
      <c r="I644" s="7"/>
      <c r="J644" s="7"/>
      <c r="K644" s="6">
        <f t="shared" ca="1" si="185"/>
        <v>0</v>
      </c>
      <c r="L644" s="7">
        <f t="shared" ca="1" si="186"/>
        <v>0</v>
      </c>
      <c r="N644" s="6" t="s">
        <v>263</v>
      </c>
      <c r="O644" s="6"/>
      <c r="P644" s="6"/>
      <c r="Q644" s="7"/>
      <c r="R644" s="7"/>
      <c r="S644" s="7"/>
      <c r="T644" s="7"/>
      <c r="U644" s="7"/>
      <c r="W644" s="7"/>
      <c r="Z644" s="22"/>
      <c r="AA644" s="22"/>
      <c r="AB644" s="14"/>
      <c r="AC644" s="14"/>
      <c r="AD644" s="14"/>
      <c r="AE644" s="16"/>
    </row>
    <row r="645" spans="1:31" outlineLevel="1">
      <c r="A645" s="30" t="s">
        <v>32</v>
      </c>
      <c r="B645" s="6" t="s">
        <v>32</v>
      </c>
      <c r="C645" s="5">
        <v>0</v>
      </c>
      <c r="D645" s="6">
        <f t="shared" ca="1" si="184"/>
        <v>0</v>
      </c>
      <c r="E645" s="7"/>
      <c r="F645" s="7"/>
      <c r="G645" s="7"/>
      <c r="H645" s="7"/>
      <c r="I645" s="7"/>
      <c r="J645" s="7"/>
      <c r="K645" s="6">
        <f t="shared" ca="1" si="185"/>
        <v>0</v>
      </c>
      <c r="L645" s="7">
        <f t="shared" ca="1" si="186"/>
        <v>0</v>
      </c>
      <c r="N645" s="6"/>
      <c r="O645" s="6"/>
      <c r="P645" s="6"/>
      <c r="Q645" s="7"/>
      <c r="R645" s="7"/>
      <c r="S645" s="7"/>
      <c r="T645" s="7"/>
      <c r="U645" s="7"/>
      <c r="W645" s="7"/>
      <c r="Z645" s="22"/>
      <c r="AA645" s="22"/>
      <c r="AB645" s="14"/>
      <c r="AC645" s="14"/>
      <c r="AD645" s="14"/>
      <c r="AE645" s="16"/>
    </row>
    <row r="646" spans="1:31" outlineLevel="1">
      <c r="A646" s="30" t="s">
        <v>32</v>
      </c>
      <c r="B646" s="6" t="s">
        <v>32</v>
      </c>
      <c r="C646" s="5">
        <v>0</v>
      </c>
      <c r="D646" s="6">
        <f t="shared" ca="1" si="184"/>
        <v>0</v>
      </c>
      <c r="E646" s="6"/>
      <c r="F646" s="6"/>
      <c r="G646" s="7"/>
      <c r="H646" s="7"/>
      <c r="I646" s="7"/>
      <c r="J646" s="7"/>
      <c r="K646" s="6">
        <f t="shared" ca="1" si="185"/>
        <v>0</v>
      </c>
      <c r="L646" s="7">
        <f t="shared" ca="1" si="186"/>
        <v>0</v>
      </c>
      <c r="N646" s="6"/>
      <c r="O646" s="6"/>
      <c r="P646" s="6"/>
      <c r="Q646" s="7"/>
      <c r="R646" s="7"/>
      <c r="S646" s="7"/>
      <c r="T646" s="7"/>
      <c r="U646" s="7"/>
      <c r="W646" s="7"/>
      <c r="Z646" s="22"/>
      <c r="AA646" s="22"/>
      <c r="AB646" s="14"/>
      <c r="AC646" s="14"/>
      <c r="AD646" s="14"/>
      <c r="AE646" s="16"/>
    </row>
    <row r="647" spans="1:31">
      <c r="B647" s="12" t="s">
        <v>398</v>
      </c>
      <c r="C647" s="12">
        <f t="shared" ref="C647:K647" ca="1" si="187">SUM(C634:C646)</f>
        <v>441544717.31606615</v>
      </c>
      <c r="D647" s="12">
        <f ca="1">SUM(D634:D646)</f>
        <v>441544717.31606615</v>
      </c>
      <c r="E647" s="12">
        <f ca="1">SUM(E634:E646)</f>
        <v>441544717.31606615</v>
      </c>
      <c r="F647" s="12">
        <f t="shared" ca="1" si="187"/>
        <v>0</v>
      </c>
      <c r="G647" s="12">
        <f t="shared" ca="1" si="187"/>
        <v>0</v>
      </c>
      <c r="H647" s="12">
        <f t="shared" ca="1" si="187"/>
        <v>374239633.87109828</v>
      </c>
      <c r="I647" s="12">
        <f t="shared" ca="1" si="187"/>
        <v>0</v>
      </c>
      <c r="J647" s="12">
        <f t="shared" ca="1" si="187"/>
        <v>0</v>
      </c>
      <c r="K647" s="12">
        <f t="shared" ca="1" si="187"/>
        <v>0</v>
      </c>
      <c r="L647" s="12">
        <f ca="1">SUM(L634:L646)</f>
        <v>815784351.18716443</v>
      </c>
      <c r="AB647" s="18"/>
      <c r="AC647" s="18"/>
      <c r="AD647" s="18"/>
      <c r="AE647" s="18"/>
    </row>
    <row r="648" spans="1:31">
      <c r="E648" s="9"/>
    </row>
    <row r="649" spans="1:31">
      <c r="E649" s="9"/>
      <c r="H649" s="9"/>
      <c r="I649" s="9"/>
      <c r="L649" s="15"/>
    </row>
    <row r="650" spans="1:31">
      <c r="E650" s="9"/>
      <c r="H650" s="9"/>
      <c r="L650" s="9"/>
    </row>
    <row r="651" spans="1:31">
      <c r="E651" s="9"/>
      <c r="H651" s="34">
        <f ca="1">H631*(H635/H255)</f>
        <v>374239633.45029587</v>
      </c>
      <c r="L651" s="9"/>
    </row>
    <row r="652" spans="1:31">
      <c r="H652" s="34">
        <f ca="1">H651-H635</f>
        <v>-0.42080241441726685</v>
      </c>
    </row>
    <row r="653" spans="1:31">
      <c r="H653" s="34">
        <f ca="1">H631+H545+H385+H339</f>
        <v>374239633.58633184</v>
      </c>
    </row>
    <row r="654" spans="1:31">
      <c r="H654" s="34">
        <f ca="1">H653-H635</f>
        <v>-0.28476643562316895</v>
      </c>
    </row>
    <row r="721" spans="2:8">
      <c r="B721" s="18"/>
      <c r="C721" s="18"/>
      <c r="D721" s="18"/>
      <c r="G721" s="46"/>
      <c r="H721" s="46"/>
    </row>
    <row r="722" spans="2:8">
      <c r="G722" s="18"/>
    </row>
    <row r="723" spans="2:8">
      <c r="G723" s="18"/>
    </row>
    <row r="724" spans="2:8">
      <c r="G724" s="18"/>
    </row>
    <row r="725" spans="2:8">
      <c r="G725" s="18"/>
    </row>
    <row r="726" spans="2:8">
      <c r="G726" s="18"/>
    </row>
    <row r="727" spans="2:8">
      <c r="G727" s="18"/>
    </row>
    <row r="728" spans="2:8">
      <c r="G728" s="18"/>
    </row>
    <row r="729" spans="2:8">
      <c r="G729" s="18"/>
    </row>
    <row r="730" spans="2:8">
      <c r="G730" s="18"/>
    </row>
  </sheetData>
  <printOptions horizontalCentered="1"/>
  <pageMargins left="0.25" right="0.25" top="1.25" bottom="0.5" header="0.75" footer="0.5"/>
  <pageSetup scale="55" firstPageNumber="66" orientation="landscape" blackAndWhite="1" horizontalDpi="4294967295" r:id="rId1"/>
  <headerFooter alignWithMargins="0">
    <oddHeader>&amp;C&amp;"Arial,Bold"&amp;12Puget Sound Energy
2017 Gas Cost of Service Study
Account Inputs</oddHeader>
  </headerFooter>
  <rowBreaks count="14" manualBreakCount="14">
    <brk id="58" min="2" max="22" man="1"/>
    <brk id="107" max="20" man="1"/>
    <brk id="164" min="2" max="22" man="1"/>
    <brk id="214" max="20" man="1"/>
    <brk id="227" max="20" man="1"/>
    <brk id="279" max="16383" man="1"/>
    <brk id="303" max="20" man="1"/>
    <brk id="346" max="16383" man="1"/>
    <brk id="394" min="2" max="22" man="1"/>
    <brk id="448" min="2" max="22" man="1"/>
    <brk id="513" max="16383" man="1"/>
    <brk id="558" max="20" man="1"/>
    <brk id="596" max="16383" man="1"/>
    <brk id="631" max="16383" man="1"/>
  </rowBreaks>
  <colBreaks count="1" manualBreakCount="1">
    <brk id="12" min="3" max="633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76E4554-C910-4CF3-B98E-D3C8C52C7D4D}"/>
</file>

<file path=customXml/itemProps2.xml><?xml version="1.0" encoding="utf-8"?>
<ds:datastoreItem xmlns:ds="http://schemas.openxmlformats.org/officeDocument/2006/customXml" ds:itemID="{895EF7B0-D275-46ED-B3FE-C65692E21070}"/>
</file>

<file path=customXml/itemProps3.xml><?xml version="1.0" encoding="utf-8"?>
<ds:datastoreItem xmlns:ds="http://schemas.openxmlformats.org/officeDocument/2006/customXml" ds:itemID="{00C8CDDB-5A16-4036-B308-784B86DB226C}"/>
</file>

<file path=customXml/itemProps4.xml><?xml version="1.0" encoding="utf-8"?>
<ds:datastoreItem xmlns:ds="http://schemas.openxmlformats.org/officeDocument/2006/customXml" ds:itemID="{D9EB9603-E35A-451F-A52A-756B0B76A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JAP-11</vt:lpstr>
      <vt:lpstr>JP_Bal</vt:lpstr>
      <vt:lpstr>Load_Factor</vt:lpstr>
      <vt:lpstr>'JAP-11'!Print_Area</vt:lpstr>
      <vt:lpstr>'JAP-11'!Print_Titles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2017-01-04T17:52:17Z</cp:lastPrinted>
  <dcterms:created xsi:type="dcterms:W3CDTF">2016-12-27T17:34:25Z</dcterms:created>
  <dcterms:modified xsi:type="dcterms:W3CDTF">2017-01-06T01:40:30Z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