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Decoupling Mechanism\Washington\3 Year Decoupling Evaluation\COS Analysis\Pricing\"/>
    </mc:Choice>
  </mc:AlternateContent>
  <xr:revisionPtr revIDLastSave="0" documentId="13_ncr:1_{7B93EE18-4008-414F-ACE2-8801B7AC0AC6}" xr6:coauthVersionLast="45" xr6:coauthVersionMax="45" xr10:uidLastSave="{00000000-0000-0000-0000-000000000000}"/>
  <bookViews>
    <workbookView xWindow="-108" yWindow="-108" windowWidth="23256" windowHeight="12720" tabRatio="684" activeTab="4" xr2:uid="{00000000-000D-0000-FFFF-FFFF00000000}"/>
  </bookViews>
  <sheets>
    <sheet name="Comparison" sheetId="12751" r:id="rId1"/>
    <sheet name="Table 1-Revenues" sheetId="12733" r:id="rId2"/>
    <sheet name="Table 1 - kWh" sheetId="12732" r:id="rId3"/>
    <sheet name="Table 2" sheetId="12711" r:id="rId4"/>
    <sheet name="Table 3" sheetId="12709" r:id="rId5"/>
    <sheet name="305 Inputs" sheetId="12780" r:id="rId6"/>
    <sheet name="305 Lookup" sheetId="12781" r:id="rId7"/>
    <sheet name="Jan - Mar Monthly 305 Revenue" sheetId="12764" state="hidden" r:id="rId8"/>
    <sheet name="WA SBC" sheetId="12767" r:id="rId9"/>
    <sheet name="WA Decoupling" sheetId="12782" r:id="rId10"/>
    <sheet name="SBC (Old)" sheetId="12761" state="hidden" r:id="rId11"/>
    <sheet name="Hydro Deferral" sheetId="12763" state="hidden" r:id="rId12"/>
    <sheet name="WA PCAM" sheetId="12783" r:id="rId13"/>
    <sheet name="WA FTAA" sheetId="12786" r:id="rId14"/>
    <sheet name="WA FTAA detail" sheetId="12787" r:id="rId15"/>
    <sheet name="Temperature" sheetId="12750" r:id="rId16"/>
    <sheet name="TempAdjustmnts" sheetId="12769" r:id="rId17"/>
    <sheet name="Backed Out Revenue Totals" sheetId="1276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BACK1" localSheetId="11">#REF!</definedName>
    <definedName name="\BACK1" localSheetId="7">#REF!</definedName>
    <definedName name="\BLOCK" localSheetId="11">#REF!</definedName>
    <definedName name="\BLOCK" localSheetId="7">#REF!</definedName>
    <definedName name="\BLOCKT" localSheetId="11">#REF!</definedName>
    <definedName name="\BLOCKT" localSheetId="7">#REF!</definedName>
    <definedName name="\Z" localSheetId="11">#REF!</definedName>
    <definedName name="\Z" localSheetId="7">#REF!</definedName>
    <definedName name="__123Graph_A" localSheetId="5" hidden="1">[1]Inputs!#REF!</definedName>
    <definedName name="__123Graph_A" localSheetId="0" hidden="1">[2]Inputs!#REF!</definedName>
    <definedName name="__123Graph_A" localSheetId="11" hidden="1">[1]Inputs!#REF!</definedName>
    <definedName name="__123Graph_A" localSheetId="7" hidden="1">[1]Inputs!#REF!</definedName>
    <definedName name="__123Graph_A" localSheetId="13" hidden="1">'[3]OR Inputs'!#REF!</definedName>
    <definedName name="__123Graph_A" localSheetId="14" hidden="1">'[4]OR Inputs'!#REF!</definedName>
    <definedName name="__123Graph_A" localSheetId="12" hidden="1">#REF!</definedName>
    <definedName name="__123Graph_A" localSheetId="8" hidden="1">'[3]OR Inputs'!#REF!</definedName>
    <definedName name="__123Graph_A" hidden="1">[1]Inputs!#REF!</definedName>
    <definedName name="__123Graph_B" localSheetId="5" hidden="1">[1]Inputs!#REF!</definedName>
    <definedName name="__123Graph_B" localSheetId="0" hidden="1">[2]Inputs!#REF!</definedName>
    <definedName name="__123Graph_B" localSheetId="11" hidden="1">[1]Inputs!#REF!</definedName>
    <definedName name="__123Graph_B" localSheetId="7" hidden="1">[1]Inputs!#REF!</definedName>
    <definedName name="__123Graph_B" localSheetId="13" hidden="1">'[3]OR Inputs'!#REF!</definedName>
    <definedName name="__123Graph_B" localSheetId="14" hidden="1">'[4]OR Inputs'!#REF!</definedName>
    <definedName name="__123Graph_B" localSheetId="12" hidden="1">#REF!</definedName>
    <definedName name="__123Graph_B" localSheetId="8" hidden="1">'[3]OR Inputs'!#REF!</definedName>
    <definedName name="__123Graph_B" hidden="1">[1]Inputs!#REF!</definedName>
    <definedName name="__123Graph_D" localSheetId="5" hidden="1">[1]Inputs!#REF!</definedName>
    <definedName name="__123Graph_D" localSheetId="0" hidden="1">[2]Inputs!#REF!</definedName>
    <definedName name="__123Graph_D" localSheetId="11" hidden="1">[1]Inputs!#REF!</definedName>
    <definedName name="__123Graph_D" localSheetId="7" hidden="1">[1]Inputs!#REF!</definedName>
    <definedName name="__123Graph_D" localSheetId="13" hidden="1">'[3]OR Inputs'!#REF!</definedName>
    <definedName name="__123Graph_D" localSheetId="14" hidden="1">'[4]OR Inputs'!#REF!</definedName>
    <definedName name="__123Graph_D" localSheetId="12" hidden="1">#REF!</definedName>
    <definedName name="__123Graph_D" localSheetId="8" hidden="1">'[3]OR Inputs'!#REF!</definedName>
    <definedName name="__123Graph_D" hidden="1">[1]Inputs!#REF!</definedName>
    <definedName name="_1Price_Ta" localSheetId="11">#REF!</definedName>
    <definedName name="_1Price_Ta" localSheetId="7">#REF!</definedName>
    <definedName name="_B" localSheetId="11">'[5]Rate Design'!#REF!</definedName>
    <definedName name="_B" localSheetId="7">'[5]Rate Design'!#REF!</definedName>
    <definedName name="_Fill" localSheetId="5" hidden="1">#REF!</definedName>
    <definedName name="_Fill" localSheetId="13" hidden="1">#REF!</definedName>
    <definedName name="_Fill" hidden="1">#REF!</definedName>
    <definedName name="_xlnm._FilterDatabase" localSheetId="5" hidden="1">'305 Inputs'!$B$4:$J$5</definedName>
    <definedName name="_xlnm._FilterDatabase" localSheetId="7" hidden="1">'Jan - Mar Monthly 305 Revenue'!$A$6:$D$110</definedName>
    <definedName name="_xlnm._FilterDatabase" localSheetId="3" hidden="1">'Table 2'!$F$10:$F$11</definedName>
    <definedName name="_xlnm._FilterDatabase" localSheetId="4" hidden="1">'Table 3'!#REF!</definedName>
    <definedName name="_Key1" localSheetId="5" hidden="1">#REF!</definedName>
    <definedName name="_Key1" localSheetId="11" hidden="1">#REF!</definedName>
    <definedName name="_Key1" localSheetId="7" hidden="1">#REF!</definedName>
    <definedName name="_Key1" localSheetId="13" hidden="1">#REF!</definedName>
    <definedName name="_Key1" hidden="1">#REF!</definedName>
    <definedName name="_Key2" localSheetId="5" hidden="1">#REF!</definedName>
    <definedName name="_Key2" localSheetId="11" hidden="1">#REF!</definedName>
    <definedName name="_Key2" localSheetId="7" hidden="1">#REF!</definedName>
    <definedName name="_Key2" localSheetId="13" hidden="1">#REF!</definedName>
    <definedName name="_Key2" hidden="1">#REF!</definedName>
    <definedName name="_Order1" hidden="1">0</definedName>
    <definedName name="_Order2" hidden="1">0</definedName>
    <definedName name="_P" localSheetId="11">#REF!</definedName>
    <definedName name="_P" localSheetId="7">#REF!</definedName>
    <definedName name="_Sort" localSheetId="5" hidden="1">#REF!</definedName>
    <definedName name="_Sort" localSheetId="11" hidden="1">#REF!</definedName>
    <definedName name="_Sort" localSheetId="7" hidden="1">#REF!</definedName>
    <definedName name="_Sort" localSheetId="13" hidden="1">#REF!</definedName>
    <definedName name="_Sort" hidden="1">#REF!</definedName>
    <definedName name="a" localSheetId="13" hidden="1">#REF!</definedName>
    <definedName name="a" localSheetId="14" hidden="1">#REF!</definedName>
    <definedName name="a" localSheetId="12" hidden="1">#REF!</definedName>
    <definedName name="a" localSheetId="8" hidden="1">#REF!</definedName>
    <definedName name="a" hidden="1">'[1]DSM Output'!$J$21:$J$23</definedName>
    <definedName name="APR" localSheetId="11">[6]Backup!#REF!</definedName>
    <definedName name="APR" localSheetId="7">[6]Backup!#REF!</definedName>
    <definedName name="APRT" localSheetId="11">#REF!</definedName>
    <definedName name="APRT" localSheetId="7">#REF!</definedName>
    <definedName name="AUG" localSheetId="11">[6]Backup!#REF!</definedName>
    <definedName name="AUG" localSheetId="7">[6]Backup!#REF!</definedName>
    <definedName name="AUGT" localSheetId="11">#REF!</definedName>
    <definedName name="AUGT" localSheetId="7">#REF!</definedName>
    <definedName name="BACK1" localSheetId="11">#REF!</definedName>
    <definedName name="BACK1" localSheetId="7">#REF!</definedName>
    <definedName name="BACK2" localSheetId="11">#REF!</definedName>
    <definedName name="BACK2" localSheetId="7">#REF!</definedName>
    <definedName name="BACK3" localSheetId="11">#REF!</definedName>
    <definedName name="BACK3" localSheetId="7">#REF!</definedName>
    <definedName name="COMP" localSheetId="11">#REF!</definedName>
    <definedName name="COMP" localSheetId="7">#REF!</definedName>
    <definedName name="COMPT" localSheetId="11">#REF!</definedName>
    <definedName name="COMPT" localSheetId="7">#REF!</definedName>
    <definedName name="_xlnm.Database" localSheetId="11">[7]Invoice!#REF!</definedName>
    <definedName name="_xlnm.Database" localSheetId="7">[7]Invoice!#REF!</definedName>
    <definedName name="DEC" localSheetId="11">[6]Backup!#REF!</definedName>
    <definedName name="DEC" localSheetId="7">[6]Backup!#REF!</definedName>
    <definedName name="DECT" localSheetId="11">#REF!</definedName>
    <definedName name="DECT" localSheetId="7">#REF!</definedName>
    <definedName name="DUDE" localSheetId="5" hidden="1">#REF!</definedName>
    <definedName name="DUDE" localSheetId="11" hidden="1">#REF!</definedName>
    <definedName name="DUDE" localSheetId="7" hidden="1">#REF!</definedName>
    <definedName name="DUDE" localSheetId="13" hidden="1">#REF!</definedName>
    <definedName name="DUDE" hidden="1">#REF!</definedName>
    <definedName name="FEB" localSheetId="11">[6]Backup!#REF!</definedName>
    <definedName name="FEB" localSheetId="7">[6]Backup!#REF!</definedName>
    <definedName name="FEBT" localSheetId="11">#REF!</definedName>
    <definedName name="FEBT" localSheetId="7">#REF!</definedName>
    <definedName name="Func_Ftrs" localSheetId="11">#REF!</definedName>
    <definedName name="Func_Ftrs" localSheetId="7">#REF!</definedName>
    <definedName name="Func_GTD_Percents" localSheetId="11">#REF!</definedName>
    <definedName name="Func_GTD_Percents" localSheetId="7">#REF!</definedName>
    <definedName name="Func_MC" localSheetId="11">#REF!</definedName>
    <definedName name="Func_MC" localSheetId="7">#REF!</definedName>
    <definedName name="Func_Percents" localSheetId="11">#REF!</definedName>
    <definedName name="Func_Percents" localSheetId="7">#REF!</definedName>
    <definedName name="Func_Rev_Req1" localSheetId="11">#REF!</definedName>
    <definedName name="Func_Rev_Req1" localSheetId="7">#REF!</definedName>
    <definedName name="Func_Rev_Req2" localSheetId="11">#REF!</definedName>
    <definedName name="Func_Rev_Req2" localSheetId="7">#REF!</definedName>
    <definedName name="Func_Revenue" localSheetId="11">#REF!</definedName>
    <definedName name="Func_Revenue" localSheetId="7">#REF!</definedName>
    <definedName name="GTD_Percents" localSheetId="11">#REF!</definedName>
    <definedName name="GTD_Percents" localSheetId="7">#REF!</definedName>
    <definedName name="HEIGHT" localSheetId="11">#REF!</definedName>
    <definedName name="HEIGHT" localSheetId="7">#REF!</definedName>
    <definedName name="ID_0303_RVN_data" localSheetId="11">#REF!</definedName>
    <definedName name="ID_0303_RVN_data" localSheetId="7">#REF!</definedName>
    <definedName name="IDcontractsRVN" localSheetId="11">#REF!</definedName>
    <definedName name="IDcontractsRVN" localSheetId="7">#REF!</definedName>
    <definedName name="JAN" localSheetId="11">[6]Backup!#REF!</definedName>
    <definedName name="JAN" localSheetId="7">[6]Backup!#REF!</definedName>
    <definedName name="JANT" localSheetId="11">#REF!</definedName>
    <definedName name="JANT" localSheetId="7">#REF!</definedName>
    <definedName name="JUL" localSheetId="11">[6]Backup!#REF!</definedName>
    <definedName name="JUL" localSheetId="7">[6]Backup!#REF!</definedName>
    <definedName name="JULT" localSheetId="11">#REF!</definedName>
    <definedName name="JULT" localSheetId="7">#REF!</definedName>
    <definedName name="JUN" localSheetId="11">[6]Backup!#REF!</definedName>
    <definedName name="JUN" localSheetId="7">[6]Backup!#REF!</definedName>
    <definedName name="JUNT" localSheetId="11">#REF!</definedName>
    <definedName name="JUNT" localSheetId="7">#REF!</definedName>
    <definedName name="LABORMOD" localSheetId="11">#REF!</definedName>
    <definedName name="LABORMOD" localSheetId="7">#REF!</definedName>
    <definedName name="LABORROLL" localSheetId="11">#REF!</definedName>
    <definedName name="LABORROLL" localSheetId="7">#REF!</definedName>
    <definedName name="limcount" hidden="1">1</definedName>
    <definedName name="Line_Ext_Credit" localSheetId="11">#REF!</definedName>
    <definedName name="Line_Ext_Credit" localSheetId="7">#REF!</definedName>
    <definedName name="LOG" localSheetId="11">[6]Backup!#REF!</definedName>
    <definedName name="LOG" localSheetId="7">[6]Backup!#REF!</definedName>
    <definedName name="LOSS" localSheetId="11">[6]Backup!#REF!</definedName>
    <definedName name="LOSS" localSheetId="7">[6]Backup!#REF!</definedName>
    <definedName name="MAR" localSheetId="11">[6]Backup!#REF!</definedName>
    <definedName name="MAR" localSheetId="7">[6]Backup!#REF!</definedName>
    <definedName name="MART" localSheetId="11">#REF!</definedName>
    <definedName name="MART" localSheetId="7">#REF!</definedName>
    <definedName name="MAY" localSheetId="11">[6]Backup!#REF!</definedName>
    <definedName name="MAY" localSheetId="7">[6]Backup!#REF!</definedName>
    <definedName name="MAYT" localSheetId="11">#REF!</definedName>
    <definedName name="MAYT" localSheetId="7">#REF!</definedName>
    <definedName name="MCtoREV" localSheetId="11">#REF!</definedName>
    <definedName name="MCtoREV" localSheetId="7">#REF!</definedName>
    <definedName name="MONTH" localSheetId="11">[6]Backup!#REF!</definedName>
    <definedName name="MONTH" localSheetId="7">[6]Backup!#REF!</definedName>
    <definedName name="MULT" localSheetId="11">#REF!</definedName>
    <definedName name="MULT" localSheetId="7">#REF!</definedName>
    <definedName name="NORMALIZE" localSheetId="11">#REF!</definedName>
    <definedName name="NORMALIZE" localSheetId="7">#REF!</definedName>
    <definedName name="NOV" localSheetId="11">[6]Backup!#REF!</definedName>
    <definedName name="NOV" localSheetId="7">[6]Backup!#REF!</definedName>
    <definedName name="NOVT" localSheetId="11">#REF!</definedName>
    <definedName name="NOVT" localSheetId="7">#REF!</definedName>
    <definedName name="OCT" localSheetId="11">[6]Backup!#REF!</definedName>
    <definedName name="OCT" localSheetId="7">[6]Backup!#REF!</definedName>
    <definedName name="OCTT" localSheetId="11">#REF!</definedName>
    <definedName name="OCTT" localSheetId="7">#REF!</definedName>
    <definedName name="PAGE3" localSheetId="11">#REF!</definedName>
    <definedName name="PAGE3" localSheetId="7">#REF!</definedName>
    <definedName name="PMAC" localSheetId="11">[6]Backup!#REF!</definedName>
    <definedName name="PMAC" localSheetId="7">[6]Backup!#REF!</definedName>
    <definedName name="PRESENT" localSheetId="11">#REF!</definedName>
    <definedName name="PRESENT" localSheetId="7">#REF!</definedName>
    <definedName name="_xlnm.Print_Area" localSheetId="0">Comparison!$A$1:$M$29</definedName>
    <definedName name="_xlnm.Print_Area" localSheetId="2">'Table 1 - kWh'!$A$1:$G$34</definedName>
    <definedName name="_xlnm.Print_Area" localSheetId="1">'Table 1-Revenues'!$A$1:$N$32</definedName>
    <definedName name="_xlnm.Print_Area" localSheetId="3">'Table 2'!$A$1:$O$145</definedName>
    <definedName name="_xlnm.Print_Area" localSheetId="4">'Table 3'!$A$1:$V$143</definedName>
    <definedName name="_xlnm.Print_Area" localSheetId="13">'WA FTAA'!#REF!</definedName>
    <definedName name="_xlnm.Print_Area" localSheetId="14">'WA FTAA detail'!$A$1:$AD$35</definedName>
    <definedName name="_xlnm.Print_Area" localSheetId="12">'WA PCAM'!$A$1:$P$29</definedName>
    <definedName name="_xlnm.Print_Area" localSheetId="8">'WA SBC'!#REF!</definedName>
    <definedName name="_xlnm.Print_Titles" localSheetId="3">'Table 2'!$A:$C,'Table 2'!$9:$11</definedName>
    <definedName name="_xlnm.Print_Titles" localSheetId="4">'Table 3'!$A:$D,'Table 3'!$9:$11</definedName>
    <definedName name="PTDMOD" localSheetId="11">#REF!</definedName>
    <definedName name="PTDMOD" localSheetId="7">#REF!</definedName>
    <definedName name="PTDROLL" localSheetId="11">#REF!</definedName>
    <definedName name="PTDROLL" localSheetId="7">#REF!</definedName>
    <definedName name="PTMOD" localSheetId="11">#REF!</definedName>
    <definedName name="PTMOD" localSheetId="7">#REF!</definedName>
    <definedName name="PTROLL" localSheetId="11">#REF!</definedName>
    <definedName name="PTROLL" localSheetId="7">#REF!</definedName>
    <definedName name="Query1" localSheetId="11">#REF!</definedName>
    <definedName name="Query1" localSheetId="7">#REF!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_by_month_take_2" localSheetId="11">#REF!</definedName>
    <definedName name="Revenue_by_month_take_2" localSheetId="7">#REF!</definedName>
    <definedName name="RevenueCheck" localSheetId="11">#REF!</definedName>
    <definedName name="RevenueCheck" localSheetId="7">#REF!</definedName>
    <definedName name="RISFORM" localSheetId="11">#REF!</definedName>
    <definedName name="RISFORM" localSheetId="7">#REF!</definedName>
    <definedName name="se" localSheetId="11">#REF!</definedName>
    <definedName name="se" localSheetId="7">#REF!</definedName>
    <definedName name="SEP" localSheetId="11">[6]Backup!#REF!</definedName>
    <definedName name="SEP" localSheetId="7">[6]Backup!#REF!</definedName>
    <definedName name="SEPT" localSheetId="11">#REF!</definedName>
    <definedName name="SEPT" localSheetId="7">#REF!</definedName>
    <definedName name="SERVICES_3" localSheetId="11">#REF!</definedName>
    <definedName name="SERVICES_3" localSheetId="7">#REF!</definedName>
    <definedName name="sg" localSheetId="11">#REF!</definedName>
    <definedName name="sg" localSheetId="7">#REF!</definedName>
    <definedName name="TABLE_1" localSheetId="11">#REF!</definedName>
    <definedName name="TABLE_1" localSheetId="7">#REF!</definedName>
    <definedName name="TABLE_2" localSheetId="11">#REF!</definedName>
    <definedName name="TABLE_2" localSheetId="7">#REF!</definedName>
    <definedName name="TABLE_3" localSheetId="11">#REF!</definedName>
    <definedName name="TABLE_3" localSheetId="7">#REF!</definedName>
    <definedName name="TABLE_4" localSheetId="11">#REF!</definedName>
    <definedName name="TABLE_4" localSheetId="7">#REF!</definedName>
    <definedName name="TABLE_4_A" localSheetId="11">#REF!</definedName>
    <definedName name="TABLE_4_A" localSheetId="7">#REF!</definedName>
    <definedName name="TABLE_5" localSheetId="11">#REF!</definedName>
    <definedName name="TABLE_5" localSheetId="7">#REF!</definedName>
    <definedName name="TABLE_6" localSheetId="11">#REF!</definedName>
    <definedName name="TABLE_6" localSheetId="7">#REF!</definedName>
    <definedName name="TABLE_7" localSheetId="11">#REF!</definedName>
    <definedName name="TABLE_7" localSheetId="7">#REF!</definedName>
    <definedName name="TABLEONE" localSheetId="11">#REF!</definedName>
    <definedName name="TABLEONE" localSheetId="7">#REF!</definedName>
    <definedName name="TDMOD" localSheetId="11">#REF!</definedName>
    <definedName name="TDMOD" localSheetId="7">#REF!</definedName>
    <definedName name="TDROLL" localSheetId="11">#REF!</definedName>
    <definedName name="TDROLL" localSheetId="7">#REF!</definedName>
    <definedName name="VAR" localSheetId="11">[6]Backup!#REF!</definedName>
    <definedName name="VAR" localSheetId="7">[6]Backup!#REF!</definedName>
    <definedName name="VOUCHER" localSheetId="11">#REF!</definedName>
    <definedName name="VOUCHER" localSheetId="7">#REF!</definedName>
    <definedName name="WIDTH" localSheetId="11">#REF!</definedName>
    <definedName name="WIDTH" localSheetId="7">#REF!</definedName>
    <definedName name="WORK1" localSheetId="11">#REF!</definedName>
    <definedName name="WORK1" localSheetId="7">#REF!</definedName>
    <definedName name="WORK2" localSheetId="11">#REF!</definedName>
    <definedName name="WORK2" localSheetId="7">#REF!</definedName>
    <definedName name="WORK3" localSheetId="11">#REF!</definedName>
    <definedName name="WORK3" localSheetId="7">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y" localSheetId="0" hidden="1">#REF!</definedName>
    <definedName name="y" localSheetId="13" hidden="1">#REF!</definedName>
    <definedName name="y" localSheetId="14" hidden="1">#REF!</definedName>
    <definedName name="y" localSheetId="12" hidden="1">#REF!</definedName>
    <definedName name="y" localSheetId="8" hidden="1">#REF!</definedName>
    <definedName name="y" hidden="1">'[1]DSM Output'!$B$21:$B$23</definedName>
    <definedName name="Year" localSheetId="11">#REF!</definedName>
    <definedName name="Year" localSheetId="7">#REF!</definedName>
    <definedName name="z" localSheetId="0" hidden="1">#REF!</definedName>
    <definedName name="z" localSheetId="13" hidden="1">#REF!</definedName>
    <definedName name="z" localSheetId="14" hidden="1">#REF!</definedName>
    <definedName name="z" localSheetId="12" hidden="1">#REF!</definedName>
    <definedName name="z" localSheetId="8" hidden="1">#REF!</definedName>
    <definedName name="z" hidden="1">'[1]DSM Output'!$G$21:$G$23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4" i="12709" l="1"/>
  <c r="J114" i="12709"/>
  <c r="K93" i="12709"/>
  <c r="J93" i="12709"/>
  <c r="J121" i="12709" l="1"/>
  <c r="J122" i="12709"/>
  <c r="J123" i="12709"/>
  <c r="J124" i="12709"/>
  <c r="J125" i="12709"/>
  <c r="J120" i="12709"/>
  <c r="F136" i="12709"/>
  <c r="F134" i="12709"/>
  <c r="F126" i="12709"/>
  <c r="F121" i="12709"/>
  <c r="F122" i="12709"/>
  <c r="F123" i="12709"/>
  <c r="F124" i="12709"/>
  <c r="F125" i="12709"/>
  <c r="F120" i="12709"/>
  <c r="J100" i="12709"/>
  <c r="J99" i="12709"/>
  <c r="F116" i="12709"/>
  <c r="F114" i="12709"/>
  <c r="F101" i="12709"/>
  <c r="F100" i="12709"/>
  <c r="F99" i="12709"/>
  <c r="J81" i="12709"/>
  <c r="J78" i="12709"/>
  <c r="J77" i="12709"/>
  <c r="J76" i="12709"/>
  <c r="J73" i="12709"/>
  <c r="J70" i="12709"/>
  <c r="J69" i="12709"/>
  <c r="J68" i="12709"/>
  <c r="F93" i="12709"/>
  <c r="F95" i="12709"/>
  <c r="G95" i="12709"/>
  <c r="F82" i="12709"/>
  <c r="F79" i="12709"/>
  <c r="F74" i="12709"/>
  <c r="F71" i="12709"/>
  <c r="F81" i="12709"/>
  <c r="F78" i="12709"/>
  <c r="F77" i="12709"/>
  <c r="F76" i="12709"/>
  <c r="F73" i="12709"/>
  <c r="F69" i="12709"/>
  <c r="F70" i="12709"/>
  <c r="F68" i="12709"/>
  <c r="K39" i="12709"/>
  <c r="J63" i="12709"/>
  <c r="J56" i="12709"/>
  <c r="J51" i="12709"/>
  <c r="J50" i="12709"/>
  <c r="J47" i="12709"/>
  <c r="J44" i="12709"/>
  <c r="J42" i="12709"/>
  <c r="J41" i="12709"/>
  <c r="J40" i="12709"/>
  <c r="J39" i="12709"/>
  <c r="F65" i="12709"/>
  <c r="F63" i="12709"/>
  <c r="F52" i="12709"/>
  <c r="F48" i="12709"/>
  <c r="F45" i="12709"/>
  <c r="F42" i="12709"/>
  <c r="F51" i="12709"/>
  <c r="F50" i="12709"/>
  <c r="F47" i="12709"/>
  <c r="F44" i="12709"/>
  <c r="F41" i="12709"/>
  <c r="F40" i="12709"/>
  <c r="F39" i="12709"/>
  <c r="J34" i="12709"/>
  <c r="J22" i="12709"/>
  <c r="J14" i="12709"/>
  <c r="J15" i="12709"/>
  <c r="J16" i="12709"/>
  <c r="J17" i="12709"/>
  <c r="J18" i="12709"/>
  <c r="J19" i="12709"/>
  <c r="J13" i="12709"/>
  <c r="F36" i="12709"/>
  <c r="F34" i="12709"/>
  <c r="F23" i="12709"/>
  <c r="F22" i="12709"/>
  <c r="F20" i="12709"/>
  <c r="F14" i="12709"/>
  <c r="F15" i="12709"/>
  <c r="F16" i="12709"/>
  <c r="F17" i="12709"/>
  <c r="F18" i="12709"/>
  <c r="F13" i="12709"/>
  <c r="S8" i="12787" l="1"/>
  <c r="D8" i="12786" s="1"/>
  <c r="T8" i="12787"/>
  <c r="U8" i="12787"/>
  <c r="F8" i="12786" s="1"/>
  <c r="V8" i="12787"/>
  <c r="G8" i="12786" s="1"/>
  <c r="W8" i="12787"/>
  <c r="H8" i="12786" s="1"/>
  <c r="X8" i="12787"/>
  <c r="I8" i="12786" s="1"/>
  <c r="Y8" i="12787"/>
  <c r="J8" i="12786" s="1"/>
  <c r="Z8" i="12787"/>
  <c r="K8" i="12786" s="1"/>
  <c r="AA8" i="12787"/>
  <c r="L8" i="12786" s="1"/>
  <c r="AB8" i="12787"/>
  <c r="AC8" i="12787"/>
  <c r="N8" i="12786" s="1"/>
  <c r="R8" i="12787"/>
  <c r="C8" i="12786" s="1"/>
  <c r="E8" i="12786"/>
  <c r="M8" i="12786"/>
  <c r="AC12" i="12787"/>
  <c r="W33" i="12787" l="1"/>
  <c r="V33" i="12787"/>
  <c r="U33" i="12787"/>
  <c r="T33" i="12787"/>
  <c r="S33" i="12787"/>
  <c r="R33" i="12787"/>
  <c r="W32" i="12787"/>
  <c r="V32" i="12787"/>
  <c r="U32" i="12787"/>
  <c r="T32" i="12787"/>
  <c r="S32" i="12787"/>
  <c r="R32" i="12787"/>
  <c r="W31" i="12787"/>
  <c r="V31" i="12787"/>
  <c r="U31" i="12787"/>
  <c r="T31" i="12787"/>
  <c r="S31" i="12787"/>
  <c r="R31" i="12787"/>
  <c r="W30" i="12787"/>
  <c r="V30" i="12787"/>
  <c r="U30" i="12787"/>
  <c r="T30" i="12787"/>
  <c r="S30" i="12787"/>
  <c r="R30" i="12787"/>
  <c r="W29" i="12787"/>
  <c r="V29" i="12787"/>
  <c r="U29" i="12787"/>
  <c r="T29" i="12787"/>
  <c r="S29" i="12787"/>
  <c r="R29" i="12787"/>
  <c r="W28" i="12787"/>
  <c r="V28" i="12787"/>
  <c r="U28" i="12787"/>
  <c r="T28" i="12787"/>
  <c r="S28" i="12787"/>
  <c r="R28" i="12787"/>
  <c r="W27" i="12787"/>
  <c r="V27" i="12787"/>
  <c r="U27" i="12787"/>
  <c r="T27" i="12787"/>
  <c r="S27" i="12787"/>
  <c r="R27" i="12787"/>
  <c r="W26" i="12787"/>
  <c r="V26" i="12787"/>
  <c r="U26" i="12787"/>
  <c r="T26" i="12787"/>
  <c r="S26" i="12787"/>
  <c r="R26" i="12787"/>
  <c r="W25" i="12787"/>
  <c r="V25" i="12787"/>
  <c r="U25" i="12787"/>
  <c r="T25" i="12787"/>
  <c r="S25" i="12787"/>
  <c r="R25" i="12787"/>
  <c r="W24" i="12787"/>
  <c r="V24" i="12787"/>
  <c r="U24" i="12787"/>
  <c r="T24" i="12787"/>
  <c r="S24" i="12787"/>
  <c r="R24" i="12787"/>
  <c r="W23" i="12787"/>
  <c r="V23" i="12787"/>
  <c r="U23" i="12787"/>
  <c r="T23" i="12787"/>
  <c r="S23" i="12787"/>
  <c r="R23" i="12787"/>
  <c r="W22" i="12787"/>
  <c r="V22" i="12787"/>
  <c r="U22" i="12787"/>
  <c r="T22" i="12787"/>
  <c r="S22" i="12787"/>
  <c r="R22" i="12787"/>
  <c r="W20" i="12787"/>
  <c r="V20" i="12787"/>
  <c r="U20" i="12787"/>
  <c r="T20" i="12787"/>
  <c r="S20" i="12787"/>
  <c r="R20" i="12787"/>
  <c r="W19" i="12787"/>
  <c r="V19" i="12787"/>
  <c r="U19" i="12787"/>
  <c r="T19" i="12787"/>
  <c r="S19" i="12787"/>
  <c r="R19" i="12787"/>
  <c r="W18" i="12787"/>
  <c r="V18" i="12787"/>
  <c r="U18" i="12787"/>
  <c r="T18" i="12787"/>
  <c r="S18" i="12787"/>
  <c r="R18" i="12787"/>
  <c r="W17" i="12787"/>
  <c r="V17" i="12787"/>
  <c r="U17" i="12787"/>
  <c r="T17" i="12787"/>
  <c r="S17" i="12787"/>
  <c r="R17" i="12787"/>
  <c r="W16" i="12787"/>
  <c r="V16" i="12787"/>
  <c r="U16" i="12787"/>
  <c r="T16" i="12787"/>
  <c r="S16" i="12787"/>
  <c r="R16" i="12787"/>
  <c r="W15" i="12787"/>
  <c r="V15" i="12787"/>
  <c r="U15" i="12787"/>
  <c r="T15" i="12787"/>
  <c r="S15" i="12787"/>
  <c r="R15" i="12787"/>
  <c r="W14" i="12787"/>
  <c r="V14" i="12787"/>
  <c r="U14" i="12787"/>
  <c r="T14" i="12787"/>
  <c r="S14" i="12787"/>
  <c r="R14" i="12787"/>
  <c r="W13" i="12787"/>
  <c r="V13" i="12787"/>
  <c r="U13" i="12787"/>
  <c r="T13" i="12787"/>
  <c r="S13" i="12787"/>
  <c r="R13" i="12787"/>
  <c r="W12" i="12787"/>
  <c r="V12" i="12787"/>
  <c r="U12" i="12787"/>
  <c r="T12" i="12787"/>
  <c r="S12" i="12787"/>
  <c r="R12" i="12787"/>
  <c r="P15" i="12783"/>
  <c r="H41" i="12782"/>
  <c r="G41" i="12782"/>
  <c r="F41" i="12782"/>
  <c r="E41" i="12782"/>
  <c r="D41" i="12782"/>
  <c r="C41" i="12782"/>
  <c r="H35" i="12782"/>
  <c r="G35" i="12782"/>
  <c r="F35" i="12782"/>
  <c r="E35" i="12782"/>
  <c r="D35" i="12782"/>
  <c r="C35" i="12782"/>
  <c r="H32" i="12782"/>
  <c r="G32" i="12782"/>
  <c r="F32" i="12782"/>
  <c r="E32" i="12782"/>
  <c r="D32" i="12782"/>
  <c r="C32" i="12782"/>
  <c r="H24" i="12782"/>
  <c r="G24" i="12782"/>
  <c r="F24" i="12782"/>
  <c r="E24" i="12782"/>
  <c r="D24" i="12782"/>
  <c r="C24" i="12782"/>
  <c r="H17" i="12782"/>
  <c r="G17" i="12782"/>
  <c r="F17" i="12782"/>
  <c r="E17" i="12782"/>
  <c r="D17" i="12782"/>
  <c r="C17" i="12782"/>
  <c r="H46" i="12767"/>
  <c r="G46" i="12767"/>
  <c r="F46" i="12767"/>
  <c r="E46" i="12767"/>
  <c r="D46" i="12767"/>
  <c r="C46" i="12767"/>
  <c r="H39" i="12767"/>
  <c r="G39" i="12767"/>
  <c r="F39" i="12767"/>
  <c r="E39" i="12767"/>
  <c r="D39" i="12767"/>
  <c r="C39" i="12767"/>
  <c r="H35" i="12767"/>
  <c r="G35" i="12767"/>
  <c r="F35" i="12767"/>
  <c r="E35" i="12767"/>
  <c r="D35" i="12767"/>
  <c r="C35" i="12767"/>
  <c r="H27" i="12767"/>
  <c r="G27" i="12767"/>
  <c r="F27" i="12767"/>
  <c r="E27" i="12767"/>
  <c r="D27" i="12767"/>
  <c r="C27" i="12767"/>
  <c r="H19" i="12767"/>
  <c r="G19" i="12767"/>
  <c r="F19" i="12767"/>
  <c r="F48" i="12767" s="1"/>
  <c r="E19" i="12767"/>
  <c r="D19" i="12767"/>
  <c r="C19" i="12767"/>
  <c r="C48" i="12767" l="1"/>
  <c r="E48" i="12767"/>
  <c r="G48" i="12767"/>
  <c r="H48" i="12767"/>
  <c r="D48" i="12767"/>
  <c r="I41" i="12780"/>
  <c r="I123" i="12780"/>
  <c r="I116" i="12780" l="1"/>
  <c r="J116" i="12780" s="1"/>
  <c r="I136" i="12780"/>
  <c r="J136" i="12780" s="1"/>
  <c r="I137" i="12780"/>
  <c r="J137" i="12780" s="1"/>
  <c r="I138" i="12780"/>
  <c r="J138" i="12780" s="1"/>
  <c r="I139" i="12780"/>
  <c r="J139" i="12780" s="1"/>
  <c r="I140" i="12780"/>
  <c r="J140" i="12780" s="1"/>
  <c r="I10" i="12780" l="1"/>
  <c r="J10" i="12780" s="1"/>
  <c r="I25" i="12780"/>
  <c r="I21" i="12780"/>
  <c r="G11" i="12751" l="1"/>
  <c r="G10" i="12751"/>
  <c r="G9" i="12751"/>
  <c r="G8" i="12751"/>
  <c r="G7" i="12751"/>
  <c r="G125" i="12709"/>
  <c r="G122" i="12709"/>
  <c r="G100" i="12709"/>
  <c r="G77" i="12709"/>
  <c r="G70" i="12709"/>
  <c r="G69" i="12709"/>
  <c r="G41" i="12709"/>
  <c r="G40" i="12709"/>
  <c r="G17" i="12709"/>
  <c r="G16" i="12709"/>
  <c r="D13" i="12786"/>
  <c r="E13" i="12786"/>
  <c r="F13" i="12786"/>
  <c r="G13" i="12786"/>
  <c r="H13" i="12786"/>
  <c r="D14" i="12786"/>
  <c r="E14" i="12786"/>
  <c r="F14" i="12786"/>
  <c r="G14" i="12786"/>
  <c r="H14" i="12786"/>
  <c r="D15" i="12786"/>
  <c r="E15" i="12786"/>
  <c r="F15" i="12786"/>
  <c r="G15" i="12786"/>
  <c r="H15" i="12786"/>
  <c r="L15" i="12786"/>
  <c r="D16" i="12786"/>
  <c r="E16" i="12786"/>
  <c r="F16" i="12786"/>
  <c r="G16" i="12786"/>
  <c r="H16" i="12786"/>
  <c r="D17" i="12786"/>
  <c r="E17" i="12786"/>
  <c r="F17" i="12786"/>
  <c r="G17" i="12786"/>
  <c r="H17" i="12786"/>
  <c r="D18" i="12786"/>
  <c r="E18" i="12786"/>
  <c r="F18" i="12786"/>
  <c r="G18" i="12786"/>
  <c r="H18" i="12786"/>
  <c r="D22" i="12786"/>
  <c r="E22" i="12786"/>
  <c r="F22" i="12786"/>
  <c r="G22" i="12786"/>
  <c r="H22" i="12786"/>
  <c r="D24" i="12786"/>
  <c r="E24" i="12786"/>
  <c r="F24" i="12786"/>
  <c r="G24" i="12786"/>
  <c r="H24" i="12786"/>
  <c r="I24" i="12786"/>
  <c r="D25" i="12786"/>
  <c r="E25" i="12786"/>
  <c r="F25" i="12786"/>
  <c r="G25" i="12786"/>
  <c r="H25" i="12786"/>
  <c r="D26" i="12786"/>
  <c r="E26" i="12786"/>
  <c r="F26" i="12786"/>
  <c r="G26" i="12786"/>
  <c r="H26" i="12786"/>
  <c r="D30" i="12786"/>
  <c r="E30" i="12786"/>
  <c r="F30" i="12786"/>
  <c r="G30" i="12786"/>
  <c r="H30" i="12786"/>
  <c r="D31" i="12786"/>
  <c r="E31" i="12786"/>
  <c r="F31" i="12786"/>
  <c r="G31" i="12786"/>
  <c r="H31" i="12786"/>
  <c r="M31" i="12786"/>
  <c r="D32" i="12786"/>
  <c r="E32" i="12786"/>
  <c r="F32" i="12786"/>
  <c r="G32" i="12786"/>
  <c r="H32" i="12786"/>
  <c r="D33" i="12786"/>
  <c r="E33" i="12786"/>
  <c r="F33" i="12786"/>
  <c r="G33" i="12786"/>
  <c r="H33" i="12786"/>
  <c r="N33" i="12786"/>
  <c r="D34" i="12786"/>
  <c r="E34" i="12786"/>
  <c r="F34" i="12786"/>
  <c r="G34" i="12786"/>
  <c r="H34" i="12786"/>
  <c r="K34" i="12786"/>
  <c r="L34" i="12786"/>
  <c r="D38" i="12786"/>
  <c r="E38" i="12786"/>
  <c r="F38" i="12786"/>
  <c r="G38" i="12786"/>
  <c r="G39" i="12786" s="1"/>
  <c r="H38" i="12786"/>
  <c r="H39" i="12786" s="1"/>
  <c r="E39" i="12786"/>
  <c r="F39" i="12786"/>
  <c r="D42" i="12786"/>
  <c r="E42" i="12786"/>
  <c r="F42" i="12786"/>
  <c r="G42" i="12786"/>
  <c r="H42" i="12786"/>
  <c r="D43" i="12786"/>
  <c r="E43" i="12786"/>
  <c r="F43" i="12786"/>
  <c r="G43" i="12786"/>
  <c r="H43" i="12786"/>
  <c r="D44" i="12786"/>
  <c r="E44" i="12786"/>
  <c r="F44" i="12786"/>
  <c r="G44" i="12786"/>
  <c r="H44" i="12786"/>
  <c r="D45" i="12786"/>
  <c r="E45" i="12786"/>
  <c r="F45" i="12786"/>
  <c r="G45" i="12786"/>
  <c r="H45" i="12786"/>
  <c r="C45" i="12786"/>
  <c r="C46" i="12786" s="1"/>
  <c r="C44" i="12786"/>
  <c r="C43" i="12786"/>
  <c r="C42" i="12786"/>
  <c r="C38" i="12786"/>
  <c r="C39" i="12786" s="1"/>
  <c r="C34" i="12786"/>
  <c r="C33" i="12786"/>
  <c r="C32" i="12786"/>
  <c r="C31" i="12786"/>
  <c r="C30" i="12786"/>
  <c r="C26" i="12786"/>
  <c r="C25" i="12786"/>
  <c r="C24" i="12786"/>
  <c r="C22" i="12786"/>
  <c r="C18" i="12786"/>
  <c r="C17" i="12786"/>
  <c r="C19" i="12786" s="1"/>
  <c r="C16" i="12786"/>
  <c r="C15" i="12786"/>
  <c r="C14" i="12786"/>
  <c r="C13" i="12786"/>
  <c r="P35" i="12787"/>
  <c r="O35" i="12787"/>
  <c r="N35" i="12787"/>
  <c r="M35" i="12787"/>
  <c r="L35" i="12787"/>
  <c r="K35" i="12787"/>
  <c r="J35" i="12787"/>
  <c r="I35" i="12787"/>
  <c r="H35" i="12787"/>
  <c r="G35" i="12787"/>
  <c r="F35" i="12787"/>
  <c r="E35" i="12787"/>
  <c r="AC33" i="12787"/>
  <c r="N45" i="12786" s="1"/>
  <c r="AB33" i="12787"/>
  <c r="M45" i="12786" s="1"/>
  <c r="AA33" i="12787"/>
  <c r="L45" i="12786" s="1"/>
  <c r="Z33" i="12787"/>
  <c r="K45" i="12786" s="1"/>
  <c r="Y33" i="12787"/>
  <c r="J45" i="12786" s="1"/>
  <c r="X33" i="12787"/>
  <c r="I45" i="12786" s="1"/>
  <c r="AC32" i="12787"/>
  <c r="N44" i="12786" s="1"/>
  <c r="AB32" i="12787"/>
  <c r="M44" i="12786" s="1"/>
  <c r="AA32" i="12787"/>
  <c r="L44" i="12786" s="1"/>
  <c r="Z32" i="12787"/>
  <c r="K44" i="12786" s="1"/>
  <c r="Y32" i="12787"/>
  <c r="J44" i="12786" s="1"/>
  <c r="X32" i="12787"/>
  <c r="I44" i="12786" s="1"/>
  <c r="AC31" i="12787"/>
  <c r="N43" i="12786" s="1"/>
  <c r="AB31" i="12787"/>
  <c r="M43" i="12786" s="1"/>
  <c r="AA31" i="12787"/>
  <c r="L43" i="12786" s="1"/>
  <c r="Z31" i="12787"/>
  <c r="K43" i="12786" s="1"/>
  <c r="Y31" i="12787"/>
  <c r="J43" i="12786" s="1"/>
  <c r="X31" i="12787"/>
  <c r="I43" i="12786" s="1"/>
  <c r="AC30" i="12787"/>
  <c r="N42" i="12786" s="1"/>
  <c r="AB30" i="12787"/>
  <c r="M42" i="12786" s="1"/>
  <c r="AA30" i="12787"/>
  <c r="L42" i="12786" s="1"/>
  <c r="Z30" i="12787"/>
  <c r="K42" i="12786" s="1"/>
  <c r="Y30" i="12787"/>
  <c r="J42" i="12786" s="1"/>
  <c r="X30" i="12787"/>
  <c r="I42" i="12786" s="1"/>
  <c r="AC29" i="12787"/>
  <c r="N38" i="12786" s="1"/>
  <c r="N39" i="12786" s="1"/>
  <c r="AB29" i="12787"/>
  <c r="M38" i="12786" s="1"/>
  <c r="M39" i="12786" s="1"/>
  <c r="AA29" i="12787"/>
  <c r="L38" i="12786" s="1"/>
  <c r="L39" i="12786" s="1"/>
  <c r="Z29" i="12787"/>
  <c r="K38" i="12786" s="1"/>
  <c r="K39" i="12786" s="1"/>
  <c r="Y29" i="12787"/>
  <c r="J38" i="12786" s="1"/>
  <c r="J39" i="12786" s="1"/>
  <c r="X29" i="12787"/>
  <c r="I38" i="12786" s="1"/>
  <c r="I39" i="12786" s="1"/>
  <c r="AC28" i="12787"/>
  <c r="N34" i="12786" s="1"/>
  <c r="AB28" i="12787"/>
  <c r="M34" i="12786" s="1"/>
  <c r="AA28" i="12787"/>
  <c r="Z28" i="12787"/>
  <c r="Y28" i="12787"/>
  <c r="J34" i="12786" s="1"/>
  <c r="X28" i="12787"/>
  <c r="I34" i="12786" s="1"/>
  <c r="AC27" i="12787"/>
  <c r="AB27" i="12787"/>
  <c r="M33" i="12786" s="1"/>
  <c r="AA27" i="12787"/>
  <c r="L33" i="12786" s="1"/>
  <c r="Z27" i="12787"/>
  <c r="K33" i="12786" s="1"/>
  <c r="Y27" i="12787"/>
  <c r="J33" i="12786" s="1"/>
  <c r="X27" i="12787"/>
  <c r="I33" i="12786" s="1"/>
  <c r="AC26" i="12787"/>
  <c r="N32" i="12786" s="1"/>
  <c r="AB26" i="12787"/>
  <c r="M32" i="12786" s="1"/>
  <c r="AA26" i="12787"/>
  <c r="L32" i="12786" s="1"/>
  <c r="Z26" i="12787"/>
  <c r="K32" i="12786" s="1"/>
  <c r="Y26" i="12787"/>
  <c r="J32" i="12786" s="1"/>
  <c r="X26" i="12787"/>
  <c r="I32" i="12786" s="1"/>
  <c r="AC25" i="12787"/>
  <c r="N31" i="12786" s="1"/>
  <c r="AB25" i="12787"/>
  <c r="AA25" i="12787"/>
  <c r="L31" i="12786" s="1"/>
  <c r="Z25" i="12787"/>
  <c r="K31" i="12786" s="1"/>
  <c r="Y25" i="12787"/>
  <c r="J31" i="12786" s="1"/>
  <c r="X25" i="12787"/>
  <c r="I31" i="12786" s="1"/>
  <c r="AC24" i="12787"/>
  <c r="N30" i="12786" s="1"/>
  <c r="AB24" i="12787"/>
  <c r="M30" i="12786" s="1"/>
  <c r="AA24" i="12787"/>
  <c r="L30" i="12786" s="1"/>
  <c r="Z24" i="12787"/>
  <c r="K30" i="12786" s="1"/>
  <c r="Y24" i="12787"/>
  <c r="J30" i="12786" s="1"/>
  <c r="X24" i="12787"/>
  <c r="I30" i="12786" s="1"/>
  <c r="AC23" i="12787"/>
  <c r="N26" i="12786" s="1"/>
  <c r="AB23" i="12787"/>
  <c r="M26" i="12786" s="1"/>
  <c r="AA23" i="12787"/>
  <c r="L26" i="12786" s="1"/>
  <c r="Z23" i="12787"/>
  <c r="K26" i="12786" s="1"/>
  <c r="Y23" i="12787"/>
  <c r="J26" i="12786" s="1"/>
  <c r="X23" i="12787"/>
  <c r="I26" i="12786" s="1"/>
  <c r="AC22" i="12787"/>
  <c r="N25" i="12786" s="1"/>
  <c r="AB22" i="12787"/>
  <c r="M25" i="12786" s="1"/>
  <c r="AA22" i="12787"/>
  <c r="L25" i="12786" s="1"/>
  <c r="Z22" i="12787"/>
  <c r="K25" i="12786" s="1"/>
  <c r="Y22" i="12787"/>
  <c r="J25" i="12786" s="1"/>
  <c r="X22" i="12787"/>
  <c r="I25" i="12786" s="1"/>
  <c r="AA21" i="12787"/>
  <c r="Q21" i="12787"/>
  <c r="AC20" i="12787"/>
  <c r="N24" i="12786" s="1"/>
  <c r="AB20" i="12787"/>
  <c r="M24" i="12786" s="1"/>
  <c r="AA20" i="12787"/>
  <c r="L24" i="12786" s="1"/>
  <c r="Z20" i="12787"/>
  <c r="K24" i="12786" s="1"/>
  <c r="Y20" i="12787"/>
  <c r="J24" i="12786" s="1"/>
  <c r="X20" i="12787"/>
  <c r="AC19" i="12787"/>
  <c r="AB19" i="12787"/>
  <c r="AA19" i="12787"/>
  <c r="L23" i="12786" s="1"/>
  <c r="Z19" i="12787"/>
  <c r="Y19" i="12787"/>
  <c r="X19" i="12787"/>
  <c r="AC18" i="12787"/>
  <c r="N22" i="12786" s="1"/>
  <c r="AB18" i="12787"/>
  <c r="M22" i="12786" s="1"/>
  <c r="AA18" i="12787"/>
  <c r="L22" i="12786" s="1"/>
  <c r="Z18" i="12787"/>
  <c r="K22" i="12786" s="1"/>
  <c r="Y18" i="12787"/>
  <c r="J22" i="12786" s="1"/>
  <c r="X18" i="12787"/>
  <c r="I22" i="12786" s="1"/>
  <c r="AC17" i="12787"/>
  <c r="N18" i="12786" s="1"/>
  <c r="AB17" i="12787"/>
  <c r="M18" i="12786" s="1"/>
  <c r="AA17" i="12787"/>
  <c r="L18" i="12786" s="1"/>
  <c r="Z17" i="12787"/>
  <c r="K18" i="12786" s="1"/>
  <c r="Y17" i="12787"/>
  <c r="J18" i="12786" s="1"/>
  <c r="X17" i="12787"/>
  <c r="I18" i="12786" s="1"/>
  <c r="AC16" i="12787"/>
  <c r="N17" i="12786" s="1"/>
  <c r="AB16" i="12787"/>
  <c r="M17" i="12786" s="1"/>
  <c r="AA16" i="12787"/>
  <c r="L17" i="12786" s="1"/>
  <c r="Z16" i="12787"/>
  <c r="K17" i="12786" s="1"/>
  <c r="Y16" i="12787"/>
  <c r="J17" i="12786" s="1"/>
  <c r="X16" i="12787"/>
  <c r="I17" i="12786" s="1"/>
  <c r="AC15" i="12787"/>
  <c r="N16" i="12786" s="1"/>
  <c r="AB15" i="12787"/>
  <c r="M16" i="12786" s="1"/>
  <c r="AA15" i="12787"/>
  <c r="L16" i="12786" s="1"/>
  <c r="Z15" i="12787"/>
  <c r="K16" i="12786" s="1"/>
  <c r="Y15" i="12787"/>
  <c r="J16" i="12786" s="1"/>
  <c r="X15" i="12787"/>
  <c r="I16" i="12786" s="1"/>
  <c r="AC14" i="12787"/>
  <c r="N15" i="12786" s="1"/>
  <c r="AB14" i="12787"/>
  <c r="M15" i="12786" s="1"/>
  <c r="AA14" i="12787"/>
  <c r="Z14" i="12787"/>
  <c r="K15" i="12786" s="1"/>
  <c r="Y14" i="12787"/>
  <c r="J15" i="12786" s="1"/>
  <c r="X14" i="12787"/>
  <c r="I15" i="12786" s="1"/>
  <c r="AC13" i="12787"/>
  <c r="N14" i="12786" s="1"/>
  <c r="AB13" i="12787"/>
  <c r="M14" i="12786" s="1"/>
  <c r="AA13" i="12787"/>
  <c r="Z13" i="12787"/>
  <c r="K14" i="12786" s="1"/>
  <c r="Y13" i="12787"/>
  <c r="J14" i="12786" s="1"/>
  <c r="X13" i="12787"/>
  <c r="N13" i="12786"/>
  <c r="AB12" i="12787"/>
  <c r="M13" i="12786" s="1"/>
  <c r="AA12" i="12787"/>
  <c r="L13" i="12786" s="1"/>
  <c r="Z12" i="12787"/>
  <c r="K13" i="12786" s="1"/>
  <c r="Y12" i="12787"/>
  <c r="J13" i="12786" s="1"/>
  <c r="X12" i="12787"/>
  <c r="I13" i="12786" s="1"/>
  <c r="I14" i="12786" l="1"/>
  <c r="O14" i="12786" s="1"/>
  <c r="AD13" i="12787"/>
  <c r="Y21" i="12787"/>
  <c r="V21" i="12787"/>
  <c r="G23" i="12786" s="1"/>
  <c r="G27" i="12786" s="1"/>
  <c r="U21" i="12787"/>
  <c r="F23" i="12786" s="1"/>
  <c r="T21" i="12787"/>
  <c r="E23" i="12786" s="1"/>
  <c r="E27" i="12786" s="1"/>
  <c r="S21" i="12787"/>
  <c r="D23" i="12786" s="1"/>
  <c r="R21" i="12787"/>
  <c r="W21" i="12787"/>
  <c r="H23" i="12786" s="1"/>
  <c r="H27" i="12786" s="1"/>
  <c r="Z21" i="12787"/>
  <c r="K23" i="12786" s="1"/>
  <c r="K27" i="12786" s="1"/>
  <c r="K48" i="12786" s="1"/>
  <c r="AE13" i="12787"/>
  <c r="K46" i="12786"/>
  <c r="J23" i="12786"/>
  <c r="J27" i="12786" s="1"/>
  <c r="AD17" i="12787"/>
  <c r="AE17" i="12787" s="1"/>
  <c r="L35" i="12786"/>
  <c r="J46" i="12786"/>
  <c r="M35" i="12786"/>
  <c r="N35" i="12786"/>
  <c r="L46" i="12786"/>
  <c r="K35" i="12786"/>
  <c r="M46" i="12786"/>
  <c r="K19" i="12786"/>
  <c r="M19" i="12786"/>
  <c r="J35" i="12786"/>
  <c r="N46" i="12786"/>
  <c r="N19" i="12786"/>
  <c r="I35" i="12786"/>
  <c r="J19" i="12786"/>
  <c r="L27" i="12786"/>
  <c r="I46" i="12786"/>
  <c r="O26" i="12786"/>
  <c r="O25" i="12786"/>
  <c r="Z35" i="12787"/>
  <c r="Z37" i="12787" s="1"/>
  <c r="L14" i="12786"/>
  <c r="L19" i="12786" s="1"/>
  <c r="G46" i="12786"/>
  <c r="H46" i="12786"/>
  <c r="G35" i="12786"/>
  <c r="D19" i="12786"/>
  <c r="F46" i="12786"/>
  <c r="E46" i="12786"/>
  <c r="O33" i="12786"/>
  <c r="H35" i="12786"/>
  <c r="F35" i="12786"/>
  <c r="F27" i="12786"/>
  <c r="F19" i="12786"/>
  <c r="D46" i="12786"/>
  <c r="H19" i="12786"/>
  <c r="O38" i="12786"/>
  <c r="D35" i="12786"/>
  <c r="O22" i="12786"/>
  <c r="O44" i="12786"/>
  <c r="O24" i="12786"/>
  <c r="O31" i="12786"/>
  <c r="O45" i="12786"/>
  <c r="G19" i="12786"/>
  <c r="E19" i="12786"/>
  <c r="E35" i="12786"/>
  <c r="O30" i="12786"/>
  <c r="O34" i="12786"/>
  <c r="O13" i="12786"/>
  <c r="D27" i="12786"/>
  <c r="O32" i="12786"/>
  <c r="O42" i="12786"/>
  <c r="D39" i="12786"/>
  <c r="O39" i="12786" s="1"/>
  <c r="O15" i="12786"/>
  <c r="O43" i="12786"/>
  <c r="O16" i="12786"/>
  <c r="O18" i="12786"/>
  <c r="C35" i="12786"/>
  <c r="O17" i="12786"/>
  <c r="S35" i="12787"/>
  <c r="S37" i="12787" s="1"/>
  <c r="AA35" i="12787"/>
  <c r="AA37" i="12787" s="1"/>
  <c r="AD19" i="12787"/>
  <c r="AE19" i="12787" s="1"/>
  <c r="AB21" i="12787"/>
  <c r="AB35" i="12787" s="1"/>
  <c r="AB37" i="12787" s="1"/>
  <c r="AD25" i="12787"/>
  <c r="AE25" i="12787" s="1"/>
  <c r="AD29" i="12787"/>
  <c r="AE29" i="12787" s="1"/>
  <c r="AD33" i="12787"/>
  <c r="AE33" i="12787" s="1"/>
  <c r="Y35" i="12787"/>
  <c r="Y37" i="12787" s="1"/>
  <c r="AC21" i="12787"/>
  <c r="AC35" i="12787" s="1"/>
  <c r="AC37" i="12787" s="1"/>
  <c r="AD24" i="12787"/>
  <c r="AE24" i="12787" s="1"/>
  <c r="AD28" i="12787"/>
  <c r="AE28" i="12787" s="1"/>
  <c r="AD32" i="12787"/>
  <c r="AE32" i="12787" s="1"/>
  <c r="AD14" i="12787"/>
  <c r="AE14" i="12787" s="1"/>
  <c r="T35" i="12787"/>
  <c r="T37" i="12787" s="1"/>
  <c r="AD18" i="12787"/>
  <c r="AE18" i="12787" s="1"/>
  <c r="U35" i="12787"/>
  <c r="U37" i="12787" s="1"/>
  <c r="AD16" i="12787"/>
  <c r="AE16" i="12787" s="1"/>
  <c r="AD20" i="12787"/>
  <c r="AE20" i="12787" s="1"/>
  <c r="AD22" i="12787"/>
  <c r="AE22" i="12787" s="1"/>
  <c r="AD23" i="12787"/>
  <c r="AE23" i="12787" s="1"/>
  <c r="AD26" i="12787"/>
  <c r="AE26" i="12787" s="1"/>
  <c r="AD27" i="12787"/>
  <c r="AE27" i="12787" s="1"/>
  <c r="AD30" i="12787"/>
  <c r="AE30" i="12787" s="1"/>
  <c r="AD31" i="12787"/>
  <c r="AE31" i="12787" s="1"/>
  <c r="AD15" i="12787"/>
  <c r="AE15" i="12787" s="1"/>
  <c r="X21" i="12787"/>
  <c r="X35" i="12787" s="1"/>
  <c r="X37" i="12787" s="1"/>
  <c r="AD12" i="12787"/>
  <c r="G48" i="12786" l="1"/>
  <c r="H48" i="12786"/>
  <c r="N48" i="12786"/>
  <c r="I19" i="12786"/>
  <c r="O19" i="12786" s="1"/>
  <c r="N23" i="12786"/>
  <c r="N27" i="12786" s="1"/>
  <c r="M23" i="12786"/>
  <c r="M27" i="12786" s="1"/>
  <c r="M48" i="12786" s="1"/>
  <c r="D48" i="12786"/>
  <c r="O46" i="12786"/>
  <c r="R35" i="12787"/>
  <c r="R37" i="12787" s="1"/>
  <c r="C23" i="12786"/>
  <c r="V35" i="12787"/>
  <c r="V37" i="12787" s="1"/>
  <c r="J48" i="12786"/>
  <c r="I23" i="12786"/>
  <c r="I27" i="12786" s="1"/>
  <c r="L48" i="12786"/>
  <c r="E48" i="12786"/>
  <c r="F48" i="12786"/>
  <c r="O35" i="12786"/>
  <c r="AD21" i="12787"/>
  <c r="AE21" i="12787" s="1"/>
  <c r="W35" i="12787"/>
  <c r="W37" i="12787" s="1"/>
  <c r="AE12" i="12787"/>
  <c r="I48" i="12786" l="1"/>
  <c r="O23" i="12786"/>
  <c r="C27" i="12786"/>
  <c r="AD35" i="12787"/>
  <c r="AE35" i="12787"/>
  <c r="AD37" i="12787"/>
  <c r="O27" i="12786" l="1"/>
  <c r="O48" i="12786" s="1"/>
  <c r="C48" i="12786"/>
  <c r="U82" i="12750"/>
  <c r="Y66" i="12750"/>
  <c r="J82" i="12750"/>
  <c r="L66" i="12750"/>
  <c r="L48" i="12750"/>
  <c r="L30" i="12750"/>
  <c r="L12" i="12750"/>
  <c r="B12" i="12762" l="1"/>
  <c r="H148" i="12709"/>
  <c r="O34" i="12782"/>
  <c r="O35" i="12782" s="1"/>
  <c r="O28" i="12782"/>
  <c r="O27" i="12782"/>
  <c r="O21" i="12782"/>
  <c r="O20" i="12782"/>
  <c r="O12" i="12782"/>
  <c r="O17" i="12782" s="1"/>
  <c r="O13" i="12782"/>
  <c r="O14" i="12782"/>
  <c r="O15" i="12782"/>
  <c r="O16" i="12782"/>
  <c r="O11" i="12782"/>
  <c r="E43" i="12782" l="1"/>
  <c r="D43" i="12782"/>
  <c r="C43" i="12782"/>
  <c r="I44" i="12780" l="1"/>
  <c r="J44" i="12780" s="1"/>
  <c r="I5" i="12780"/>
  <c r="I6" i="12780"/>
  <c r="J6" i="12780" s="1"/>
  <c r="I7" i="12780"/>
  <c r="J7" i="12780" s="1"/>
  <c r="I8" i="12780"/>
  <c r="J8" i="12780" s="1"/>
  <c r="I9" i="12780"/>
  <c r="J9" i="12780" s="1"/>
  <c r="J5" i="12780" l="1"/>
  <c r="B6" i="12709"/>
  <c r="P18" i="12783" l="1"/>
  <c r="P21" i="12783"/>
  <c r="P24" i="12783"/>
  <c r="P27" i="12783"/>
  <c r="P37" i="12783"/>
  <c r="P14" i="12783" l="1"/>
  <c r="P11" i="12783"/>
  <c r="N29" i="12783"/>
  <c r="P8" i="12783"/>
  <c r="M29" i="12783"/>
  <c r="K29" i="12783"/>
  <c r="P6" i="12783"/>
  <c r="D29" i="12783"/>
  <c r="P25" i="12783"/>
  <c r="P16" i="12783"/>
  <c r="P38" i="12783"/>
  <c r="P20" i="12783"/>
  <c r="P10" i="12783"/>
  <c r="F29" i="12783"/>
  <c r="H29" i="12783"/>
  <c r="E29" i="12783"/>
  <c r="P19" i="12783"/>
  <c r="P23" i="12783"/>
  <c r="P13" i="12783"/>
  <c r="G29" i="12783"/>
  <c r="O29" i="12783"/>
  <c r="P36" i="12783"/>
  <c r="P9" i="12783"/>
  <c r="P22" i="12783"/>
  <c r="P12" i="12783"/>
  <c r="P35" i="12783"/>
  <c r="I29" i="12783"/>
  <c r="P26" i="12783"/>
  <c r="P17" i="12783"/>
  <c r="P7" i="12783"/>
  <c r="P34" i="12783"/>
  <c r="J29" i="12783"/>
  <c r="L29" i="12783"/>
  <c r="P29" i="12783" l="1"/>
  <c r="H146" i="12709" l="1"/>
  <c r="B11" i="12762"/>
  <c r="P40" i="12783"/>
  <c r="O40" i="12782" l="1"/>
  <c r="O38" i="12782"/>
  <c r="O39" i="12782"/>
  <c r="O37" i="12782"/>
  <c r="O31" i="12782"/>
  <c r="O29" i="12782"/>
  <c r="O30" i="12782"/>
  <c r="O26" i="12782"/>
  <c r="O32" i="12782" s="1"/>
  <c r="O23" i="12782"/>
  <c r="O22" i="12782"/>
  <c r="O19" i="12782"/>
  <c r="O24" i="12782" s="1"/>
  <c r="N41" i="12782"/>
  <c r="N35" i="12782"/>
  <c r="N32" i="12782"/>
  <c r="N24" i="12782"/>
  <c r="N17" i="12782"/>
  <c r="M41" i="12782"/>
  <c r="M35" i="12782"/>
  <c r="M32" i="12782"/>
  <c r="M24" i="12782"/>
  <c r="M17" i="12782"/>
  <c r="L41" i="12782"/>
  <c r="L35" i="12782"/>
  <c r="L32" i="12782"/>
  <c r="L24" i="12782"/>
  <c r="L17" i="12782"/>
  <c r="K41" i="12782"/>
  <c r="K35" i="12782"/>
  <c r="K32" i="12782"/>
  <c r="K24" i="12782"/>
  <c r="K17" i="12782"/>
  <c r="J41" i="12782"/>
  <c r="J35" i="12782"/>
  <c r="J32" i="12782"/>
  <c r="J24" i="12782"/>
  <c r="J17" i="12782"/>
  <c r="I41" i="12782"/>
  <c r="I35" i="12782"/>
  <c r="I32" i="12782"/>
  <c r="I24" i="12782"/>
  <c r="I17" i="12782"/>
  <c r="M43" i="12782" l="1"/>
  <c r="I43" i="12782"/>
  <c r="J43" i="12782"/>
  <c r="N43" i="12782"/>
  <c r="K43" i="12782"/>
  <c r="L43" i="12782"/>
  <c r="J41" i="12780" l="1"/>
  <c r="I132" i="12780"/>
  <c r="J132" i="12780" s="1"/>
  <c r="I117" i="12780"/>
  <c r="J117" i="12780" s="1"/>
  <c r="I65" i="12780" l="1"/>
  <c r="J65" i="12780" s="1"/>
  <c r="I12" i="12780"/>
  <c r="J12" i="12780" s="1"/>
  <c r="I43" i="12780"/>
  <c r="J43" i="12780" s="1"/>
  <c r="I103" i="12780"/>
  <c r="J103" i="12780" s="1"/>
  <c r="I91" i="12780"/>
  <c r="J91" i="12780" s="1"/>
  <c r="I73" i="12780"/>
  <c r="J73" i="12780" s="1"/>
  <c r="J25" i="12780"/>
  <c r="I50" i="12780"/>
  <c r="J50" i="12780" s="1"/>
  <c r="I40" i="12780"/>
  <c r="J40" i="12780" s="1"/>
  <c r="I135" i="12780" l="1"/>
  <c r="J135" i="12780" s="1"/>
  <c r="I134" i="12780"/>
  <c r="J134" i="12780" s="1"/>
  <c r="I133" i="12780"/>
  <c r="J133" i="12780" s="1"/>
  <c r="I131" i="12780"/>
  <c r="J131" i="12780" s="1"/>
  <c r="I130" i="12780"/>
  <c r="J130" i="12780" s="1"/>
  <c r="I129" i="12780"/>
  <c r="J129" i="12780" s="1"/>
  <c r="I128" i="12780"/>
  <c r="J128" i="12780" s="1"/>
  <c r="I127" i="12780"/>
  <c r="J127" i="12780" s="1"/>
  <c r="I126" i="12780"/>
  <c r="J126" i="12780" s="1"/>
  <c r="I125" i="12780"/>
  <c r="J125" i="12780" s="1"/>
  <c r="I124" i="12780"/>
  <c r="J124" i="12780" s="1"/>
  <c r="J123" i="12780"/>
  <c r="I122" i="12780"/>
  <c r="J122" i="12780" s="1"/>
  <c r="I121" i="12780"/>
  <c r="J121" i="12780" s="1"/>
  <c r="I120" i="12780"/>
  <c r="J120" i="12780" s="1"/>
  <c r="I119" i="12780"/>
  <c r="J119" i="12780" s="1"/>
  <c r="I118" i="12780"/>
  <c r="J118" i="12780" s="1"/>
  <c r="I115" i="12780"/>
  <c r="J115" i="12780" s="1"/>
  <c r="I114" i="12780"/>
  <c r="J114" i="12780" s="1"/>
  <c r="I113" i="12780"/>
  <c r="J113" i="12780" s="1"/>
  <c r="I112" i="12780"/>
  <c r="J112" i="12780" s="1"/>
  <c r="I111" i="12780"/>
  <c r="J111" i="12780" s="1"/>
  <c r="I110" i="12780"/>
  <c r="J110" i="12780" s="1"/>
  <c r="I109" i="12780"/>
  <c r="J109" i="12780" s="1"/>
  <c r="I108" i="12780"/>
  <c r="J108" i="12780" s="1"/>
  <c r="I107" i="12780"/>
  <c r="J107" i="12780" s="1"/>
  <c r="I106" i="12780"/>
  <c r="J106" i="12780" s="1"/>
  <c r="I105" i="12780"/>
  <c r="J105" i="12780" s="1"/>
  <c r="I104" i="12780"/>
  <c r="J104" i="12780" s="1"/>
  <c r="I102" i="12780"/>
  <c r="J102" i="12780" s="1"/>
  <c r="I101" i="12780"/>
  <c r="J101" i="12780" s="1"/>
  <c r="I100" i="12780"/>
  <c r="J100" i="12780" s="1"/>
  <c r="I99" i="12780"/>
  <c r="J99" i="12780" s="1"/>
  <c r="I98" i="12780"/>
  <c r="J98" i="12780" s="1"/>
  <c r="I97" i="12780"/>
  <c r="J97" i="12780" s="1"/>
  <c r="I96" i="12780"/>
  <c r="J96" i="12780" s="1"/>
  <c r="I95" i="12780"/>
  <c r="J95" i="12780" s="1"/>
  <c r="I94" i="12780"/>
  <c r="J94" i="12780" s="1"/>
  <c r="I93" i="12780"/>
  <c r="J93" i="12780" s="1"/>
  <c r="I92" i="12780"/>
  <c r="J92" i="12780" s="1"/>
  <c r="I90" i="12780"/>
  <c r="J90" i="12780" s="1"/>
  <c r="I89" i="12780"/>
  <c r="J89" i="12780" s="1"/>
  <c r="I88" i="12780"/>
  <c r="J88" i="12780" s="1"/>
  <c r="I87" i="12780"/>
  <c r="J87" i="12780" s="1"/>
  <c r="I86" i="12780"/>
  <c r="J86" i="12780" s="1"/>
  <c r="I85" i="12780"/>
  <c r="J85" i="12780" s="1"/>
  <c r="I84" i="12780"/>
  <c r="J84" i="12780" s="1"/>
  <c r="I83" i="12780"/>
  <c r="J83" i="12780" s="1"/>
  <c r="I82" i="12780"/>
  <c r="J82" i="12780" s="1"/>
  <c r="I81" i="12780"/>
  <c r="J81" i="12780" s="1"/>
  <c r="I80" i="12780"/>
  <c r="J80" i="12780" s="1"/>
  <c r="I79" i="12780"/>
  <c r="J79" i="12780" s="1"/>
  <c r="I78" i="12780"/>
  <c r="J78" i="12780" s="1"/>
  <c r="I77" i="12780"/>
  <c r="J77" i="12780" s="1"/>
  <c r="I76" i="12780"/>
  <c r="J76" i="12780" s="1"/>
  <c r="I75" i="12780"/>
  <c r="J75" i="12780" s="1"/>
  <c r="I74" i="12780"/>
  <c r="J74" i="12780" s="1"/>
  <c r="I72" i="12780"/>
  <c r="J72" i="12780" s="1"/>
  <c r="I71" i="12780"/>
  <c r="J71" i="12780" s="1"/>
  <c r="I70" i="12780"/>
  <c r="J70" i="12780" s="1"/>
  <c r="I69" i="12780"/>
  <c r="J69" i="12780" s="1"/>
  <c r="I68" i="12780"/>
  <c r="J68" i="12780" s="1"/>
  <c r="I67" i="12780"/>
  <c r="J67" i="12780" s="1"/>
  <c r="I66" i="12780"/>
  <c r="J66" i="12780" s="1"/>
  <c r="I64" i="12780"/>
  <c r="J64" i="12780" s="1"/>
  <c r="I63" i="12780"/>
  <c r="J63" i="12780" s="1"/>
  <c r="I62" i="12780"/>
  <c r="J62" i="12780" s="1"/>
  <c r="I61" i="12780"/>
  <c r="J61" i="12780" s="1"/>
  <c r="I60" i="12780"/>
  <c r="J60" i="12780" s="1"/>
  <c r="I59" i="12780"/>
  <c r="J59" i="12780" s="1"/>
  <c r="I58" i="12780"/>
  <c r="J58" i="12780" s="1"/>
  <c r="I57" i="12780"/>
  <c r="J57" i="12780" s="1"/>
  <c r="I56" i="12780"/>
  <c r="J56" i="12780" s="1"/>
  <c r="I55" i="12780"/>
  <c r="J55" i="12780" s="1"/>
  <c r="I54" i="12780"/>
  <c r="J54" i="12780" s="1"/>
  <c r="I53" i="12780"/>
  <c r="J53" i="12780" s="1"/>
  <c r="I52" i="12780"/>
  <c r="J52" i="12780" s="1"/>
  <c r="I51" i="12780"/>
  <c r="J51" i="12780" s="1"/>
  <c r="I49" i="12780"/>
  <c r="J49" i="12780" s="1"/>
  <c r="I48" i="12780"/>
  <c r="J48" i="12780" s="1"/>
  <c r="I47" i="12780"/>
  <c r="J47" i="12780" s="1"/>
  <c r="I46" i="12780"/>
  <c r="J46" i="12780" s="1"/>
  <c r="I45" i="12780"/>
  <c r="J45" i="12780" s="1"/>
  <c r="I42" i="12780"/>
  <c r="J42" i="12780" s="1"/>
  <c r="I39" i="12780"/>
  <c r="J39" i="12780" s="1"/>
  <c r="I38" i="12780"/>
  <c r="J38" i="12780" s="1"/>
  <c r="I37" i="12780"/>
  <c r="J37" i="12780" s="1"/>
  <c r="I36" i="12780"/>
  <c r="J36" i="12780" s="1"/>
  <c r="I35" i="12780"/>
  <c r="J35" i="12780" s="1"/>
  <c r="I34" i="12780"/>
  <c r="J34" i="12780" s="1"/>
  <c r="I33" i="12780"/>
  <c r="J33" i="12780" s="1"/>
  <c r="I32" i="12780"/>
  <c r="J32" i="12780" s="1"/>
  <c r="I31" i="12780"/>
  <c r="J31" i="12780" s="1"/>
  <c r="I30" i="12780"/>
  <c r="J30" i="12780" s="1"/>
  <c r="I29" i="12780"/>
  <c r="J29" i="12780" s="1"/>
  <c r="I28" i="12780"/>
  <c r="J28" i="12780" s="1"/>
  <c r="I27" i="12780"/>
  <c r="J27" i="12780" s="1"/>
  <c r="I26" i="12780"/>
  <c r="J26" i="12780" s="1"/>
  <c r="I24" i="12780"/>
  <c r="J24" i="12780" s="1"/>
  <c r="I23" i="12780"/>
  <c r="J23" i="12780" s="1"/>
  <c r="I22" i="12780"/>
  <c r="J22" i="12780" s="1"/>
  <c r="J21" i="12780"/>
  <c r="I20" i="12780"/>
  <c r="J20" i="12780" s="1"/>
  <c r="I19" i="12780"/>
  <c r="J19" i="12780" s="1"/>
  <c r="I18" i="12780"/>
  <c r="J18" i="12780" s="1"/>
  <c r="I17" i="12780"/>
  <c r="J17" i="12780" s="1"/>
  <c r="I16" i="12780"/>
  <c r="J16" i="12780" s="1"/>
  <c r="I15" i="12780"/>
  <c r="J15" i="12780" s="1"/>
  <c r="I14" i="12780"/>
  <c r="J14" i="12780" s="1"/>
  <c r="I13" i="12780"/>
  <c r="J13" i="12780" s="1"/>
  <c r="I11" i="12780"/>
  <c r="O41" i="12782"/>
  <c r="O43" i="12782" s="1"/>
  <c r="J11" i="12780" l="1"/>
  <c r="E89" i="12711"/>
  <c r="E57" i="12711"/>
  <c r="E111" i="12711"/>
  <c r="E61" i="12711"/>
  <c r="H81" i="12709"/>
  <c r="E107" i="12711"/>
  <c r="E134" i="12711"/>
  <c r="E59" i="12711"/>
  <c r="E27" i="12711"/>
  <c r="E86" i="12711"/>
  <c r="E29" i="12711"/>
  <c r="E13" i="12709"/>
  <c r="E108" i="12711"/>
  <c r="E28" i="12711"/>
  <c r="E25" i="12711"/>
  <c r="E54" i="12711"/>
  <c r="E109" i="12711"/>
  <c r="E106" i="12711"/>
  <c r="E91" i="12711"/>
  <c r="E60" i="12711"/>
  <c r="E128" i="12711"/>
  <c r="E34" i="12711"/>
  <c r="E93" i="12711"/>
  <c r="E31" i="12711"/>
  <c r="E90" i="12711"/>
  <c r="E130" i="12711"/>
  <c r="E112" i="12711"/>
  <c r="E110" i="12711"/>
  <c r="E63" i="12711"/>
  <c r="E32" i="12711"/>
  <c r="H13" i="12709"/>
  <c r="E132" i="12711"/>
  <c r="E114" i="12711"/>
  <c r="E103" i="12711"/>
  <c r="E84" i="12711"/>
  <c r="E30" i="12711"/>
  <c r="E56" i="12711"/>
  <c r="E131" i="12711"/>
  <c r="E105" i="12711"/>
  <c r="E87" i="12711"/>
  <c r="E88" i="12711"/>
  <c r="E19" i="12709"/>
  <c r="H43" i="12782"/>
  <c r="G43" i="12782"/>
  <c r="F43" i="12782"/>
  <c r="E122" i="12711" l="1"/>
  <c r="E15" i="12711"/>
  <c r="E44" i="12711"/>
  <c r="E51" i="12711"/>
  <c r="E78" i="12711"/>
  <c r="E13" i="12711"/>
  <c r="E125" i="12711"/>
  <c r="E19" i="12711"/>
  <c r="E47" i="12711"/>
  <c r="E73" i="12711"/>
  <c r="E100" i="12711"/>
  <c r="E17" i="12711"/>
  <c r="E120" i="12711"/>
  <c r="E121" i="12711"/>
  <c r="E40" i="12711"/>
  <c r="E69" i="12711"/>
  <c r="E123" i="12711"/>
  <c r="E124" i="12711"/>
  <c r="E16" i="12711"/>
  <c r="E14" i="12711"/>
  <c r="E77" i="12711"/>
  <c r="E81" i="12711"/>
  <c r="E22" i="12711"/>
  <c r="E76" i="12711"/>
  <c r="E70" i="12711"/>
  <c r="E99" i="12711"/>
  <c r="E18" i="12711"/>
  <c r="E68" i="12711"/>
  <c r="E50" i="12711"/>
  <c r="E41" i="12711"/>
  <c r="E39" i="12711"/>
  <c r="H147" i="12709"/>
  <c r="B19" i="12762"/>
  <c r="M132" i="12711"/>
  <c r="H132" i="12711"/>
  <c r="F132" i="12711"/>
  <c r="I132" i="12711" s="1"/>
  <c r="F112" i="12711"/>
  <c r="I112" i="12711" s="1"/>
  <c r="F111" i="12711"/>
  <c r="I111" i="12711" s="1"/>
  <c r="M111" i="12711"/>
  <c r="M112" i="12711"/>
  <c r="F90" i="12711"/>
  <c r="H90" i="12711"/>
  <c r="M90" i="12711"/>
  <c r="F91" i="12711"/>
  <c r="H91" i="12711"/>
  <c r="M91" i="12711"/>
  <c r="M60" i="12711"/>
  <c r="M61" i="12711"/>
  <c r="H60" i="12711"/>
  <c r="H61" i="12711"/>
  <c r="F60" i="12711"/>
  <c r="F61" i="12711"/>
  <c r="M31" i="12711"/>
  <c r="M32" i="12711"/>
  <c r="H32" i="12711"/>
  <c r="H31" i="12711"/>
  <c r="F31" i="12711"/>
  <c r="F32" i="12711"/>
  <c r="I32" i="12711" s="1"/>
  <c r="N132" i="12709"/>
  <c r="L132" i="12711" s="1"/>
  <c r="N112" i="12709"/>
  <c r="L112" i="12711" s="1"/>
  <c r="N111" i="12709"/>
  <c r="L111" i="12711" s="1"/>
  <c r="N91" i="12709"/>
  <c r="L91" i="12711" s="1"/>
  <c r="N90" i="12709"/>
  <c r="L90" i="12711" s="1"/>
  <c r="N61" i="12709"/>
  <c r="L61" i="12711" s="1"/>
  <c r="N60" i="12709"/>
  <c r="L60" i="12711" s="1"/>
  <c r="N32" i="12709"/>
  <c r="L32" i="12711" s="1"/>
  <c r="N31" i="12709"/>
  <c r="L31" i="12711" s="1"/>
  <c r="I31" i="12711" l="1"/>
  <c r="I90" i="12711"/>
  <c r="I61" i="12711"/>
  <c r="I91" i="12711"/>
  <c r="I60" i="12711"/>
  <c r="F63" i="12711"/>
  <c r="K46" i="12767" l="1"/>
  <c r="J46" i="12767"/>
  <c r="I46" i="12767"/>
  <c r="K39" i="12767"/>
  <c r="J39" i="12767"/>
  <c r="I39" i="12767"/>
  <c r="K35" i="12767"/>
  <c r="J35" i="12767"/>
  <c r="I35" i="12767"/>
  <c r="K27" i="12767"/>
  <c r="J27" i="12767"/>
  <c r="I27" i="12767"/>
  <c r="K19" i="12767"/>
  <c r="J19" i="12767"/>
  <c r="I19" i="12767"/>
  <c r="I48" i="12767" l="1"/>
  <c r="J48" i="12767"/>
  <c r="K48" i="12767"/>
  <c r="L81" i="12709"/>
  <c r="L78" i="12709"/>
  <c r="L77" i="12709"/>
  <c r="L73" i="12709"/>
  <c r="L70" i="12709"/>
  <c r="L69" i="12709"/>
  <c r="L68" i="12709"/>
  <c r="L41" i="12709"/>
  <c r="L40" i="12709"/>
  <c r="L39" i="12709"/>
  <c r="L50" i="12709"/>
  <c r="L116" i="12709"/>
  <c r="L95" i="12709"/>
  <c r="L65" i="12709"/>
  <c r="L36" i="12709"/>
  <c r="Y17" i="12709" l="1"/>
  <c r="F13" i="12711" l="1"/>
  <c r="H88" i="12711" l="1"/>
  <c r="F88" i="12711"/>
  <c r="R88" i="12709"/>
  <c r="M88" i="12711" s="1"/>
  <c r="N88" i="12709"/>
  <c r="L88" i="12711" s="1"/>
  <c r="H19" i="12711"/>
  <c r="F19" i="12711"/>
  <c r="I88" i="12711" l="1"/>
  <c r="I19" i="12711"/>
  <c r="Y10" i="12709" l="1"/>
  <c r="O43" i="12767" l="1"/>
  <c r="G120" i="12709" s="1"/>
  <c r="O44" i="12767"/>
  <c r="G121" i="12709" s="1"/>
  <c r="O45" i="12767"/>
  <c r="G124" i="12709" s="1"/>
  <c r="O42" i="12767"/>
  <c r="G123" i="12709" s="1"/>
  <c r="O38" i="12767"/>
  <c r="G99" i="12709" s="1"/>
  <c r="O33" i="12767"/>
  <c r="G76" i="12709" s="1"/>
  <c r="O31" i="12767"/>
  <c r="G68" i="12709" s="1"/>
  <c r="O32" i="12767"/>
  <c r="G73" i="12709" s="1"/>
  <c r="O34" i="12767"/>
  <c r="G78" i="12709" s="1"/>
  <c r="O30" i="12767"/>
  <c r="G81" i="12709" s="1"/>
  <c r="O23" i="12767"/>
  <c r="G39" i="12709" s="1"/>
  <c r="O24" i="12767"/>
  <c r="G44" i="12709" s="1"/>
  <c r="O25" i="12767"/>
  <c r="G47" i="12709" s="1"/>
  <c r="O26" i="12767"/>
  <c r="G51" i="12709" s="1"/>
  <c r="O22" i="12767"/>
  <c r="G50" i="12709" s="1"/>
  <c r="L46" i="12767" l="1"/>
  <c r="M46" i="12767"/>
  <c r="N46" i="12767"/>
  <c r="L39" i="12767"/>
  <c r="M39" i="12767"/>
  <c r="N39" i="12767"/>
  <c r="L35" i="12767"/>
  <c r="M35" i="12767"/>
  <c r="N35" i="12767"/>
  <c r="M27" i="12767"/>
  <c r="L27" i="12767"/>
  <c r="N27" i="12767"/>
  <c r="Y7" i="12709" l="1"/>
  <c r="E20" i="12711" l="1"/>
  <c r="F134" i="12711"/>
  <c r="F131" i="12711"/>
  <c r="F130" i="12711"/>
  <c r="F128" i="12711"/>
  <c r="F125" i="12711"/>
  <c r="F124" i="12711"/>
  <c r="F123" i="12711"/>
  <c r="F122" i="12711"/>
  <c r="F121" i="12711"/>
  <c r="F120" i="12711"/>
  <c r="F114" i="12711"/>
  <c r="F109" i="12711"/>
  <c r="F108" i="12711"/>
  <c r="F107" i="12711"/>
  <c r="F106" i="12711"/>
  <c r="F105" i="12711"/>
  <c r="F103" i="12711"/>
  <c r="F100" i="12711"/>
  <c r="F99" i="12711"/>
  <c r="F93" i="12711"/>
  <c r="F89" i="12711"/>
  <c r="F87" i="12711"/>
  <c r="F86" i="12711"/>
  <c r="F84" i="12711"/>
  <c r="F81" i="12711"/>
  <c r="F78" i="12711"/>
  <c r="F77" i="12711"/>
  <c r="F76" i="12711"/>
  <c r="F73" i="12711"/>
  <c r="F70" i="12711"/>
  <c r="F69" i="12711"/>
  <c r="F68" i="12711"/>
  <c r="F59" i="12711"/>
  <c r="F58" i="12711"/>
  <c r="F57" i="12711"/>
  <c r="F56" i="12711"/>
  <c r="F54" i="12711"/>
  <c r="F51" i="12711"/>
  <c r="F50" i="12711"/>
  <c r="F47" i="12711"/>
  <c r="F44" i="12711"/>
  <c r="F41" i="12711"/>
  <c r="F40" i="12711"/>
  <c r="F39" i="12711"/>
  <c r="F34" i="12711"/>
  <c r="F30" i="12711"/>
  <c r="F29" i="12711"/>
  <c r="F28" i="12711"/>
  <c r="F27" i="12711"/>
  <c r="F25" i="12711"/>
  <c r="F22" i="12711"/>
  <c r="F18" i="12711"/>
  <c r="F17" i="12711"/>
  <c r="F16" i="12711"/>
  <c r="F15" i="12711"/>
  <c r="F14" i="12711"/>
  <c r="F20" i="12711" l="1"/>
  <c r="U74" i="12750"/>
  <c r="T74" i="12750"/>
  <c r="S74" i="12750"/>
  <c r="U73" i="12750"/>
  <c r="T73" i="12750"/>
  <c r="S73" i="12750"/>
  <c r="U72" i="12750"/>
  <c r="T72" i="12750"/>
  <c r="S72" i="12750"/>
  <c r="U71" i="12750"/>
  <c r="T71" i="12750"/>
  <c r="S71" i="12750"/>
  <c r="U70" i="12750"/>
  <c r="T70" i="12750"/>
  <c r="S70" i="12750"/>
  <c r="U69" i="12750"/>
  <c r="T69" i="12750"/>
  <c r="S69" i="12750"/>
  <c r="U68" i="12750"/>
  <c r="T68" i="12750"/>
  <c r="S68" i="12750"/>
  <c r="U67" i="12750"/>
  <c r="T67" i="12750"/>
  <c r="S67" i="12750"/>
  <c r="U66" i="12750"/>
  <c r="T66" i="12750"/>
  <c r="S66" i="12750"/>
  <c r="U65" i="12750"/>
  <c r="T65" i="12750"/>
  <c r="S65" i="12750"/>
  <c r="U64" i="12750"/>
  <c r="T64" i="12750"/>
  <c r="S64" i="12750"/>
  <c r="U63" i="12750"/>
  <c r="T63" i="12750"/>
  <c r="S63" i="12750"/>
  <c r="F39" i="12750"/>
  <c r="F57" i="12750" s="1"/>
  <c r="E39" i="12750"/>
  <c r="E57" i="12750" s="1"/>
  <c r="F38" i="12750"/>
  <c r="F56" i="12750" s="1"/>
  <c r="E38" i="12750"/>
  <c r="E56" i="12750" s="1"/>
  <c r="F37" i="12750"/>
  <c r="F55" i="12750" s="1"/>
  <c r="E37" i="12750"/>
  <c r="E55" i="12750" s="1"/>
  <c r="F36" i="12750"/>
  <c r="F54" i="12750" s="1"/>
  <c r="E36" i="12750"/>
  <c r="E54" i="12750" s="1"/>
  <c r="F35" i="12750"/>
  <c r="F53" i="12750" s="1"/>
  <c r="E35" i="12750"/>
  <c r="E53" i="12750" s="1"/>
  <c r="F34" i="12750"/>
  <c r="F52" i="12750" s="1"/>
  <c r="E34" i="12750"/>
  <c r="E52" i="12750" s="1"/>
  <c r="F33" i="12750"/>
  <c r="F51" i="12750" s="1"/>
  <c r="E33" i="12750"/>
  <c r="E51" i="12750" s="1"/>
  <c r="F32" i="12750"/>
  <c r="F50" i="12750" s="1"/>
  <c r="E32" i="12750"/>
  <c r="E50" i="12750" s="1"/>
  <c r="F31" i="12750"/>
  <c r="F49" i="12750" s="1"/>
  <c r="E31" i="12750"/>
  <c r="E49" i="12750" s="1"/>
  <c r="F30" i="12750"/>
  <c r="F48" i="12750" s="1"/>
  <c r="E30" i="12750"/>
  <c r="E48" i="12750" s="1"/>
  <c r="F29" i="12750"/>
  <c r="F47" i="12750" s="1"/>
  <c r="E29" i="12750"/>
  <c r="E47" i="12750" s="1"/>
  <c r="F28" i="12750"/>
  <c r="F46" i="12750" s="1"/>
  <c r="E28" i="12750"/>
  <c r="E46" i="12750" s="1"/>
  <c r="P122" i="12709" l="1"/>
  <c r="P100" i="12709"/>
  <c r="P81" i="12709"/>
  <c r="P78" i="12709"/>
  <c r="P77" i="12709"/>
  <c r="P73" i="12709"/>
  <c r="P70" i="12709"/>
  <c r="P69" i="12709"/>
  <c r="P68" i="12709"/>
  <c r="P50" i="12709"/>
  <c r="P41" i="12709"/>
  <c r="P40" i="12709"/>
  <c r="P39" i="12709"/>
  <c r="P17" i="12709"/>
  <c r="P16" i="12709"/>
  <c r="P15" i="12709"/>
  <c r="P14" i="12709"/>
  <c r="P116" i="12709" l="1"/>
  <c r="P95" i="12709"/>
  <c r="P65" i="12709"/>
  <c r="P36" i="12709"/>
  <c r="Y14" i="12709"/>
  <c r="A4" i="12750" l="1"/>
  <c r="A6" i="12711"/>
  <c r="B6" i="12732"/>
  <c r="O35" i="12767" l="1"/>
  <c r="O46" i="12767" l="1"/>
  <c r="O39" i="12767"/>
  <c r="O27" i="12767"/>
  <c r="F126" i="12711"/>
  <c r="F136" i="12711" s="1"/>
  <c r="F52" i="12711"/>
  <c r="F23" i="12711"/>
  <c r="F36" i="12711" s="1"/>
  <c r="F101" i="12711"/>
  <c r="F82" i="12711"/>
  <c r="F74" i="12711"/>
  <c r="F45" i="12711"/>
  <c r="E71" i="12711"/>
  <c r="E42" i="12711"/>
  <c r="E23" i="12711"/>
  <c r="E101" i="12711"/>
  <c r="E82" i="12711"/>
  <c r="E74" i="12711"/>
  <c r="E48" i="12711"/>
  <c r="E45" i="12711"/>
  <c r="F48" i="12711" l="1"/>
  <c r="F42" i="12711"/>
  <c r="F71" i="12711"/>
  <c r="F79" i="12711"/>
  <c r="E52" i="12711"/>
  <c r="E79" i="12711"/>
  <c r="E126" i="12711"/>
  <c r="F116" i="12711"/>
  <c r="F65" i="12711" l="1"/>
  <c r="F95" i="12711"/>
  <c r="J128" i="12709"/>
  <c r="J103" i="12709"/>
  <c r="J84" i="12709"/>
  <c r="J54" i="12709"/>
  <c r="J25" i="12709"/>
  <c r="F139" i="12711" l="1"/>
  <c r="E12" i="12751" l="1"/>
  <c r="F12" i="12751" l="1"/>
  <c r="G12" i="12751" s="1"/>
  <c r="G126" i="12711" l="1"/>
  <c r="G136" i="12711" s="1"/>
  <c r="H134" i="12711"/>
  <c r="I134" i="12711" s="1"/>
  <c r="H131" i="12711"/>
  <c r="H130" i="12711"/>
  <c r="I130" i="12711" s="1"/>
  <c r="H128" i="12711"/>
  <c r="I128" i="12711" s="1"/>
  <c r="H125" i="12711"/>
  <c r="H124" i="12711"/>
  <c r="I124" i="12711" s="1"/>
  <c r="H123" i="12711"/>
  <c r="H122" i="12711"/>
  <c r="H121" i="12711"/>
  <c r="H120" i="12711"/>
  <c r="I120" i="12711" s="1"/>
  <c r="G79" i="12711"/>
  <c r="G71" i="12711"/>
  <c r="G23" i="12711"/>
  <c r="G52" i="12711"/>
  <c r="H100" i="12711"/>
  <c r="I114" i="12711"/>
  <c r="I110" i="12711"/>
  <c r="I109" i="12711"/>
  <c r="I108" i="12711"/>
  <c r="I107" i="12711"/>
  <c r="I106" i="12711"/>
  <c r="I105" i="12711"/>
  <c r="I103" i="12711"/>
  <c r="H78" i="12711"/>
  <c r="I78" i="12711" s="1"/>
  <c r="H77" i="12711"/>
  <c r="H76" i="12711"/>
  <c r="H93" i="12711"/>
  <c r="I93" i="12711" s="1"/>
  <c r="H89" i="12711"/>
  <c r="I89" i="12711" s="1"/>
  <c r="H87" i="12711"/>
  <c r="H86" i="12711"/>
  <c r="H84" i="12711"/>
  <c r="I84" i="12711" s="1"/>
  <c r="H81" i="12711"/>
  <c r="H73" i="12711"/>
  <c r="H70" i="12711"/>
  <c r="H69" i="12711"/>
  <c r="H68" i="12711"/>
  <c r="I68" i="12711" s="1"/>
  <c r="H63" i="12711"/>
  <c r="H59" i="12711"/>
  <c r="H58" i="12711"/>
  <c r="H57" i="12711"/>
  <c r="H56" i="12711"/>
  <c r="H54" i="12711"/>
  <c r="H51" i="12711"/>
  <c r="H50" i="12711"/>
  <c r="H34" i="12711"/>
  <c r="H30" i="12711"/>
  <c r="H29" i="12711"/>
  <c r="H28" i="12711"/>
  <c r="H27" i="12711"/>
  <c r="H25" i="12711"/>
  <c r="H22" i="12711"/>
  <c r="H23" i="12711" s="1"/>
  <c r="H41" i="12711"/>
  <c r="H40" i="12711"/>
  <c r="H16" i="12711"/>
  <c r="I16" i="12711" s="1"/>
  <c r="H17" i="12711"/>
  <c r="I17" i="12711" s="1"/>
  <c r="H52" i="12711" l="1"/>
  <c r="G95" i="12711"/>
  <c r="H79" i="12711"/>
  <c r="H71" i="12711"/>
  <c r="I76" i="12711"/>
  <c r="H126" i="12711"/>
  <c r="H136" i="12711" s="1"/>
  <c r="I87" i="12711"/>
  <c r="I25" i="12711"/>
  <c r="I30" i="12711"/>
  <c r="I73" i="12711"/>
  <c r="I74" i="12711" s="1"/>
  <c r="I86" i="12711"/>
  <c r="I81" i="12711"/>
  <c r="I82" i="12711" s="1"/>
  <c r="I58" i="12711"/>
  <c r="I27" i="12711"/>
  <c r="I28" i="12711"/>
  <c r="I34" i="12711"/>
  <c r="I29" i="12711"/>
  <c r="I51" i="12711"/>
  <c r="I54" i="12711"/>
  <c r="I57" i="12711"/>
  <c r="I63" i="12711"/>
  <c r="I123" i="12711"/>
  <c r="I56" i="12711"/>
  <c r="I59" i="12711"/>
  <c r="I125" i="12711"/>
  <c r="I131" i="12711"/>
  <c r="I50" i="12711"/>
  <c r="I22" i="12711"/>
  <c r="I23" i="12711" s="1"/>
  <c r="I69" i="12711"/>
  <c r="I77" i="12711"/>
  <c r="I70" i="12711"/>
  <c r="I122" i="12711"/>
  <c r="I121" i="12711"/>
  <c r="I100" i="12711"/>
  <c r="I41" i="12711"/>
  <c r="I40" i="12711"/>
  <c r="H95" i="12711" l="1"/>
  <c r="I79" i="12711"/>
  <c r="I52" i="12711"/>
  <c r="I71" i="12711"/>
  <c r="I126" i="12711"/>
  <c r="I136" i="12711" s="1"/>
  <c r="I95" i="12711" l="1"/>
  <c r="B10" i="12750"/>
  <c r="M81" i="12750" l="1"/>
  <c r="M82" i="12750"/>
  <c r="M83" i="12750"/>
  <c r="M84" i="12750"/>
  <c r="M85" i="12750"/>
  <c r="M86" i="12750"/>
  <c r="M87" i="12750"/>
  <c r="M88" i="12750"/>
  <c r="M89" i="12750"/>
  <c r="M90" i="12750"/>
  <c r="M91" i="12750"/>
  <c r="M80" i="12750"/>
  <c r="O81" i="12750" l="1"/>
  <c r="O85" i="12750"/>
  <c r="O89" i="12750"/>
  <c r="N81" i="12750"/>
  <c r="N85" i="12750"/>
  <c r="N89" i="12750"/>
  <c r="O82" i="12750"/>
  <c r="O86" i="12750"/>
  <c r="O90" i="12750"/>
  <c r="N82" i="12750"/>
  <c r="N86" i="12750"/>
  <c r="N90" i="12750"/>
  <c r="O83" i="12750"/>
  <c r="O87" i="12750"/>
  <c r="O91" i="12750"/>
  <c r="N83" i="12750"/>
  <c r="N87" i="12750"/>
  <c r="N91" i="12750"/>
  <c r="O84" i="12750"/>
  <c r="O88" i="12750"/>
  <c r="O80" i="12750"/>
  <c r="N84" i="12750"/>
  <c r="N88" i="12750"/>
  <c r="N80" i="12750"/>
  <c r="B91" i="12750"/>
  <c r="B81" i="12750"/>
  <c r="B82" i="12750"/>
  <c r="B83" i="12750"/>
  <c r="B84" i="12750"/>
  <c r="B85" i="12750"/>
  <c r="B86" i="12750"/>
  <c r="B87" i="12750"/>
  <c r="B88" i="12750"/>
  <c r="B89" i="12750"/>
  <c r="B90" i="12750"/>
  <c r="B80" i="12750"/>
  <c r="R80" i="12750" l="1"/>
  <c r="R83" i="12750"/>
  <c r="R90" i="12750"/>
  <c r="R81" i="12750"/>
  <c r="R84" i="12750"/>
  <c r="R91" i="12750"/>
  <c r="R82" i="12750"/>
  <c r="R89" i="12750"/>
  <c r="R88" i="12750"/>
  <c r="R86" i="12750"/>
  <c r="R87" i="12750"/>
  <c r="R85" i="12750"/>
  <c r="C82" i="12750"/>
  <c r="C84" i="12750"/>
  <c r="C86" i="12750"/>
  <c r="C88" i="12750"/>
  <c r="C90" i="12750"/>
  <c r="D80" i="12750"/>
  <c r="D84" i="12750"/>
  <c r="D88" i="12750"/>
  <c r="C80" i="12750"/>
  <c r="C81" i="12750"/>
  <c r="C83" i="12750"/>
  <c r="C85" i="12750"/>
  <c r="C87" i="12750"/>
  <c r="C89" i="12750"/>
  <c r="C91" i="12750"/>
  <c r="D81" i="12750"/>
  <c r="D83" i="12750"/>
  <c r="D85" i="12750"/>
  <c r="D87" i="12750"/>
  <c r="D89" i="12750"/>
  <c r="D91" i="12750"/>
  <c r="D82" i="12750"/>
  <c r="D86" i="12750"/>
  <c r="D90" i="12750"/>
  <c r="B92" i="12750"/>
  <c r="G86" i="12750" l="1"/>
  <c r="G45" i="12711"/>
  <c r="H44" i="12711"/>
  <c r="G90" i="12750"/>
  <c r="G91" i="12750"/>
  <c r="G83" i="12750"/>
  <c r="G82" i="12750"/>
  <c r="G89" i="12750"/>
  <c r="G81" i="12750"/>
  <c r="G84" i="12750"/>
  <c r="G85" i="12750"/>
  <c r="G88" i="12750"/>
  <c r="G87" i="12750"/>
  <c r="G80" i="12750"/>
  <c r="H45" i="12711" l="1"/>
  <c r="I44" i="12711"/>
  <c r="I45" i="12711" s="1"/>
  <c r="G92" i="12750"/>
  <c r="B99" i="12750" l="1"/>
  <c r="B100" i="12750"/>
  <c r="D100" i="12750" s="1"/>
  <c r="B101" i="12750"/>
  <c r="B102" i="12750"/>
  <c r="B103" i="12750"/>
  <c r="B104" i="12750"/>
  <c r="B105" i="12750"/>
  <c r="B106" i="12750"/>
  <c r="B107" i="12750"/>
  <c r="B108" i="12750"/>
  <c r="B109" i="12750"/>
  <c r="B98" i="12750"/>
  <c r="B47" i="12750"/>
  <c r="B48" i="12750"/>
  <c r="B49" i="12750"/>
  <c r="B50" i="12750"/>
  <c r="B51" i="12750"/>
  <c r="B52" i="12750"/>
  <c r="B53" i="12750"/>
  <c r="B54" i="12750"/>
  <c r="B55" i="12750"/>
  <c r="B56" i="12750"/>
  <c r="B57" i="12750"/>
  <c r="B46" i="12750"/>
  <c r="B29" i="12750"/>
  <c r="B30" i="12750"/>
  <c r="B31" i="12750"/>
  <c r="B32" i="12750"/>
  <c r="B33" i="12750"/>
  <c r="B34" i="12750"/>
  <c r="B35" i="12750"/>
  <c r="B36" i="12750"/>
  <c r="B37" i="12750"/>
  <c r="B38" i="12750"/>
  <c r="B39" i="12750"/>
  <c r="B28" i="12750"/>
  <c r="B11" i="12750" l="1"/>
  <c r="B12" i="12750"/>
  <c r="B13" i="12750"/>
  <c r="B14" i="12750"/>
  <c r="B15" i="12750"/>
  <c r="B16" i="12750"/>
  <c r="B17" i="12750"/>
  <c r="B18" i="12750"/>
  <c r="B19" i="12750"/>
  <c r="B20" i="12750"/>
  <c r="B21" i="12750"/>
  <c r="D99" i="12750" l="1"/>
  <c r="D101" i="12750"/>
  <c r="D102" i="12750"/>
  <c r="D103" i="12750"/>
  <c r="D104" i="12750"/>
  <c r="D105" i="12750"/>
  <c r="D106" i="12750"/>
  <c r="D107" i="12750"/>
  <c r="D108" i="12750"/>
  <c r="D98" i="12750"/>
  <c r="D109" i="12750"/>
  <c r="E26" i="12751"/>
  <c r="E25" i="12751"/>
  <c r="E23" i="12751"/>
  <c r="T79" i="12750" l="1"/>
  <c r="O92" i="12750" l="1"/>
  <c r="N92" i="12750"/>
  <c r="C92" i="12750"/>
  <c r="D92" i="12750"/>
  <c r="R92" i="12750" l="1"/>
  <c r="C18" i="12763"/>
  <c r="F18" i="12763" s="1"/>
  <c r="C49" i="12763" l="1"/>
  <c r="F49" i="12763" s="1"/>
  <c r="C48" i="12763" l="1"/>
  <c r="F48" i="12763" s="1"/>
  <c r="C47" i="12763"/>
  <c r="F47" i="12763" s="1"/>
  <c r="C46" i="12763"/>
  <c r="F46" i="12763" s="1"/>
  <c r="C45" i="12763"/>
  <c r="F45" i="12763" s="1"/>
  <c r="C44" i="12763"/>
  <c r="F44" i="12763" s="1"/>
  <c r="C43" i="12763"/>
  <c r="C39" i="12763"/>
  <c r="C38" i="12763"/>
  <c r="C37" i="12763"/>
  <c r="C36" i="12763"/>
  <c r="C35" i="12763"/>
  <c r="C34" i="12763"/>
  <c r="F34" i="12763" s="1"/>
  <c r="C30" i="12763"/>
  <c r="C29" i="12763"/>
  <c r="F29" i="12763" s="1"/>
  <c r="C25" i="12763"/>
  <c r="C24" i="12763"/>
  <c r="C23" i="12763"/>
  <c r="C22" i="12763"/>
  <c r="C21" i="12763"/>
  <c r="C20" i="12763"/>
  <c r="C19" i="12763"/>
  <c r="C14" i="12763"/>
  <c r="F14" i="12763" s="1"/>
  <c r="C13" i="12763"/>
  <c r="F13" i="12763" s="1"/>
  <c r="C12" i="12763"/>
  <c r="C11" i="12763"/>
  <c r="C10" i="12763"/>
  <c r="F10" i="12763" s="1"/>
  <c r="C9" i="12763"/>
  <c r="F9" i="12763" s="1"/>
  <c r="C8" i="12763"/>
  <c r="F8" i="12763" s="1"/>
  <c r="A4" i="12763"/>
  <c r="A3" i="12763"/>
  <c r="A2" i="12763"/>
  <c r="F11" i="12763" l="1"/>
  <c r="F43" i="12763"/>
  <c r="C50" i="12763"/>
  <c r="F12" i="12763"/>
  <c r="F36" i="12763"/>
  <c r="F38" i="12763"/>
  <c r="F35" i="12763"/>
  <c r="F37" i="12763"/>
  <c r="F30" i="12763"/>
  <c r="F19" i="12763"/>
  <c r="F21" i="12763"/>
  <c r="F23" i="12763"/>
  <c r="F25" i="12763"/>
  <c r="F20" i="12763"/>
  <c r="F22" i="12763"/>
  <c r="F24" i="12763"/>
  <c r="C31" i="12763"/>
  <c r="C15" i="12763"/>
  <c r="C40" i="12763"/>
  <c r="C26" i="12763"/>
  <c r="F52" i="12763" l="1"/>
  <c r="C52" i="12763"/>
  <c r="F54" i="12763" l="1"/>
  <c r="C12" i="12750"/>
  <c r="B40" i="12750"/>
  <c r="H14" i="12711" s="1"/>
  <c r="I14" i="12711" s="1"/>
  <c r="F27" i="12751"/>
  <c r="G26" i="12751"/>
  <c r="G25" i="12751"/>
  <c r="G24" i="12751"/>
  <c r="G23" i="12751"/>
  <c r="G22" i="12751"/>
  <c r="K128" i="12711"/>
  <c r="K134" i="12711"/>
  <c r="I126" i="12709"/>
  <c r="I136" i="12709" s="1"/>
  <c r="K103" i="12711"/>
  <c r="K114" i="12711"/>
  <c r="K84" i="12711"/>
  <c r="K93" i="12711"/>
  <c r="I71" i="12709"/>
  <c r="I74" i="12709"/>
  <c r="I79" i="12709"/>
  <c r="I82" i="12709"/>
  <c r="K54" i="12711"/>
  <c r="K63" i="12711"/>
  <c r="I48" i="12709"/>
  <c r="I52" i="12709"/>
  <c r="K25" i="12711"/>
  <c r="K34" i="12711"/>
  <c r="I23" i="12709"/>
  <c r="C16" i="12750"/>
  <c r="B22" i="12750"/>
  <c r="B58" i="12750"/>
  <c r="H15" i="12711" s="1"/>
  <c r="I15" i="12711" s="1"/>
  <c r="B110" i="12750"/>
  <c r="B18" i="12751"/>
  <c r="A2" i="12761"/>
  <c r="A3" i="12761"/>
  <c r="A4" i="12761"/>
  <c r="E7" i="12761"/>
  <c r="F7" i="12761" s="1"/>
  <c r="G7" i="12761" s="1"/>
  <c r="H7" i="12761" s="1"/>
  <c r="J7" i="12761"/>
  <c r="K7" i="12761" s="1"/>
  <c r="L7" i="12761" s="1"/>
  <c r="M7" i="12761" s="1"/>
  <c r="N7" i="12761" s="1"/>
  <c r="O8" i="12761"/>
  <c r="R8" i="12761" s="1"/>
  <c r="O9" i="12761"/>
  <c r="R9" i="12761" s="1"/>
  <c r="O10" i="12761"/>
  <c r="R10" i="12761" s="1"/>
  <c r="O11" i="12761"/>
  <c r="R11" i="12761" s="1"/>
  <c r="O12" i="12761"/>
  <c r="R12" i="12761" s="1"/>
  <c r="O13" i="12761"/>
  <c r="R13" i="12761" s="1"/>
  <c r="O14" i="12761"/>
  <c r="R14" i="12761" s="1"/>
  <c r="O15" i="12761"/>
  <c r="R15" i="12761" s="1"/>
  <c r="O16" i="12761"/>
  <c r="O17" i="12761"/>
  <c r="O18" i="12761"/>
  <c r="O19" i="12761"/>
  <c r="O20" i="12761"/>
  <c r="O21" i="12761"/>
  <c r="O22" i="12761"/>
  <c r="O23" i="12761"/>
  <c r="O24" i="12761"/>
  <c r="R24" i="12761" s="1"/>
  <c r="O25" i="12761"/>
  <c r="R25" i="12761" s="1"/>
  <c r="O26" i="12761"/>
  <c r="R26" i="12761" s="1"/>
  <c r="O27" i="12761"/>
  <c r="R27" i="12761" s="1"/>
  <c r="O28" i="12761"/>
  <c r="O29" i="12761"/>
  <c r="O30" i="12761"/>
  <c r="O31" i="12761"/>
  <c r="C33" i="12761"/>
  <c r="D33" i="12761"/>
  <c r="E33" i="12761"/>
  <c r="F33" i="12761"/>
  <c r="G33" i="12761"/>
  <c r="H33" i="12761"/>
  <c r="I33" i="12761"/>
  <c r="J33" i="12761"/>
  <c r="K33" i="12761"/>
  <c r="L33" i="12761"/>
  <c r="M33" i="12761"/>
  <c r="N33" i="12761"/>
  <c r="E35" i="12761"/>
  <c r="F35" i="12761" s="1"/>
  <c r="G35" i="12761" s="1"/>
  <c r="H35" i="12761" s="1"/>
  <c r="J35" i="12761"/>
  <c r="K35" i="12761" s="1"/>
  <c r="L35" i="12761" s="1"/>
  <c r="M35" i="12761" s="1"/>
  <c r="N35" i="12761" s="1"/>
  <c r="O36" i="12761"/>
  <c r="R36" i="12761" s="1"/>
  <c r="O37" i="12761"/>
  <c r="R37" i="12761" s="1"/>
  <c r="O38" i="12761"/>
  <c r="R38" i="12761" s="1"/>
  <c r="O39" i="12761"/>
  <c r="R39" i="12761" s="1"/>
  <c r="O40" i="12761"/>
  <c r="R40" i="12761" s="1"/>
  <c r="O41" i="12761"/>
  <c r="R41" i="12761" s="1"/>
  <c r="O42" i="12761"/>
  <c r="R42" i="12761" s="1"/>
  <c r="O43" i="12761"/>
  <c r="R43" i="12761" s="1"/>
  <c r="O44" i="12761"/>
  <c r="R44" i="12761" s="1"/>
  <c r="O45" i="12761"/>
  <c r="O46" i="12761"/>
  <c r="R46" i="12761" s="1"/>
  <c r="O47" i="12761"/>
  <c r="R47" i="12761" s="1"/>
  <c r="O48" i="12761"/>
  <c r="R48" i="12761" s="1"/>
  <c r="C54" i="12761"/>
  <c r="D54" i="12761"/>
  <c r="E54" i="12761"/>
  <c r="F54" i="12761"/>
  <c r="G54" i="12761"/>
  <c r="H54" i="12761"/>
  <c r="I54" i="12761"/>
  <c r="J54" i="12761"/>
  <c r="K54" i="12761"/>
  <c r="L54" i="12761"/>
  <c r="M54" i="12761"/>
  <c r="N54" i="12761"/>
  <c r="E56" i="12761"/>
  <c r="F56" i="12761" s="1"/>
  <c r="G56" i="12761" s="1"/>
  <c r="H56" i="12761" s="1"/>
  <c r="J56" i="12761"/>
  <c r="K56" i="12761" s="1"/>
  <c r="L56" i="12761" s="1"/>
  <c r="M56" i="12761" s="1"/>
  <c r="N56" i="12761" s="1"/>
  <c r="O57" i="12761"/>
  <c r="R57" i="12761" s="1"/>
  <c r="O58" i="12761"/>
  <c r="R58" i="12761" s="1"/>
  <c r="O59" i="12761"/>
  <c r="O60" i="12761"/>
  <c r="O61" i="12761"/>
  <c r="O62" i="12761"/>
  <c r="O63" i="12761"/>
  <c r="O64" i="12761"/>
  <c r="O65" i="12761"/>
  <c r="O66" i="12761"/>
  <c r="O67" i="12761"/>
  <c r="O68" i="12761"/>
  <c r="C69" i="12761"/>
  <c r="G69" i="12761" s="1"/>
  <c r="E71" i="12761"/>
  <c r="F71" i="12761" s="1"/>
  <c r="G71" i="12761" s="1"/>
  <c r="H71" i="12761" s="1"/>
  <c r="J71" i="12761"/>
  <c r="K71" i="12761" s="1"/>
  <c r="L71" i="12761" s="1"/>
  <c r="M71" i="12761" s="1"/>
  <c r="N71" i="12761" s="1"/>
  <c r="O72" i="12761"/>
  <c r="O81" i="12761" s="1"/>
  <c r="O73" i="12761"/>
  <c r="R73" i="12761"/>
  <c r="O74" i="12761"/>
  <c r="R74" i="12761"/>
  <c r="O75" i="12761"/>
  <c r="R75" i="12761" s="1"/>
  <c r="O76" i="12761"/>
  <c r="R76" i="12761"/>
  <c r="O77" i="12761"/>
  <c r="R77" i="12761"/>
  <c r="C81" i="12761"/>
  <c r="D81" i="12761"/>
  <c r="E81" i="12761"/>
  <c r="F81" i="12761"/>
  <c r="G81" i="12761"/>
  <c r="H81" i="12761"/>
  <c r="I81" i="12761"/>
  <c r="J81" i="12761"/>
  <c r="K81" i="12761"/>
  <c r="L81" i="12761"/>
  <c r="M81" i="12761"/>
  <c r="N81" i="12761"/>
  <c r="E83" i="12761"/>
  <c r="F83" i="12761" s="1"/>
  <c r="G83" i="12761" s="1"/>
  <c r="H83" i="12761" s="1"/>
  <c r="J83" i="12761"/>
  <c r="K83" i="12761" s="1"/>
  <c r="L83" i="12761" s="1"/>
  <c r="M83" i="12761" s="1"/>
  <c r="N83" i="12761" s="1"/>
  <c r="O84" i="12761"/>
  <c r="O85" i="12761"/>
  <c r="O86" i="12761"/>
  <c r="O87" i="12761"/>
  <c r="R87" i="12761" s="1"/>
  <c r="O88" i="12761"/>
  <c r="R88" i="12761" s="1"/>
  <c r="O89" i="12761"/>
  <c r="R89" i="12761" s="1"/>
  <c r="O90" i="12761"/>
  <c r="R90" i="12761" s="1"/>
  <c r="O91" i="12761"/>
  <c r="O92" i="12761"/>
  <c r="O93" i="12761"/>
  <c r="O94" i="12761"/>
  <c r="O95" i="12761"/>
  <c r="C97" i="12761"/>
  <c r="D97" i="12761"/>
  <c r="E97" i="12761"/>
  <c r="F97" i="12761"/>
  <c r="G97" i="12761"/>
  <c r="H97" i="12761"/>
  <c r="I97" i="12761"/>
  <c r="J97" i="12761"/>
  <c r="K97" i="12761"/>
  <c r="L97" i="12761"/>
  <c r="M97" i="12761"/>
  <c r="N97" i="12761"/>
  <c r="F23" i="12732"/>
  <c r="F24" i="12732"/>
  <c r="G45" i="12709"/>
  <c r="E27" i="12751"/>
  <c r="O54" i="12761" l="1"/>
  <c r="G101" i="12711"/>
  <c r="G116" i="12711" s="1"/>
  <c r="H99" i="12711"/>
  <c r="H13" i="12711"/>
  <c r="D19" i="12732"/>
  <c r="G27" i="12751"/>
  <c r="D12" i="12750"/>
  <c r="G12" i="12750" s="1"/>
  <c r="C20" i="12750"/>
  <c r="C19" i="12750"/>
  <c r="C11" i="12750"/>
  <c r="C15" i="12750"/>
  <c r="B65" i="12750"/>
  <c r="B70" i="12750"/>
  <c r="B63" i="12750"/>
  <c r="O63" i="12750"/>
  <c r="O67" i="12750"/>
  <c r="O72" i="12750"/>
  <c r="B67" i="12750"/>
  <c r="O70" i="12750"/>
  <c r="O64" i="12750"/>
  <c r="B71" i="12750"/>
  <c r="O74" i="12750"/>
  <c r="O73" i="12750"/>
  <c r="B69" i="12750"/>
  <c r="B74" i="12750"/>
  <c r="B64" i="12750"/>
  <c r="O66" i="12750"/>
  <c r="O71" i="12750"/>
  <c r="O65" i="12750"/>
  <c r="B73" i="12750"/>
  <c r="B68" i="12750"/>
  <c r="O69" i="12750"/>
  <c r="B66" i="12750"/>
  <c r="B72" i="12750"/>
  <c r="O68" i="12750"/>
  <c r="C21" i="12750"/>
  <c r="C17" i="12750"/>
  <c r="D13" i="12750"/>
  <c r="C18" i="12750"/>
  <c r="C14" i="12750"/>
  <c r="E20" i="12732"/>
  <c r="I95" i="12709"/>
  <c r="E18" i="12733" s="1"/>
  <c r="O97" i="12761"/>
  <c r="O69" i="12761"/>
  <c r="O33" i="12761"/>
  <c r="B119" i="12750"/>
  <c r="D50" i="12750"/>
  <c r="C54" i="12750"/>
  <c r="C50" i="12750"/>
  <c r="D57" i="12750"/>
  <c r="D55" i="12750"/>
  <c r="D53" i="12750"/>
  <c r="D51" i="12750"/>
  <c r="D49" i="12750"/>
  <c r="D47" i="12750"/>
  <c r="C57" i="12750"/>
  <c r="C55" i="12750"/>
  <c r="C53" i="12750"/>
  <c r="C51" i="12750"/>
  <c r="C49" i="12750"/>
  <c r="C47" i="12750"/>
  <c r="D56" i="12750"/>
  <c r="D54" i="12750"/>
  <c r="D52" i="12750"/>
  <c r="D48" i="12750"/>
  <c r="D46" i="12750"/>
  <c r="C56" i="12750"/>
  <c r="C52" i="12750"/>
  <c r="C48" i="12750"/>
  <c r="G48" i="12750" s="1"/>
  <c r="C46" i="12750"/>
  <c r="D38" i="12750"/>
  <c r="D34" i="12750"/>
  <c r="D30" i="12750"/>
  <c r="C38" i="12750"/>
  <c r="C34" i="12750"/>
  <c r="C30" i="12750"/>
  <c r="D39" i="12750"/>
  <c r="D37" i="12750"/>
  <c r="D35" i="12750"/>
  <c r="D33" i="12750"/>
  <c r="D31" i="12750"/>
  <c r="D29" i="12750"/>
  <c r="C39" i="12750"/>
  <c r="C37" i="12750"/>
  <c r="C35" i="12750"/>
  <c r="C33" i="12750"/>
  <c r="C31" i="12750"/>
  <c r="C29" i="12750"/>
  <c r="D36" i="12750"/>
  <c r="D32" i="12750"/>
  <c r="D28" i="12750"/>
  <c r="C36" i="12750"/>
  <c r="C32" i="12750"/>
  <c r="C28" i="12750"/>
  <c r="D21" i="12750"/>
  <c r="D20" i="12750"/>
  <c r="D19" i="12750"/>
  <c r="D18" i="12750"/>
  <c r="D17" i="12750"/>
  <c r="D16" i="12750"/>
  <c r="G16" i="12750" s="1"/>
  <c r="D15" i="12750"/>
  <c r="D14" i="12750"/>
  <c r="C13" i="12750"/>
  <c r="D11" i="12750"/>
  <c r="D10" i="12750"/>
  <c r="C10" i="12750"/>
  <c r="E20" i="12733"/>
  <c r="E18" i="12732"/>
  <c r="G48" i="12709"/>
  <c r="O99" i="12761"/>
  <c r="D110" i="12750"/>
  <c r="R86" i="12761"/>
  <c r="R97" i="12761" s="1"/>
  <c r="G126" i="12709"/>
  <c r="G74" i="12709"/>
  <c r="G82" i="12709"/>
  <c r="G79" i="12709"/>
  <c r="G101" i="12709"/>
  <c r="G42" i="12709"/>
  <c r="G52" i="12709"/>
  <c r="G52" i="12750" l="1"/>
  <c r="I13" i="12711"/>
  <c r="H101" i="12711"/>
  <c r="H116" i="12711" s="1"/>
  <c r="I99" i="12711"/>
  <c r="I101" i="12711" s="1"/>
  <c r="I116" i="12711" s="1"/>
  <c r="I101" i="12709"/>
  <c r="I116" i="12709" s="1"/>
  <c r="E19" i="12733" s="1"/>
  <c r="G15" i="12750"/>
  <c r="G11" i="12750"/>
  <c r="D20" i="12732"/>
  <c r="F20" i="12732" s="1"/>
  <c r="C11" i="12751" s="1"/>
  <c r="D16" i="12732"/>
  <c r="D18" i="12732"/>
  <c r="F18" i="12732" s="1"/>
  <c r="C9" i="12751" s="1"/>
  <c r="G17" i="12750"/>
  <c r="G14" i="12750"/>
  <c r="G20" i="12750"/>
  <c r="G18" i="12750"/>
  <c r="G19" i="12750"/>
  <c r="G21" i="12750"/>
  <c r="M92" i="12750"/>
  <c r="G36" i="12750"/>
  <c r="D40" i="12750"/>
  <c r="G13" i="12750"/>
  <c r="G33" i="12750"/>
  <c r="G37" i="12750"/>
  <c r="G53" i="12750"/>
  <c r="G57" i="12750"/>
  <c r="G39" i="12750"/>
  <c r="G47" i="12750"/>
  <c r="G55" i="12750"/>
  <c r="G50" i="12750"/>
  <c r="C40" i="12750"/>
  <c r="G38" i="12750"/>
  <c r="G35" i="12750"/>
  <c r="G32" i="12750"/>
  <c r="C72" i="12750"/>
  <c r="E72" i="12750"/>
  <c r="D72" i="12750"/>
  <c r="C68" i="12750"/>
  <c r="E68" i="12750"/>
  <c r="D68" i="12750"/>
  <c r="E67" i="12750"/>
  <c r="D67" i="12750"/>
  <c r="C67" i="12750"/>
  <c r="R72" i="12750"/>
  <c r="P72" i="12750"/>
  <c r="Q72" i="12750"/>
  <c r="Q74" i="12750"/>
  <c r="R74" i="12750"/>
  <c r="P74" i="12750"/>
  <c r="R71" i="12750"/>
  <c r="P71" i="12750"/>
  <c r="Q71" i="12750"/>
  <c r="E74" i="12750"/>
  <c r="C74" i="12750"/>
  <c r="D74" i="12750"/>
  <c r="E63" i="12750"/>
  <c r="D63" i="12750"/>
  <c r="B75" i="12750"/>
  <c r="C63" i="12750"/>
  <c r="D71" i="12750"/>
  <c r="C71" i="12750"/>
  <c r="E71" i="12750"/>
  <c r="G29" i="12750"/>
  <c r="G49" i="12750"/>
  <c r="D73" i="12750"/>
  <c r="C73" i="12750"/>
  <c r="E73" i="12750"/>
  <c r="D69" i="12750"/>
  <c r="C69" i="12750"/>
  <c r="E69" i="12750"/>
  <c r="Q70" i="12750"/>
  <c r="P70" i="12750"/>
  <c r="R70" i="12750"/>
  <c r="Q68" i="12750"/>
  <c r="R68" i="12750"/>
  <c r="P68" i="12750"/>
  <c r="Q66" i="12750"/>
  <c r="P66" i="12750"/>
  <c r="R66" i="12750"/>
  <c r="R67" i="12750"/>
  <c r="P67" i="12750"/>
  <c r="Q67" i="12750"/>
  <c r="E66" i="12750"/>
  <c r="C66" i="12750"/>
  <c r="D66" i="12750"/>
  <c r="P65" i="12750"/>
  <c r="Q65" i="12750"/>
  <c r="R65" i="12750"/>
  <c r="G31" i="12750"/>
  <c r="G34" i="12750"/>
  <c r="G51" i="12750"/>
  <c r="E70" i="12750"/>
  <c r="D70" i="12750"/>
  <c r="C70" i="12750"/>
  <c r="D65" i="12750"/>
  <c r="E65" i="12750"/>
  <c r="C65" i="12750"/>
  <c r="C64" i="12750"/>
  <c r="E64" i="12750"/>
  <c r="D64" i="12750"/>
  <c r="P69" i="12750"/>
  <c r="Q69" i="12750"/>
  <c r="R69" i="12750"/>
  <c r="Q64" i="12750"/>
  <c r="R64" i="12750"/>
  <c r="P64" i="12750"/>
  <c r="P73" i="12750"/>
  <c r="R73" i="12750"/>
  <c r="Q73" i="12750"/>
  <c r="C119" i="12750"/>
  <c r="G56" i="12750"/>
  <c r="D22" i="12750"/>
  <c r="G28" i="12750"/>
  <c r="G30" i="12750"/>
  <c r="G10" i="12750"/>
  <c r="C22" i="12750"/>
  <c r="G46" i="12750"/>
  <c r="C58" i="12750"/>
  <c r="D58" i="12750"/>
  <c r="G54" i="12750"/>
  <c r="G71" i="12709"/>
  <c r="I45" i="12709"/>
  <c r="D17" i="12732"/>
  <c r="H39" i="12711" l="1"/>
  <c r="G42" i="12711"/>
  <c r="H47" i="12711"/>
  <c r="G48" i="12711"/>
  <c r="B117" i="12750"/>
  <c r="C26" i="12751"/>
  <c r="L26" i="12751" s="1"/>
  <c r="L11" i="12751"/>
  <c r="C24" i="12751"/>
  <c r="I24" i="12751" s="1"/>
  <c r="G22" i="12750"/>
  <c r="I65" i="12750"/>
  <c r="I73" i="12750"/>
  <c r="V64" i="12750"/>
  <c r="I64" i="12750"/>
  <c r="I70" i="12750"/>
  <c r="I66" i="12750"/>
  <c r="I63" i="12750"/>
  <c r="I74" i="12750"/>
  <c r="V74" i="12750"/>
  <c r="V72" i="12750"/>
  <c r="G40" i="12750"/>
  <c r="V69" i="12750"/>
  <c r="V65" i="12750"/>
  <c r="V66" i="12750"/>
  <c r="V67" i="12750"/>
  <c r="I69" i="12750"/>
  <c r="I71" i="12750"/>
  <c r="V71" i="12750"/>
  <c r="I67" i="12750"/>
  <c r="I72" i="12750"/>
  <c r="V73" i="12750"/>
  <c r="V68" i="12750"/>
  <c r="V70" i="12750"/>
  <c r="E19" i="12732"/>
  <c r="F19" i="12732" s="1"/>
  <c r="I68" i="12750"/>
  <c r="G58" i="12750"/>
  <c r="C54" i="12763"/>
  <c r="D21" i="12732"/>
  <c r="D25" i="12732" s="1"/>
  <c r="I9" i="12751" l="1"/>
  <c r="G65" i="12711"/>
  <c r="I47" i="12711"/>
  <c r="I48" i="12711" s="1"/>
  <c r="H48" i="12711"/>
  <c r="H42" i="12711"/>
  <c r="I39" i="12711"/>
  <c r="I42" i="12711" s="1"/>
  <c r="L24" i="12751"/>
  <c r="C25" i="12751"/>
  <c r="L25" i="12751" s="1"/>
  <c r="C10" i="12751"/>
  <c r="I11" i="12751"/>
  <c r="I26" i="12751"/>
  <c r="L9" i="12751"/>
  <c r="I65" i="12711" l="1"/>
  <c r="H65" i="12711"/>
  <c r="I25" i="12751"/>
  <c r="L10" i="12751"/>
  <c r="I10" i="12751"/>
  <c r="C75" i="12750" l="1"/>
  <c r="E75" i="12750"/>
  <c r="R63" i="12750"/>
  <c r="R75" i="12750" s="1"/>
  <c r="Q63" i="12750"/>
  <c r="Q75" i="12750" s="1"/>
  <c r="I75" i="12750"/>
  <c r="C117" i="12750" s="1"/>
  <c r="D75" i="12750"/>
  <c r="O75" i="12750"/>
  <c r="G20" i="12711" s="1"/>
  <c r="P63" i="12750"/>
  <c r="H18" i="12711" l="1"/>
  <c r="H20" i="12711" s="1"/>
  <c r="G36" i="12711"/>
  <c r="G139" i="12711" s="1"/>
  <c r="B115" i="12750"/>
  <c r="D115" i="12750" s="1"/>
  <c r="P75" i="12750"/>
  <c r="V63" i="12750"/>
  <c r="V75" i="12750" s="1"/>
  <c r="I18" i="12711" l="1"/>
  <c r="H36" i="12711"/>
  <c r="H139" i="12711" s="1"/>
  <c r="C115" i="12750"/>
  <c r="E115" i="12750" s="1"/>
  <c r="I20" i="12711" l="1"/>
  <c r="I36" i="12711" s="1"/>
  <c r="I139" i="12711" s="1"/>
  <c r="I20" i="12709"/>
  <c r="E16" i="12732"/>
  <c r="F16" i="12732" s="1"/>
  <c r="E17" i="12732"/>
  <c r="I42" i="12709"/>
  <c r="I65" i="12709" s="1"/>
  <c r="I36" i="12709" l="1"/>
  <c r="E16" i="12733" s="1"/>
  <c r="C22" i="12751"/>
  <c r="L22" i="12751" s="1"/>
  <c r="C7" i="12751"/>
  <c r="E21" i="12732"/>
  <c r="E25" i="12732" s="1"/>
  <c r="F17" i="12732"/>
  <c r="C8" i="12751" s="1"/>
  <c r="E17" i="12733"/>
  <c r="E21" i="12733" l="1"/>
  <c r="E25" i="12733" s="1"/>
  <c r="I139" i="12709"/>
  <c r="I22" i="12751"/>
  <c r="I7" i="12751"/>
  <c r="L7" i="12751"/>
  <c r="F21" i="12732"/>
  <c r="F25" i="12732" s="1"/>
  <c r="C23" i="12751"/>
  <c r="L23" i="12751" l="1"/>
  <c r="C27" i="12751"/>
  <c r="L27" i="12751" s="1"/>
  <c r="I23" i="12751"/>
  <c r="I27" i="12751" s="1"/>
  <c r="L8" i="12751" l="1"/>
  <c r="C12" i="12751"/>
  <c r="I8" i="12751"/>
  <c r="L12" i="12751" l="1"/>
  <c r="I12" i="12751"/>
  <c r="O13" i="12767" l="1"/>
  <c r="G22" i="12709" s="1"/>
  <c r="O14" i="12767"/>
  <c r="G13" i="12709" s="1"/>
  <c r="O15" i="12767"/>
  <c r="G14" i="12709" s="1"/>
  <c r="O16" i="12767"/>
  <c r="G15" i="12709" s="1"/>
  <c r="O17" i="12767"/>
  <c r="G18" i="12709" s="1"/>
  <c r="O18" i="12767"/>
  <c r="G19" i="12709" s="1"/>
  <c r="L19" i="12767"/>
  <c r="M19" i="12767"/>
  <c r="M48" i="12767" s="1"/>
  <c r="N19" i="12767"/>
  <c r="N48" i="12767" s="1"/>
  <c r="O19" i="12767" l="1"/>
  <c r="G20" i="12709"/>
  <c r="G23" i="12709"/>
  <c r="L48" i="12767"/>
  <c r="R130" i="12709"/>
  <c r="M130" i="12711" s="1"/>
  <c r="R56" i="12709"/>
  <c r="M56" i="12711" s="1"/>
  <c r="R105" i="12709"/>
  <c r="M105" i="12711" s="1"/>
  <c r="R57" i="12709"/>
  <c r="M57" i="12711" s="1"/>
  <c r="R58" i="12709"/>
  <c r="M58" i="12711" s="1"/>
  <c r="R30" i="12709"/>
  <c r="M30" i="12711" s="1"/>
  <c r="N105" i="12709"/>
  <c r="L105" i="12711" s="1"/>
  <c r="R89" i="12709"/>
  <c r="M89" i="12711" s="1"/>
  <c r="N58" i="12709"/>
  <c r="L58" i="12711" s="1"/>
  <c r="R86" i="12709"/>
  <c r="M86" i="12711" s="1"/>
  <c r="R27" i="12709"/>
  <c r="M27" i="12711" s="1"/>
  <c r="R87" i="12709"/>
  <c r="M87" i="12711" s="1"/>
  <c r="R108" i="12709"/>
  <c r="M108" i="12711" s="1"/>
  <c r="R110" i="12709"/>
  <c r="M110" i="12711" s="1"/>
  <c r="N56" i="12709"/>
  <c r="L56" i="12711" s="1"/>
  <c r="N57" i="12709"/>
  <c r="L57" i="12711" s="1"/>
  <c r="R107" i="12709"/>
  <c r="M107" i="12711" s="1"/>
  <c r="R109" i="12709"/>
  <c r="M109" i="12711" s="1"/>
  <c r="R59" i="12709"/>
  <c r="M59" i="12711" s="1"/>
  <c r="N130" i="12709"/>
  <c r="L130" i="12711" s="1"/>
  <c r="N30" i="12709"/>
  <c r="L30" i="12711" s="1"/>
  <c r="R106" i="12709"/>
  <c r="M106" i="12711" s="1"/>
  <c r="N59" i="12709"/>
  <c r="L59" i="12711" s="1"/>
  <c r="N89" i="12709"/>
  <c r="L89" i="12711" s="1"/>
  <c r="N106" i="12709"/>
  <c r="L106" i="12711" s="1"/>
  <c r="N110" i="12709"/>
  <c r="L110" i="12711" s="1"/>
  <c r="R103" i="12709"/>
  <c r="M103" i="12711" s="1"/>
  <c r="R84" i="12709"/>
  <c r="M84" i="12711" s="1"/>
  <c r="R131" i="12709"/>
  <c r="M131" i="12711" s="1"/>
  <c r="R25" i="12709"/>
  <c r="M25" i="12711" s="1"/>
  <c r="N87" i="12709"/>
  <c r="L87" i="12711" s="1"/>
  <c r="R54" i="12709"/>
  <c r="M54" i="12711" s="1"/>
  <c r="N107" i="12709"/>
  <c r="L107" i="12711" s="1"/>
  <c r="R114" i="12709"/>
  <c r="M114" i="12711" s="1"/>
  <c r="R134" i="12709"/>
  <c r="M134" i="12711" s="1"/>
  <c r="R34" i="12709"/>
  <c r="M34" i="12711" s="1"/>
  <c r="N108" i="12709"/>
  <c r="L108" i="12711" s="1"/>
  <c r="N27" i="12709"/>
  <c r="L27" i="12711" s="1"/>
  <c r="N109" i="12709"/>
  <c r="L109" i="12711" s="1"/>
  <c r="N86" i="12709"/>
  <c r="L86" i="12711" s="1"/>
  <c r="R63" i="12709"/>
  <c r="M63" i="12711" s="1"/>
  <c r="R128" i="12709"/>
  <c r="M128" i="12711" s="1"/>
  <c r="R93" i="12709"/>
  <c r="M93" i="12711" s="1"/>
  <c r="N54" i="12709"/>
  <c r="L54" i="12711" s="1"/>
  <c r="N63" i="12709"/>
  <c r="N93" i="12709"/>
  <c r="N25" i="12709"/>
  <c r="N34" i="12709"/>
  <c r="N128" i="12709"/>
  <c r="L128" i="12711" s="1"/>
  <c r="N131" i="12709"/>
  <c r="L131" i="12711" s="1"/>
  <c r="N114" i="12709"/>
  <c r="N103" i="12709"/>
  <c r="N134" i="12709"/>
  <c r="N84" i="12709"/>
  <c r="L84" i="12711" s="1"/>
  <c r="R29" i="12709"/>
  <c r="M29" i="12711" s="1"/>
  <c r="R28" i="12709"/>
  <c r="M28" i="12711" s="1"/>
  <c r="N29" i="12709"/>
  <c r="L29" i="12711" s="1"/>
  <c r="N28" i="12709"/>
  <c r="L28" i="12711" s="1"/>
  <c r="B14" i="12762"/>
  <c r="B6" i="12762"/>
  <c r="B8" i="12762"/>
  <c r="B13" i="12762"/>
  <c r="B7" i="12762"/>
  <c r="B9" i="12762"/>
  <c r="B5" i="12762"/>
  <c r="B15" i="12762"/>
  <c r="B16" i="12762"/>
  <c r="B17" i="12762"/>
  <c r="H73" i="12709"/>
  <c r="H74" i="12709" s="1"/>
  <c r="H76" i="12709"/>
  <c r="K76" i="12711" s="1"/>
  <c r="H47" i="12709"/>
  <c r="H48" i="12709" s="1"/>
  <c r="B4" i="12762"/>
  <c r="H82" i="12709"/>
  <c r="H15" i="12709"/>
  <c r="H69" i="12709"/>
  <c r="E61" i="12709"/>
  <c r="E73" i="12709"/>
  <c r="E22" i="12709"/>
  <c r="J22" i="12711" s="1"/>
  <c r="J23" i="12711" s="1"/>
  <c r="E84" i="12709"/>
  <c r="K84" i="12709" s="1"/>
  <c r="E103" i="12709"/>
  <c r="J103" i="12711" s="1"/>
  <c r="E30" i="12709"/>
  <c r="E27" i="12709"/>
  <c r="E29" i="12709"/>
  <c r="E63" i="12709"/>
  <c r="K63" i="12709" s="1"/>
  <c r="O63" i="12709" s="1"/>
  <c r="E31" i="12709"/>
  <c r="E87" i="12709"/>
  <c r="H44" i="12709"/>
  <c r="H45" i="12709" s="1"/>
  <c r="E60" i="12709"/>
  <c r="E93" i="12709"/>
  <c r="E54" i="12709"/>
  <c r="J54" i="12711" s="1"/>
  <c r="E32" i="12709"/>
  <c r="G32" i="12709" s="1"/>
  <c r="E47" i="12709"/>
  <c r="E28" i="12709"/>
  <c r="E109" i="12709"/>
  <c r="H109" i="12709" s="1"/>
  <c r="J109" i="12709" s="1"/>
  <c r="H50" i="12709"/>
  <c r="H77" i="12709"/>
  <c r="E89" i="12709"/>
  <c r="H89" i="12709" s="1"/>
  <c r="J89" i="12709" s="1"/>
  <c r="E44" i="12709"/>
  <c r="E76" i="12709"/>
  <c r="E51" i="12709"/>
  <c r="E121" i="12709"/>
  <c r="H125" i="12709"/>
  <c r="E130" i="12709"/>
  <c r="G130" i="12709" s="1"/>
  <c r="J130" i="12709" s="1"/>
  <c r="K130" i="12709" s="1"/>
  <c r="E100" i="12709"/>
  <c r="E90" i="12709"/>
  <c r="G90" i="12709" s="1"/>
  <c r="J90" i="12709" s="1"/>
  <c r="E40" i="12709"/>
  <c r="E50" i="12709"/>
  <c r="H121" i="12709"/>
  <c r="E114" i="12709"/>
  <c r="K114" i="12709" s="1"/>
  <c r="E81" i="12709"/>
  <c r="H22" i="12709"/>
  <c r="H23" i="12709" s="1"/>
  <c r="K13" i="12709"/>
  <c r="E69" i="12709"/>
  <c r="E70" i="12709"/>
  <c r="H124" i="12709"/>
  <c r="E124" i="12709"/>
  <c r="E106" i="12709"/>
  <c r="G106" i="12709" s="1"/>
  <c r="J106" i="12709" s="1"/>
  <c r="H78" i="12709"/>
  <c r="K78" i="12711" s="1"/>
  <c r="E58" i="12709"/>
  <c r="E15" i="12709"/>
  <c r="E123" i="12709"/>
  <c r="E18" i="12709"/>
  <c r="E125" i="12709"/>
  <c r="E56" i="12709"/>
  <c r="H120" i="12709"/>
  <c r="K120" i="12711" s="1"/>
  <c r="H100" i="12709"/>
  <c r="H18" i="12709"/>
  <c r="E105" i="12709"/>
  <c r="E57" i="12709"/>
  <c r="E34" i="12709"/>
  <c r="K34" i="12709" s="1"/>
  <c r="H51" i="12709"/>
  <c r="E86" i="12709"/>
  <c r="G86" i="12709" s="1"/>
  <c r="J86" i="12709" s="1"/>
  <c r="H19" i="12709"/>
  <c r="E110" i="12709"/>
  <c r="H110" i="12709" s="1"/>
  <c r="J110" i="12709" s="1"/>
  <c r="E107" i="12709"/>
  <c r="G107" i="12709" s="1"/>
  <c r="J107" i="12709" s="1"/>
  <c r="H41" i="12709"/>
  <c r="E112" i="12709"/>
  <c r="G112" i="12709" s="1"/>
  <c r="J112" i="12709" s="1"/>
  <c r="H16" i="12709"/>
  <c r="E108" i="12709"/>
  <c r="H40" i="12709"/>
  <c r="E17" i="12709"/>
  <c r="E78" i="12709"/>
  <c r="H14" i="12709"/>
  <c r="E25" i="12709"/>
  <c r="E122" i="12709"/>
  <c r="E59" i="12709"/>
  <c r="H59" i="12709" s="1"/>
  <c r="J59" i="12709" s="1"/>
  <c r="H39" i="12709"/>
  <c r="H17" i="12709"/>
  <c r="E39" i="12709"/>
  <c r="H68" i="12709"/>
  <c r="E91" i="12709"/>
  <c r="H122" i="12709"/>
  <c r="E132" i="12709"/>
  <c r="E99" i="12709"/>
  <c r="J99" i="12711" s="1"/>
  <c r="E88" i="12709"/>
  <c r="G88" i="12709" s="1"/>
  <c r="J88" i="12709" s="1"/>
  <c r="H123" i="12709"/>
  <c r="K123" i="12711" s="1"/>
  <c r="E131" i="12709"/>
  <c r="G131" i="12709" s="1"/>
  <c r="J131" i="12709" s="1"/>
  <c r="E134" i="12709"/>
  <c r="K134" i="12709" s="1"/>
  <c r="H70" i="12709"/>
  <c r="K70" i="12711" s="1"/>
  <c r="E16" i="12709"/>
  <c r="E68" i="12709"/>
  <c r="J68" i="12711" s="1"/>
  <c r="E111" i="12709"/>
  <c r="G111" i="12709" s="1"/>
  <c r="J111" i="12709" s="1"/>
  <c r="E128" i="12709"/>
  <c r="K128" i="12709" s="1"/>
  <c r="O128" i="12709" s="1"/>
  <c r="E14" i="12709"/>
  <c r="E41" i="12709"/>
  <c r="E120" i="12709"/>
  <c r="H99" i="12709"/>
  <c r="E77" i="12709"/>
  <c r="H30" i="12709" l="1"/>
  <c r="J30" i="12709" s="1"/>
  <c r="O48" i="12767"/>
  <c r="B10" i="12762" s="1"/>
  <c r="O114" i="12709"/>
  <c r="S114" i="12709" s="1"/>
  <c r="U84" i="12709"/>
  <c r="V84" i="12709" s="1"/>
  <c r="S128" i="12709"/>
  <c r="O93" i="12709"/>
  <c r="S93" i="12709" s="1"/>
  <c r="O84" i="12709"/>
  <c r="S84" i="12709" s="1"/>
  <c r="O134" i="12709"/>
  <c r="S134" i="12709" s="1"/>
  <c r="K50" i="12709"/>
  <c r="M50" i="12709" s="1"/>
  <c r="N50" i="12709" s="1"/>
  <c r="K15" i="12709"/>
  <c r="M15" i="12709" s="1"/>
  <c r="N15" i="12709" s="1"/>
  <c r="O15" i="12709" s="1"/>
  <c r="Q15" i="12709" s="1"/>
  <c r="R15" i="12709" s="1"/>
  <c r="U15" i="12709" s="1"/>
  <c r="V15" i="12709" s="1"/>
  <c r="L103" i="12711"/>
  <c r="N103" i="12711" s="1"/>
  <c r="O103" i="12711" s="1"/>
  <c r="U103" i="12709"/>
  <c r="V103" i="12709" s="1"/>
  <c r="L34" i="12711"/>
  <c r="N34" i="12711" s="1"/>
  <c r="U34" i="12709"/>
  <c r="V34" i="12709" s="1"/>
  <c r="O130" i="12709"/>
  <c r="S130" i="12709" s="1"/>
  <c r="L114" i="12711"/>
  <c r="N114" i="12711" s="1"/>
  <c r="U114" i="12709"/>
  <c r="V114" i="12709" s="1"/>
  <c r="L25" i="12711"/>
  <c r="N25" i="12711" s="1"/>
  <c r="U25" i="12709"/>
  <c r="V25" i="12709" s="1"/>
  <c r="U54" i="12709"/>
  <c r="V54" i="12709" s="1"/>
  <c r="N84" i="12711"/>
  <c r="J32" i="12709"/>
  <c r="U32" i="12709" s="1"/>
  <c r="V32" i="12709" s="1"/>
  <c r="S63" i="12709"/>
  <c r="L93" i="12711"/>
  <c r="N93" i="12711" s="1"/>
  <c r="U93" i="12709"/>
  <c r="V93" i="12709" s="1"/>
  <c r="U128" i="12709"/>
  <c r="V128" i="12709" s="1"/>
  <c r="N54" i="12711"/>
  <c r="O54" i="12711" s="1"/>
  <c r="O34" i="12709"/>
  <c r="S34" i="12709" s="1"/>
  <c r="L134" i="12711"/>
  <c r="N134" i="12711" s="1"/>
  <c r="U134" i="12709"/>
  <c r="V134" i="12709" s="1"/>
  <c r="L63" i="12711"/>
  <c r="N63" i="12711" s="1"/>
  <c r="U63" i="12709"/>
  <c r="V63" i="12709" s="1"/>
  <c r="N128" i="12711"/>
  <c r="K77" i="12709"/>
  <c r="M77" i="12709" s="1"/>
  <c r="N77" i="12709" s="1"/>
  <c r="L77" i="12711" s="1"/>
  <c r="E95" i="12711"/>
  <c r="J84" i="12711"/>
  <c r="K122" i="12709"/>
  <c r="M122" i="12709" s="1"/>
  <c r="N122" i="12709" s="1"/>
  <c r="L122" i="12711" s="1"/>
  <c r="K78" i="12709"/>
  <c r="M78" i="12709" s="1"/>
  <c r="N78" i="12709" s="1"/>
  <c r="O78" i="12709" s="1"/>
  <c r="Q78" i="12709" s="1"/>
  <c r="R78" i="12709" s="1"/>
  <c r="U78" i="12709" s="1"/>
  <c r="V78" i="12709" s="1"/>
  <c r="E65" i="12711"/>
  <c r="H101" i="12709"/>
  <c r="H116" i="12709" s="1"/>
  <c r="K16" i="12709"/>
  <c r="M16" i="12709" s="1"/>
  <c r="N16" i="12709" s="1"/>
  <c r="L16" i="12711" s="1"/>
  <c r="E116" i="12711"/>
  <c r="E126" i="12709"/>
  <c r="E136" i="12709" s="1"/>
  <c r="E36" i="12711"/>
  <c r="E136" i="12711"/>
  <c r="H42" i="12709"/>
  <c r="K17" i="12709"/>
  <c r="M17" i="12709" s="1"/>
  <c r="N17" i="12709" s="1"/>
  <c r="O17" i="12709" s="1"/>
  <c r="Q17" i="12709" s="1"/>
  <c r="R17" i="12709" s="1"/>
  <c r="U17" i="12709" s="1"/>
  <c r="V17" i="12709" s="1"/>
  <c r="K70" i="12709"/>
  <c r="M70" i="12709" s="1"/>
  <c r="N70" i="12709" s="1"/>
  <c r="L70" i="12711" s="1"/>
  <c r="K125" i="12709"/>
  <c r="M125" i="12709" s="1"/>
  <c r="N125" i="12709" s="1"/>
  <c r="L125" i="12711" s="1"/>
  <c r="K69" i="12709"/>
  <c r="M69" i="12709" s="1"/>
  <c r="N69" i="12709" s="1"/>
  <c r="O69" i="12709" s="1"/>
  <c r="Q69" i="12709" s="1"/>
  <c r="R69" i="12709" s="1"/>
  <c r="U69" i="12709" s="1"/>
  <c r="V69" i="12709" s="1"/>
  <c r="K73" i="12709"/>
  <c r="K68" i="12709"/>
  <c r="M68" i="12709" s="1"/>
  <c r="G132" i="12709"/>
  <c r="J132" i="12709" s="1"/>
  <c r="K132" i="12709" s="1"/>
  <c r="O132" i="12709" s="1"/>
  <c r="S132" i="12709" s="1"/>
  <c r="K123" i="12709"/>
  <c r="M123" i="12709" s="1"/>
  <c r="N123" i="12709" s="1"/>
  <c r="O123" i="12709" s="1"/>
  <c r="Q123" i="12709" s="1"/>
  <c r="R123" i="12709" s="1"/>
  <c r="U123" i="12709" s="1"/>
  <c r="V123" i="12709" s="1"/>
  <c r="K22" i="12709"/>
  <c r="K76" i="12709"/>
  <c r="M76" i="12709" s="1"/>
  <c r="K14" i="12711"/>
  <c r="U112" i="12709"/>
  <c r="V112" i="12709" s="1"/>
  <c r="K112" i="12711"/>
  <c r="N112" i="12711" s="1"/>
  <c r="U110" i="12709"/>
  <c r="V110" i="12709" s="1"/>
  <c r="K110" i="12711"/>
  <c r="N110" i="12711" s="1"/>
  <c r="U86" i="12709"/>
  <c r="V86" i="12709" s="1"/>
  <c r="K86" i="12711"/>
  <c r="N86" i="12711" s="1"/>
  <c r="K86" i="12709"/>
  <c r="O86" i="12709" s="1"/>
  <c r="S86" i="12709" s="1"/>
  <c r="K100" i="12711"/>
  <c r="K100" i="12709"/>
  <c r="M100" i="12709" s="1"/>
  <c r="N100" i="12709" s="1"/>
  <c r="U59" i="12709"/>
  <c r="V59" i="12709" s="1"/>
  <c r="K59" i="12711"/>
  <c r="N59" i="12711" s="1"/>
  <c r="K40" i="12711"/>
  <c r="K40" i="12709"/>
  <c r="M40" i="12709" s="1"/>
  <c r="N40" i="12709" s="1"/>
  <c r="K41" i="12711"/>
  <c r="K19" i="12711"/>
  <c r="K51" i="12711"/>
  <c r="K51" i="12709"/>
  <c r="M51" i="12709" s="1"/>
  <c r="N51" i="12709" s="1"/>
  <c r="U131" i="12709"/>
  <c r="V131" i="12709" s="1"/>
  <c r="K131" i="12711"/>
  <c r="N131" i="12711" s="1"/>
  <c r="U107" i="12709"/>
  <c r="V107" i="12709" s="1"/>
  <c r="K107" i="12711"/>
  <c r="N107" i="12711" s="1"/>
  <c r="K18" i="12709"/>
  <c r="M18" i="12709" s="1"/>
  <c r="N18" i="12709" s="1"/>
  <c r="J20" i="12709"/>
  <c r="K13" i="12711"/>
  <c r="U111" i="12709"/>
  <c r="V111" i="12709" s="1"/>
  <c r="K111" i="12711"/>
  <c r="N111" i="12711" s="1"/>
  <c r="U88" i="12709"/>
  <c r="V88" i="12709" s="1"/>
  <c r="K88" i="12711"/>
  <c r="N88" i="12711" s="1"/>
  <c r="K17" i="12711"/>
  <c r="K16" i="12711"/>
  <c r="K18" i="12711"/>
  <c r="K124" i="12711"/>
  <c r="K124" i="12709"/>
  <c r="M124" i="12709" s="1"/>
  <c r="N124" i="12709" s="1"/>
  <c r="U90" i="12709"/>
  <c r="V90" i="12709" s="1"/>
  <c r="K90" i="12711"/>
  <c r="N90" i="12711" s="1"/>
  <c r="E20" i="12709"/>
  <c r="J91" i="12711"/>
  <c r="J71" i="12709"/>
  <c r="E42" i="12709"/>
  <c r="K25" i="12709"/>
  <c r="O25" i="12709" s="1"/>
  <c r="S25" i="12709" s="1"/>
  <c r="J108" i="12711"/>
  <c r="K110" i="12709"/>
  <c r="O110" i="12709" s="1"/>
  <c r="S110" i="12709" s="1"/>
  <c r="J105" i="12711"/>
  <c r="H126" i="12709"/>
  <c r="H136" i="12709" s="1"/>
  <c r="J58" i="12711"/>
  <c r="U106" i="12709"/>
  <c r="V106" i="12709" s="1"/>
  <c r="K106" i="12711"/>
  <c r="N106" i="12711" s="1"/>
  <c r="J124" i="12711"/>
  <c r="G58" i="12709"/>
  <c r="J58" i="12709" s="1"/>
  <c r="K58" i="12709" s="1"/>
  <c r="O58" i="12709" s="1"/>
  <c r="S58" i="12709" s="1"/>
  <c r="E52" i="12709"/>
  <c r="J50" i="12711"/>
  <c r="K19" i="12709"/>
  <c r="M19" i="12709" s="1"/>
  <c r="N19" i="12709" s="1"/>
  <c r="J41" i="12711"/>
  <c r="J77" i="12711"/>
  <c r="E71" i="12709"/>
  <c r="J132" i="12711"/>
  <c r="H71" i="12709"/>
  <c r="K59" i="12709"/>
  <c r="O59" i="12709" s="1"/>
  <c r="S59" i="12709" s="1"/>
  <c r="J122" i="12711"/>
  <c r="J78" i="12711"/>
  <c r="J86" i="12711"/>
  <c r="J126" i="12709"/>
  <c r="J120" i="12711"/>
  <c r="J125" i="12711"/>
  <c r="H20" i="12709"/>
  <c r="H36" i="12709" s="1"/>
  <c r="U89" i="12709"/>
  <c r="V89" i="12709" s="1"/>
  <c r="K89" i="12711"/>
  <c r="N89" i="12711" s="1"/>
  <c r="K89" i="12709"/>
  <c r="O89" i="12709" s="1"/>
  <c r="S89" i="12709" s="1"/>
  <c r="J14" i="12711"/>
  <c r="J16" i="12711"/>
  <c r="K120" i="12709"/>
  <c r="J134" i="12711"/>
  <c r="J88" i="12711"/>
  <c r="K88" i="12709"/>
  <c r="O88" i="12709" s="1"/>
  <c r="S88" i="12709" s="1"/>
  <c r="K122" i="12711"/>
  <c r="J17" i="12711"/>
  <c r="J112" i="12711"/>
  <c r="K112" i="12709"/>
  <c r="O112" i="12709" s="1"/>
  <c r="S112" i="12709" s="1"/>
  <c r="J110" i="12711"/>
  <c r="J56" i="12711"/>
  <c r="G56" i="12709"/>
  <c r="K56" i="12709" s="1"/>
  <c r="O56" i="12709" s="1"/>
  <c r="S56" i="12709" s="1"/>
  <c r="J18" i="12711"/>
  <c r="J123" i="12711"/>
  <c r="J106" i="12711"/>
  <c r="J69" i="12711"/>
  <c r="E82" i="12709"/>
  <c r="J81" i="12711"/>
  <c r="J82" i="12711" s="1"/>
  <c r="J114" i="12711"/>
  <c r="K121" i="12711"/>
  <c r="K125" i="12711"/>
  <c r="K106" i="12709"/>
  <c r="O106" i="12709" s="1"/>
  <c r="S106" i="12709" s="1"/>
  <c r="K77" i="12711"/>
  <c r="K79" i="12711" s="1"/>
  <c r="U109" i="12709"/>
  <c r="V109" i="12709" s="1"/>
  <c r="K109" i="12711"/>
  <c r="N109" i="12711" s="1"/>
  <c r="J111" i="12711"/>
  <c r="J59" i="12711"/>
  <c r="K41" i="12709"/>
  <c r="M41" i="12709" s="1"/>
  <c r="N41" i="12709" s="1"/>
  <c r="K14" i="12709"/>
  <c r="M14" i="12709" s="1"/>
  <c r="N14" i="12709" s="1"/>
  <c r="J128" i="12711"/>
  <c r="J13" i="12711"/>
  <c r="J131" i="12711"/>
  <c r="K131" i="12709"/>
  <c r="O131" i="12709" s="1"/>
  <c r="S131" i="12709" s="1"/>
  <c r="E101" i="12709"/>
  <c r="E116" i="12709" s="1"/>
  <c r="G91" i="12709"/>
  <c r="J91" i="12709" s="1"/>
  <c r="K91" i="12709" s="1"/>
  <c r="O91" i="12709" s="1"/>
  <c r="S91" i="12709" s="1"/>
  <c r="K68" i="12711"/>
  <c r="J39" i="12711"/>
  <c r="J25" i="12711"/>
  <c r="G108" i="12709"/>
  <c r="J108" i="12709" s="1"/>
  <c r="J107" i="12711"/>
  <c r="K107" i="12709"/>
  <c r="O107" i="12709" s="1"/>
  <c r="S107" i="12709" s="1"/>
  <c r="J34" i="12711"/>
  <c r="J57" i="12711"/>
  <c r="G57" i="12709"/>
  <c r="J57" i="12709" s="1"/>
  <c r="G105" i="12709"/>
  <c r="K111" i="12709"/>
  <c r="O111" i="12709" s="1"/>
  <c r="S111" i="12709" s="1"/>
  <c r="J15" i="12711"/>
  <c r="J70" i="12711"/>
  <c r="J90" i="12711"/>
  <c r="K90" i="12709"/>
  <c r="O90" i="12709" s="1"/>
  <c r="S90" i="12709" s="1"/>
  <c r="U130" i="12709"/>
  <c r="V130" i="12709" s="1"/>
  <c r="K130" i="12711"/>
  <c r="N130" i="12711" s="1"/>
  <c r="J121" i="12711"/>
  <c r="K121" i="12709"/>
  <c r="M121" i="12709" s="1"/>
  <c r="N121" i="12709" s="1"/>
  <c r="J52" i="12709"/>
  <c r="K50" i="12711"/>
  <c r="E45" i="12709"/>
  <c r="J44" i="12711"/>
  <c r="J45" i="12711" s="1"/>
  <c r="J28" i="12711"/>
  <c r="E48" i="12709"/>
  <c r="J47" i="12711"/>
  <c r="J48" i="12711" s="1"/>
  <c r="K54" i="12709"/>
  <c r="O54" i="12709" s="1"/>
  <c r="S54" i="12709" s="1"/>
  <c r="J60" i="12711"/>
  <c r="G28" i="12709"/>
  <c r="J87" i="12711"/>
  <c r="J29" i="12711"/>
  <c r="G29" i="12709"/>
  <c r="G60" i="12709"/>
  <c r="J60" i="12709" s="1"/>
  <c r="K69" i="12711"/>
  <c r="J40" i="12711"/>
  <c r="J100" i="12711"/>
  <c r="J101" i="12711" s="1"/>
  <c r="J89" i="12711"/>
  <c r="J109" i="12711"/>
  <c r="K109" i="12709"/>
  <c r="O109" i="12709" s="1"/>
  <c r="S109" i="12709" s="1"/>
  <c r="J32" i="12711"/>
  <c r="J63" i="12711"/>
  <c r="E79" i="12709"/>
  <c r="H52" i="12709"/>
  <c r="J19" i="12711"/>
  <c r="J76" i="12711"/>
  <c r="K44" i="12709"/>
  <c r="J31" i="12711"/>
  <c r="J73" i="12711"/>
  <c r="J74" i="12711" s="1"/>
  <c r="E74" i="12709"/>
  <c r="J61" i="12711"/>
  <c r="G61" i="12709"/>
  <c r="J61" i="12709" s="1"/>
  <c r="K61" i="12709" s="1"/>
  <c r="O61" i="12709" s="1"/>
  <c r="S61" i="12709" s="1"/>
  <c r="G31" i="12709"/>
  <c r="K15" i="12711"/>
  <c r="J130" i="12711"/>
  <c r="J51" i="12711"/>
  <c r="J93" i="12711"/>
  <c r="G87" i="12709"/>
  <c r="J87" i="12709" s="1"/>
  <c r="J27" i="12711"/>
  <c r="G27" i="12709"/>
  <c r="J30" i="12711"/>
  <c r="K103" i="12709"/>
  <c r="O103" i="12709" s="1"/>
  <c r="S103" i="12709" s="1"/>
  <c r="J79" i="12709"/>
  <c r="H79" i="12709"/>
  <c r="E23" i="12709"/>
  <c r="U30" i="12709" l="1"/>
  <c r="V30" i="12709" s="1"/>
  <c r="K30" i="12709"/>
  <c r="O30" i="12709" s="1"/>
  <c r="S30" i="12709" s="1"/>
  <c r="K30" i="12711"/>
  <c r="N30" i="12711" s="1"/>
  <c r="L78" i="12711"/>
  <c r="H145" i="12709"/>
  <c r="O77" i="12709"/>
  <c r="Q77" i="12709" s="1"/>
  <c r="R77" i="12709" s="1"/>
  <c r="U77" i="12709" s="1"/>
  <c r="V77" i="12709" s="1"/>
  <c r="G116" i="12709"/>
  <c r="K22" i="12711"/>
  <c r="K23" i="12711" s="1"/>
  <c r="O25" i="12711"/>
  <c r="K32" i="12709"/>
  <c r="O32" i="12709" s="1"/>
  <c r="L15" i="12711"/>
  <c r="H150" i="12709"/>
  <c r="K32" i="12711"/>
  <c r="N32" i="12711" s="1"/>
  <c r="O32" i="12711" s="1"/>
  <c r="M79" i="12709"/>
  <c r="L17" i="12711"/>
  <c r="O128" i="12711"/>
  <c r="O93" i="12711"/>
  <c r="O114" i="12711"/>
  <c r="O84" i="12711"/>
  <c r="O34" i="12711"/>
  <c r="O134" i="12711"/>
  <c r="G36" i="12709"/>
  <c r="H149" i="12709"/>
  <c r="J31" i="12709"/>
  <c r="U31" i="12709" s="1"/>
  <c r="V31" i="12709" s="1"/>
  <c r="H154" i="12709"/>
  <c r="O63" i="12711"/>
  <c r="H65" i="12709"/>
  <c r="J136" i="12709"/>
  <c r="K132" i="12711"/>
  <c r="N132" i="12711" s="1"/>
  <c r="O132" i="12711" s="1"/>
  <c r="J23" i="12709"/>
  <c r="O122" i="12709"/>
  <c r="Q122" i="12709" s="1"/>
  <c r="R122" i="12709" s="1"/>
  <c r="U122" i="12709" s="1"/>
  <c r="V122" i="12709" s="1"/>
  <c r="K73" i="12711"/>
  <c r="K74" i="12711" s="1"/>
  <c r="J74" i="12709"/>
  <c r="O16" i="12709"/>
  <c r="Q16" i="12709" s="1"/>
  <c r="R16" i="12709" s="1"/>
  <c r="U16" i="12709" s="1"/>
  <c r="V16" i="12709" s="1"/>
  <c r="N76" i="12709"/>
  <c r="N79" i="12709" s="1"/>
  <c r="K52" i="12709"/>
  <c r="K79" i="12709"/>
  <c r="O70" i="12709"/>
  <c r="Q70" i="12709" s="1"/>
  <c r="R70" i="12709" s="1"/>
  <c r="U70" i="12709" s="1"/>
  <c r="V70" i="12709" s="1"/>
  <c r="G136" i="12709"/>
  <c r="U132" i="12709"/>
  <c r="V132" i="12709" s="1"/>
  <c r="O125" i="12709"/>
  <c r="Q125" i="12709" s="1"/>
  <c r="R125" i="12709" s="1"/>
  <c r="U125" i="12709" s="1"/>
  <c r="V125" i="12709" s="1"/>
  <c r="E139" i="12711"/>
  <c r="J79" i="12711"/>
  <c r="K71" i="12709"/>
  <c r="J71" i="12711"/>
  <c r="L123" i="12711"/>
  <c r="L69" i="12711"/>
  <c r="O107" i="12711"/>
  <c r="K45" i="12709"/>
  <c r="M44" i="12709"/>
  <c r="J48" i="12709"/>
  <c r="K47" i="12711"/>
  <c r="K71" i="12711"/>
  <c r="K42" i="12709"/>
  <c r="M39" i="12709"/>
  <c r="J82" i="12709"/>
  <c r="K81" i="12711"/>
  <c r="J27" i="12709"/>
  <c r="U87" i="12709"/>
  <c r="V87" i="12709" s="1"/>
  <c r="K87" i="12711"/>
  <c r="N87" i="12711" s="1"/>
  <c r="O87" i="12711" s="1"/>
  <c r="K47" i="12709"/>
  <c r="O130" i="12711"/>
  <c r="H151" i="12709"/>
  <c r="J105" i="12709"/>
  <c r="J42" i="12711"/>
  <c r="J20" i="12711"/>
  <c r="J36" i="12711" s="1"/>
  <c r="L41" i="12711"/>
  <c r="O41" i="12709"/>
  <c r="Q41" i="12709" s="1"/>
  <c r="R41" i="12709" s="1"/>
  <c r="U41" i="12709" s="1"/>
  <c r="V41" i="12709" s="1"/>
  <c r="H95" i="12709"/>
  <c r="E95" i="12709"/>
  <c r="K23" i="12709"/>
  <c r="M22" i="12709"/>
  <c r="O106" i="12711"/>
  <c r="O90" i="12711"/>
  <c r="O88" i="12711"/>
  <c r="L18" i="12711"/>
  <c r="O18" i="12709"/>
  <c r="Q18" i="12709" s="1"/>
  <c r="R18" i="12709" s="1"/>
  <c r="O131" i="12711"/>
  <c r="M52" i="12709"/>
  <c r="O59" i="12711"/>
  <c r="O110" i="12711"/>
  <c r="S17" i="12709"/>
  <c r="M17" i="12711"/>
  <c r="U60" i="12709"/>
  <c r="V60" i="12709" s="1"/>
  <c r="K60" i="12711"/>
  <c r="N60" i="12711" s="1"/>
  <c r="O60" i="12711" s="1"/>
  <c r="K60" i="12709"/>
  <c r="O60" i="12709" s="1"/>
  <c r="S60" i="12709" s="1"/>
  <c r="J101" i="12709"/>
  <c r="K99" i="12709"/>
  <c r="K99" i="12711"/>
  <c r="M123" i="12711"/>
  <c r="S123" i="12709"/>
  <c r="J116" i="12711"/>
  <c r="C19" i="12733" s="1"/>
  <c r="N52" i="12709"/>
  <c r="L50" i="12711"/>
  <c r="O50" i="12709"/>
  <c r="O40" i="12709"/>
  <c r="Q40" i="12709" s="1"/>
  <c r="R40" i="12709" s="1"/>
  <c r="U40" i="12709" s="1"/>
  <c r="V40" i="12709" s="1"/>
  <c r="L40" i="12711"/>
  <c r="L121" i="12711"/>
  <c r="O121" i="12709"/>
  <c r="Q121" i="12709" s="1"/>
  <c r="R121" i="12709" s="1"/>
  <c r="G65" i="12709"/>
  <c r="H153" i="12709"/>
  <c r="J29" i="12709"/>
  <c r="H152" i="12709"/>
  <c r="J28" i="12709"/>
  <c r="K52" i="12711"/>
  <c r="U108" i="12709"/>
  <c r="V108" i="12709" s="1"/>
  <c r="K108" i="12711"/>
  <c r="N108" i="12711" s="1"/>
  <c r="O108" i="12711" s="1"/>
  <c r="U91" i="12709"/>
  <c r="V91" i="12709" s="1"/>
  <c r="K91" i="12711"/>
  <c r="N91" i="12711" s="1"/>
  <c r="O91" i="12711" s="1"/>
  <c r="J126" i="12711"/>
  <c r="J136" i="12711" s="1"/>
  <c r="C20" i="12733" s="1"/>
  <c r="K20" i="12709"/>
  <c r="M13" i="12709"/>
  <c r="K108" i="12709"/>
  <c r="O108" i="12709" s="1"/>
  <c r="S108" i="12709" s="1"/>
  <c r="U58" i="12709"/>
  <c r="V58" i="12709" s="1"/>
  <c r="K58" i="12711"/>
  <c r="N58" i="12711" s="1"/>
  <c r="O58" i="12711" s="1"/>
  <c r="E65" i="12709"/>
  <c r="L124" i="12711"/>
  <c r="O124" i="12709"/>
  <c r="Q124" i="12709" s="1"/>
  <c r="R124" i="12709" s="1"/>
  <c r="U124" i="12709" s="1"/>
  <c r="V124" i="12709" s="1"/>
  <c r="M71" i="12709"/>
  <c r="N68" i="12709"/>
  <c r="O111" i="12711"/>
  <c r="K20" i="12711"/>
  <c r="K126" i="12711"/>
  <c r="K81" i="12709"/>
  <c r="O51" i="12709"/>
  <c r="Q51" i="12709" s="1"/>
  <c r="R51" i="12709" s="1"/>
  <c r="L51" i="12711"/>
  <c r="L100" i="12711"/>
  <c r="O100" i="12709"/>
  <c r="Q100" i="12709" s="1"/>
  <c r="R100" i="12709" s="1"/>
  <c r="O86" i="12711"/>
  <c r="O112" i="12711"/>
  <c r="J45" i="12709"/>
  <c r="K44" i="12711"/>
  <c r="U57" i="12709"/>
  <c r="V57" i="12709" s="1"/>
  <c r="K57" i="12711"/>
  <c r="N57" i="12711" s="1"/>
  <c r="O57" i="12711" s="1"/>
  <c r="K57" i="12709"/>
  <c r="O57" i="12709" s="1"/>
  <c r="S57" i="12709" s="1"/>
  <c r="O109" i="12711"/>
  <c r="K126" i="12709"/>
  <c r="K136" i="12709" s="1"/>
  <c r="M120" i="12709"/>
  <c r="U61" i="12709"/>
  <c r="V61" i="12709" s="1"/>
  <c r="K61" i="12711"/>
  <c r="N61" i="12711" s="1"/>
  <c r="O61" i="12711" s="1"/>
  <c r="M73" i="12709"/>
  <c r="K74" i="12709"/>
  <c r="K87" i="12709"/>
  <c r="O87" i="12709" s="1"/>
  <c r="S87" i="12709" s="1"/>
  <c r="L14" i="12711"/>
  <c r="O14" i="12709"/>
  <c r="Q14" i="12709" s="1"/>
  <c r="R14" i="12709" s="1"/>
  <c r="U14" i="12709" s="1"/>
  <c r="V14" i="12709" s="1"/>
  <c r="O30" i="12711"/>
  <c r="U56" i="12709"/>
  <c r="V56" i="12709" s="1"/>
  <c r="K56" i="12711"/>
  <c r="N56" i="12711" s="1"/>
  <c r="O56" i="12711" s="1"/>
  <c r="O89" i="12711"/>
  <c r="K39" i="12711"/>
  <c r="L19" i="12711"/>
  <c r="O19" i="12709"/>
  <c r="Q19" i="12709" s="1"/>
  <c r="R19" i="12709" s="1"/>
  <c r="U19" i="12709" s="1"/>
  <c r="V19" i="12709" s="1"/>
  <c r="J52" i="12711"/>
  <c r="E36" i="12709"/>
  <c r="S78" i="12709"/>
  <c r="M78" i="12711"/>
  <c r="S69" i="12709"/>
  <c r="M69" i="12711"/>
  <c r="S15" i="12709"/>
  <c r="M15" i="12711"/>
  <c r="H155" i="12709" l="1"/>
  <c r="N78" i="12711"/>
  <c r="O78" i="12711" s="1"/>
  <c r="S77" i="12709"/>
  <c r="M16" i="12711"/>
  <c r="N16" i="12711" s="1"/>
  <c r="O16" i="12711" s="1"/>
  <c r="M77" i="12711"/>
  <c r="N77" i="12711" s="1"/>
  <c r="O77" i="12711" s="1"/>
  <c r="N15" i="12711"/>
  <c r="O15" i="12711" s="1"/>
  <c r="S125" i="12709"/>
  <c r="H139" i="12709"/>
  <c r="B18" i="12762" s="1"/>
  <c r="B20" i="12762" s="1"/>
  <c r="B21" i="12762" s="1"/>
  <c r="S16" i="12709"/>
  <c r="K31" i="12709"/>
  <c r="O31" i="12709" s="1"/>
  <c r="K31" i="12711"/>
  <c r="N31" i="12711" s="1"/>
  <c r="O31" i="12711" s="1"/>
  <c r="M125" i="12711"/>
  <c r="N125" i="12711" s="1"/>
  <c r="O125" i="12711" s="1"/>
  <c r="S70" i="12709"/>
  <c r="J95" i="12709"/>
  <c r="N17" i="12711"/>
  <c r="O17" i="12711" s="1"/>
  <c r="M70" i="12711"/>
  <c r="N70" i="12711" s="1"/>
  <c r="O70" i="12711" s="1"/>
  <c r="K136" i="12711"/>
  <c r="D20" i="12733" s="1"/>
  <c r="F20" i="12733" s="1"/>
  <c r="G20" i="12733" s="1"/>
  <c r="L76" i="12711"/>
  <c r="L79" i="12711" s="1"/>
  <c r="M122" i="12711"/>
  <c r="N122" i="12711" s="1"/>
  <c r="O122" i="12711" s="1"/>
  <c r="O76" i="12709"/>
  <c r="O79" i="12709" s="1"/>
  <c r="N69" i="12711"/>
  <c r="O69" i="12711" s="1"/>
  <c r="S122" i="12709"/>
  <c r="J95" i="12711"/>
  <c r="C18" i="12733" s="1"/>
  <c r="N123" i="12711"/>
  <c r="O123" i="12711" s="1"/>
  <c r="L52" i="12711"/>
  <c r="J65" i="12709"/>
  <c r="E139" i="12709"/>
  <c r="M74" i="12709"/>
  <c r="N73" i="12709"/>
  <c r="K45" i="12711"/>
  <c r="S51" i="12709"/>
  <c r="M51" i="12711"/>
  <c r="N51" i="12711" s="1"/>
  <c r="O51" i="12711" s="1"/>
  <c r="M40" i="12711"/>
  <c r="N40" i="12711" s="1"/>
  <c r="O40" i="12711" s="1"/>
  <c r="S40" i="12709"/>
  <c r="O52" i="12709"/>
  <c r="Q50" i="12709"/>
  <c r="K101" i="12711"/>
  <c r="M47" i="12709"/>
  <c r="K48" i="12709"/>
  <c r="N39" i="12709"/>
  <c r="M42" i="12709"/>
  <c r="K48" i="12711"/>
  <c r="K101" i="12709"/>
  <c r="M99" i="12709"/>
  <c r="M18" i="12711"/>
  <c r="N18" i="12711" s="1"/>
  <c r="O18" i="12711" s="1"/>
  <c r="S18" i="12709"/>
  <c r="U18" i="12709"/>
  <c r="V18" i="12709" s="1"/>
  <c r="M23" i="12709"/>
  <c r="N22" i="12709"/>
  <c r="C16" i="12733"/>
  <c r="U105" i="12709"/>
  <c r="V105" i="12709" s="1"/>
  <c r="K105" i="12711"/>
  <c r="N105" i="12711" s="1"/>
  <c r="O105" i="12711" s="1"/>
  <c r="K105" i="12709"/>
  <c r="O105" i="12709" s="1"/>
  <c r="S105" i="12709" s="1"/>
  <c r="M45" i="12709"/>
  <c r="N44" i="12709"/>
  <c r="M126" i="12709"/>
  <c r="M136" i="12709" s="1"/>
  <c r="N120" i="12709"/>
  <c r="M100" i="12711"/>
  <c r="N100" i="12711" s="1"/>
  <c r="O100" i="12711" s="1"/>
  <c r="S100" i="12709"/>
  <c r="M20" i="12709"/>
  <c r="N13" i="12709"/>
  <c r="G139" i="12709"/>
  <c r="J65" i="12711"/>
  <c r="C17" i="12733" s="1"/>
  <c r="K82" i="12711"/>
  <c r="K95" i="12711" s="1"/>
  <c r="D18" i="12733" s="1"/>
  <c r="F18" i="12733" s="1"/>
  <c r="U100" i="12709"/>
  <c r="V100" i="12709" s="1"/>
  <c r="S19" i="12709"/>
  <c r="M19" i="12711"/>
  <c r="N19" i="12711" s="1"/>
  <c r="O19" i="12711" s="1"/>
  <c r="K82" i="12709"/>
  <c r="K95" i="12709" s="1"/>
  <c r="M81" i="12709"/>
  <c r="N71" i="12709"/>
  <c r="L68" i="12711"/>
  <c r="O68" i="12709"/>
  <c r="U28" i="12709"/>
  <c r="V28" i="12709" s="1"/>
  <c r="K28" i="12711"/>
  <c r="N28" i="12711" s="1"/>
  <c r="O28" i="12711" s="1"/>
  <c r="K28" i="12709"/>
  <c r="O28" i="12709" s="1"/>
  <c r="S28" i="12709" s="1"/>
  <c r="S14" i="12709"/>
  <c r="M14" i="12711"/>
  <c r="N14" i="12711" s="1"/>
  <c r="O14" i="12711" s="1"/>
  <c r="K42" i="12711"/>
  <c r="S124" i="12709"/>
  <c r="M124" i="12711"/>
  <c r="N124" i="12711" s="1"/>
  <c r="O124" i="12711" s="1"/>
  <c r="U29" i="12709"/>
  <c r="V29" i="12709" s="1"/>
  <c r="K29" i="12711"/>
  <c r="N29" i="12711" s="1"/>
  <c r="O29" i="12711" s="1"/>
  <c r="K29" i="12709"/>
  <c r="O29" i="12709" s="1"/>
  <c r="S29" i="12709" s="1"/>
  <c r="S121" i="12709"/>
  <c r="M121" i="12711"/>
  <c r="N121" i="12711" s="1"/>
  <c r="O121" i="12711" s="1"/>
  <c r="J116" i="12709"/>
  <c r="J36" i="12709"/>
  <c r="S41" i="12709"/>
  <c r="M41" i="12711"/>
  <c r="N41" i="12711" s="1"/>
  <c r="O41" i="12711" s="1"/>
  <c r="U27" i="12709"/>
  <c r="V27" i="12709" s="1"/>
  <c r="K27" i="12711"/>
  <c r="N27" i="12711" s="1"/>
  <c r="O27" i="12711" s="1"/>
  <c r="K27" i="12709"/>
  <c r="O27" i="12709" s="1"/>
  <c r="S27" i="12709" s="1"/>
  <c r="U121" i="12709"/>
  <c r="V121" i="12709" s="1"/>
  <c r="U51" i="12709"/>
  <c r="V51" i="12709" s="1"/>
  <c r="Q76" i="12709" l="1"/>
  <c r="R76" i="12709" s="1"/>
  <c r="K156" i="12709"/>
  <c r="G18" i="12733"/>
  <c r="K65" i="12709"/>
  <c r="K65" i="12711"/>
  <c r="D17" i="12733" s="1"/>
  <c r="F17" i="12733" s="1"/>
  <c r="G17" i="12733" s="1"/>
  <c r="K116" i="12711"/>
  <c r="D19" i="12733" s="1"/>
  <c r="F19" i="12733" s="1"/>
  <c r="G19" i="12733" s="1"/>
  <c r="K36" i="12709"/>
  <c r="L71" i="12711"/>
  <c r="O120" i="12709"/>
  <c r="L120" i="12711"/>
  <c r="N126" i="12709"/>
  <c r="N136" i="12709" s="1"/>
  <c r="H20" i="12733" s="1"/>
  <c r="I20" i="12733" s="1"/>
  <c r="J139" i="12709"/>
  <c r="O71" i="12709"/>
  <c r="Q68" i="12709"/>
  <c r="M36" i="12709"/>
  <c r="N23" i="12709"/>
  <c r="L22" i="12711"/>
  <c r="O22" i="12709"/>
  <c r="M101" i="12709"/>
  <c r="M116" i="12709" s="1"/>
  <c r="N99" i="12709"/>
  <c r="K36" i="12711"/>
  <c r="C21" i="12733"/>
  <c r="C25" i="12733" s="1"/>
  <c r="K116" i="12709"/>
  <c r="Q52" i="12709"/>
  <c r="R50" i="12709"/>
  <c r="O39" i="12709"/>
  <c r="N42" i="12709"/>
  <c r="L39" i="12711"/>
  <c r="M82" i="12709"/>
  <c r="M95" i="12709" s="1"/>
  <c r="N81" i="12709"/>
  <c r="N20" i="12709"/>
  <c r="L13" i="12711"/>
  <c r="O13" i="12709"/>
  <c r="L44" i="12711"/>
  <c r="N45" i="12709"/>
  <c r="O44" i="12709"/>
  <c r="J139" i="12711"/>
  <c r="N47" i="12709"/>
  <c r="M48" i="12709"/>
  <c r="M65" i="12709" s="1"/>
  <c r="N74" i="12709"/>
  <c r="O73" i="12709"/>
  <c r="L73" i="12711"/>
  <c r="Q79" i="12709" l="1"/>
  <c r="N36" i="12709"/>
  <c r="H16" i="12733" s="1"/>
  <c r="N48" i="12709"/>
  <c r="N65" i="12709" s="1"/>
  <c r="H17" i="12733" s="1"/>
  <c r="I17" i="12733" s="1"/>
  <c r="L47" i="12711"/>
  <c r="O47" i="12709"/>
  <c r="M139" i="12709"/>
  <c r="O126" i="12709"/>
  <c r="O136" i="12709" s="1"/>
  <c r="Q120" i="12709"/>
  <c r="O45" i="12709"/>
  <c r="Q44" i="12709"/>
  <c r="Q13" i="12709"/>
  <c r="O20" i="12709"/>
  <c r="O42" i="12709"/>
  <c r="Q39" i="12709"/>
  <c r="K139" i="12711"/>
  <c r="D16" i="12733"/>
  <c r="L126" i="12711"/>
  <c r="L136" i="12711" s="1"/>
  <c r="L74" i="12711"/>
  <c r="Q73" i="12709"/>
  <c r="O74" i="12709"/>
  <c r="L45" i="12711"/>
  <c r="L42" i="12711"/>
  <c r="N101" i="12709"/>
  <c r="N116" i="12709" s="1"/>
  <c r="H19" i="12733" s="1"/>
  <c r="I19" i="12733" s="1"/>
  <c r="L99" i="12711"/>
  <c r="O99" i="12709"/>
  <c r="O23" i="12709"/>
  <c r="Q22" i="12709"/>
  <c r="R79" i="12709"/>
  <c r="S76" i="12709"/>
  <c r="S79" i="12709" s="1"/>
  <c r="M76" i="12711"/>
  <c r="U76" i="12709"/>
  <c r="K139" i="12709"/>
  <c r="L20" i="12711"/>
  <c r="N82" i="12709"/>
  <c r="N95" i="12709" s="1"/>
  <c r="H18" i="12733" s="1"/>
  <c r="I18" i="12733" s="1"/>
  <c r="L81" i="12711"/>
  <c r="O81" i="12709"/>
  <c r="R52" i="12709"/>
  <c r="S50" i="12709"/>
  <c r="S52" i="12709" s="1"/>
  <c r="M50" i="12711"/>
  <c r="U50" i="12709"/>
  <c r="L23" i="12711"/>
  <c r="Q71" i="12709"/>
  <c r="R68" i="12709"/>
  <c r="O36" i="12709" l="1"/>
  <c r="R71" i="12709"/>
  <c r="S68" i="12709"/>
  <c r="S71" i="12709" s="1"/>
  <c r="M68" i="12711"/>
  <c r="U68" i="12709"/>
  <c r="U52" i="12709"/>
  <c r="V50" i="12709"/>
  <c r="V52" i="12709" s="1"/>
  <c r="F16" i="12733"/>
  <c r="D21" i="12733"/>
  <c r="D25" i="12733" s="1"/>
  <c r="O48" i="12709"/>
  <c r="O65" i="12709" s="1"/>
  <c r="Q47" i="12709"/>
  <c r="L82" i="12711"/>
  <c r="L95" i="12711" s="1"/>
  <c r="L36" i="12711"/>
  <c r="O101" i="12709"/>
  <c r="O116" i="12709" s="1"/>
  <c r="Q99" i="12709"/>
  <c r="M52" i="12711"/>
  <c r="N50" i="12711"/>
  <c r="U79" i="12709"/>
  <c r="V76" i="12709"/>
  <c r="V79" i="12709" s="1"/>
  <c r="Q23" i="12709"/>
  <c r="R22" i="12709"/>
  <c r="L101" i="12711"/>
  <c r="L116" i="12711" s="1"/>
  <c r="H21" i="12733"/>
  <c r="I16" i="12733"/>
  <c r="I21" i="12733" s="1"/>
  <c r="Q20" i="12709"/>
  <c r="R13" i="12709"/>
  <c r="L48" i="12711"/>
  <c r="L65" i="12711" s="1"/>
  <c r="Q126" i="12709"/>
  <c r="Q136" i="12709" s="1"/>
  <c r="J20" i="12733" s="1"/>
  <c r="K20" i="12733" s="1"/>
  <c r="L20" i="12733" s="1"/>
  <c r="R120" i="12709"/>
  <c r="O82" i="12709"/>
  <c r="O95" i="12709" s="1"/>
  <c r="Q81" i="12709"/>
  <c r="M79" i="12711"/>
  <c r="N76" i="12711"/>
  <c r="N139" i="12709"/>
  <c r="Q74" i="12709"/>
  <c r="R73" i="12709"/>
  <c r="R39" i="12709"/>
  <c r="Q42" i="12709"/>
  <c r="Q45" i="12709"/>
  <c r="R44" i="12709"/>
  <c r="Q36" i="12709" l="1"/>
  <c r="J16" i="12733" s="1"/>
  <c r="O139" i="12709"/>
  <c r="R45" i="12709"/>
  <c r="S44" i="12709"/>
  <c r="S45" i="12709" s="1"/>
  <c r="M44" i="12711"/>
  <c r="U44" i="12709"/>
  <c r="M22" i="12711"/>
  <c r="R23" i="12709"/>
  <c r="S22" i="12709"/>
  <c r="S23" i="12709" s="1"/>
  <c r="U22" i="12709"/>
  <c r="S39" i="12709"/>
  <c r="S42" i="12709" s="1"/>
  <c r="R42" i="12709"/>
  <c r="M39" i="12711"/>
  <c r="U39" i="12709"/>
  <c r="Q48" i="12709"/>
  <c r="Q65" i="12709" s="1"/>
  <c r="J17" i="12733" s="1"/>
  <c r="K17" i="12733" s="1"/>
  <c r="L17" i="12733" s="1"/>
  <c r="R47" i="12709"/>
  <c r="R126" i="12709"/>
  <c r="R136" i="12709" s="1"/>
  <c r="M120" i="12711"/>
  <c r="S120" i="12709"/>
  <c r="S126" i="12709" s="1"/>
  <c r="S136" i="12709" s="1"/>
  <c r="U120" i="12709"/>
  <c r="R74" i="12709"/>
  <c r="M73" i="12711"/>
  <c r="S73" i="12709"/>
  <c r="S74" i="12709" s="1"/>
  <c r="U73" i="12709"/>
  <c r="N52" i="12711"/>
  <c r="O50" i="12711"/>
  <c r="O52" i="12711" s="1"/>
  <c r="B11" i="12751"/>
  <c r="B26" i="12751"/>
  <c r="R99" i="12709"/>
  <c r="Q101" i="12709"/>
  <c r="Q116" i="12709" s="1"/>
  <c r="J19" i="12733" s="1"/>
  <c r="K19" i="12733" s="1"/>
  <c r="L19" i="12733" s="1"/>
  <c r="U71" i="12709"/>
  <c r="V68" i="12709"/>
  <c r="V71" i="12709" s="1"/>
  <c r="O76" i="12711"/>
  <c r="O79" i="12711" s="1"/>
  <c r="N79" i="12711"/>
  <c r="L139" i="12711"/>
  <c r="Q82" i="12709"/>
  <c r="Q95" i="12709" s="1"/>
  <c r="R81" i="12709"/>
  <c r="R20" i="12709"/>
  <c r="M13" i="12711"/>
  <c r="S13" i="12709"/>
  <c r="S20" i="12709" s="1"/>
  <c r="U13" i="12709"/>
  <c r="F21" i="12733"/>
  <c r="F25" i="12733" s="1"/>
  <c r="G16" i="12733"/>
  <c r="M71" i="12711"/>
  <c r="N68" i="12711"/>
  <c r="S36" i="12709" l="1"/>
  <c r="R36" i="12709"/>
  <c r="J18" i="12733"/>
  <c r="K18" i="12733" s="1"/>
  <c r="L18" i="12733" s="1"/>
  <c r="Q139" i="12709"/>
  <c r="G21" i="12733"/>
  <c r="M20" i="12711"/>
  <c r="N13" i="12711"/>
  <c r="B8" i="12751"/>
  <c r="B23" i="12751"/>
  <c r="D26" i="12751"/>
  <c r="K26" i="12751"/>
  <c r="H26" i="12751"/>
  <c r="U74" i="12709"/>
  <c r="V73" i="12709"/>
  <c r="V74" i="12709" s="1"/>
  <c r="K16" i="12733"/>
  <c r="K11" i="12751"/>
  <c r="H11" i="12751"/>
  <c r="D11" i="12751"/>
  <c r="U126" i="12709"/>
  <c r="U136" i="12709" s="1"/>
  <c r="V120" i="12709"/>
  <c r="V126" i="12709" s="1"/>
  <c r="V136" i="12709" s="1"/>
  <c r="M23" i="12711"/>
  <c r="N22" i="12711"/>
  <c r="S81" i="12709"/>
  <c r="S82" i="12709" s="1"/>
  <c r="S95" i="12709" s="1"/>
  <c r="R82" i="12709"/>
  <c r="R95" i="12709" s="1"/>
  <c r="M81" i="12711"/>
  <c r="U81" i="12709"/>
  <c r="B25" i="12751"/>
  <c r="B10" i="12751"/>
  <c r="M74" i="12711"/>
  <c r="N73" i="12711"/>
  <c r="R48" i="12709"/>
  <c r="R65" i="12709" s="1"/>
  <c r="M47" i="12711"/>
  <c r="S47" i="12709"/>
  <c r="S48" i="12709" s="1"/>
  <c r="S65" i="12709" s="1"/>
  <c r="U47" i="12709"/>
  <c r="U42" i="12709"/>
  <c r="V39" i="12709"/>
  <c r="V42" i="12709" s="1"/>
  <c r="U23" i="12709"/>
  <c r="V22" i="12709"/>
  <c r="V23" i="12709" s="1"/>
  <c r="U45" i="12709"/>
  <c r="V44" i="12709"/>
  <c r="V45" i="12709" s="1"/>
  <c r="N71" i="12711"/>
  <c r="O68" i="12711"/>
  <c r="O71" i="12711" s="1"/>
  <c r="U20" i="12709"/>
  <c r="V13" i="12709"/>
  <c r="R101" i="12709"/>
  <c r="R116" i="12709" s="1"/>
  <c r="M99" i="12711"/>
  <c r="S99" i="12709"/>
  <c r="S101" i="12709" s="1"/>
  <c r="S116" i="12709" s="1"/>
  <c r="U99" i="12709"/>
  <c r="M126" i="12711"/>
  <c r="M136" i="12711" s="1"/>
  <c r="N120" i="12711"/>
  <c r="M42" i="12711"/>
  <c r="N39" i="12711"/>
  <c r="M45" i="12711"/>
  <c r="N44" i="12711"/>
  <c r="V20" i="12709" l="1"/>
  <c r="W13" i="12709"/>
  <c r="J21" i="12733"/>
  <c r="V36" i="12709"/>
  <c r="K21" i="12733"/>
  <c r="L21" i="12733" s="1"/>
  <c r="L25" i="12733" s="1"/>
  <c r="S139" i="12709"/>
  <c r="R139" i="12709"/>
  <c r="M82" i="12711"/>
  <c r="M95" i="12711" s="1"/>
  <c r="N81" i="12711"/>
  <c r="L16" i="12733"/>
  <c r="N45" i="12711"/>
  <c r="O44" i="12711"/>
  <c r="O45" i="12711" s="1"/>
  <c r="M101" i="12711"/>
  <c r="M116" i="12711" s="1"/>
  <c r="N99" i="12711"/>
  <c r="O39" i="12711"/>
  <c r="O42" i="12711" s="1"/>
  <c r="N42" i="12711"/>
  <c r="U101" i="12709"/>
  <c r="U116" i="12709" s="1"/>
  <c r="V99" i="12709"/>
  <c r="V101" i="12709" s="1"/>
  <c r="V116" i="12709" s="1"/>
  <c r="U48" i="12709"/>
  <c r="U65" i="12709" s="1"/>
  <c r="V47" i="12709"/>
  <c r="V48" i="12709" s="1"/>
  <c r="V65" i="12709" s="1"/>
  <c r="O73" i="12711"/>
  <c r="O74" i="12711" s="1"/>
  <c r="N74" i="12711"/>
  <c r="U82" i="12709"/>
  <c r="U95" i="12709" s="1"/>
  <c r="V81" i="12709"/>
  <c r="V82" i="12709" s="1"/>
  <c r="V95" i="12709" s="1"/>
  <c r="N23" i="12711"/>
  <c r="O22" i="12711"/>
  <c r="O23" i="12711" s="1"/>
  <c r="M11" i="12751"/>
  <c r="J11" i="12751"/>
  <c r="M36" i="12711"/>
  <c r="K23" i="12751"/>
  <c r="H23" i="12751"/>
  <c r="D23" i="12751"/>
  <c r="M48" i="12711"/>
  <c r="M65" i="12711" s="1"/>
  <c r="N47" i="12711"/>
  <c r="H10" i="12751"/>
  <c r="K10" i="12751"/>
  <c r="D10" i="12751"/>
  <c r="H8" i="12751"/>
  <c r="K8" i="12751"/>
  <c r="D8" i="12751"/>
  <c r="G25" i="12733"/>
  <c r="B9" i="12751"/>
  <c r="B24" i="12751"/>
  <c r="O120" i="12711"/>
  <c r="O126" i="12711" s="1"/>
  <c r="O136" i="12711" s="1"/>
  <c r="N126" i="12711"/>
  <c r="N136" i="12711" s="1"/>
  <c r="U36" i="12709"/>
  <c r="K25" i="12751"/>
  <c r="H25" i="12751"/>
  <c r="D25" i="12751"/>
  <c r="M26" i="12751"/>
  <c r="J26" i="12751"/>
  <c r="O13" i="12711"/>
  <c r="O20" i="12711" s="1"/>
  <c r="N20" i="12711"/>
  <c r="O36" i="12711" l="1"/>
  <c r="V139" i="12709"/>
  <c r="N36" i="12711"/>
  <c r="O47" i="12711"/>
  <c r="O48" i="12711" s="1"/>
  <c r="O65" i="12711" s="1"/>
  <c r="N48" i="12711"/>
  <c r="N65" i="12711" s="1"/>
  <c r="J23" i="12751"/>
  <c r="M23" i="12751"/>
  <c r="N82" i="12711"/>
  <c r="N95" i="12711" s="1"/>
  <c r="O81" i="12711"/>
  <c r="O82" i="12711" s="1"/>
  <c r="O95" i="12711" s="1"/>
  <c r="M10" i="12751"/>
  <c r="J10" i="12751"/>
  <c r="J25" i="12751"/>
  <c r="M25" i="12751"/>
  <c r="U139" i="12709"/>
  <c r="H24" i="12751"/>
  <c r="D24" i="12751"/>
  <c r="K24" i="12751"/>
  <c r="M8" i="12751"/>
  <c r="J8" i="12751"/>
  <c r="H9" i="12751"/>
  <c r="K9" i="12751"/>
  <c r="D9" i="12751"/>
  <c r="M139" i="12711"/>
  <c r="O99" i="12711"/>
  <c r="O101" i="12711" s="1"/>
  <c r="O116" i="12711" s="1"/>
  <c r="N101" i="12711"/>
  <c r="N116" i="12711" s="1"/>
  <c r="B7" i="12751"/>
  <c r="B22" i="12751"/>
  <c r="O139" i="12711" l="1"/>
  <c r="N139" i="12711"/>
  <c r="K22" i="12751"/>
  <c r="D22" i="12751"/>
  <c r="B27" i="12751"/>
  <c r="H22" i="12751"/>
  <c r="H27" i="12751" s="1"/>
  <c r="J9" i="12751"/>
  <c r="M9" i="12751"/>
  <c r="M24" i="12751"/>
  <c r="J24" i="12751"/>
  <c r="K7" i="12751"/>
  <c r="B12" i="12751"/>
  <c r="H7" i="12751"/>
  <c r="D7" i="12751"/>
  <c r="J7" i="12751" l="1"/>
  <c r="M7" i="12751"/>
  <c r="K27" i="12751"/>
  <c r="D27" i="12751"/>
  <c r="K12" i="12751"/>
  <c r="H12" i="12751"/>
  <c r="D12" i="12751"/>
  <c r="M22" i="12751"/>
  <c r="J22" i="12751"/>
  <c r="M27" i="12751" l="1"/>
  <c r="J27" i="12751"/>
  <c r="J12" i="12751"/>
  <c r="M12" i="127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P15223</author>
  </authors>
  <commentList>
    <comment ref="A1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P15223:</t>
        </r>
        <r>
          <rPr>
            <sz val="8"/>
            <color indexed="81"/>
            <rFont val="Tahoma"/>
            <family val="2"/>
          </rPr>
          <t xml:space="preserve">
Use this sheet if SBC changes mid-period.</t>
        </r>
      </text>
    </comment>
  </commentList>
</comments>
</file>

<file path=xl/sharedStrings.xml><?xml version="1.0" encoding="utf-8"?>
<sst xmlns="http://schemas.openxmlformats.org/spreadsheetml/2006/main" count="2575" uniqueCount="472">
  <si>
    <t>Table 1</t>
  </si>
  <si>
    <t>Revenue</t>
  </si>
  <si>
    <t>Semi-Annual Report</t>
  </si>
  <si>
    <t>A</t>
  </si>
  <si>
    <t>B</t>
  </si>
  <si>
    <t>C</t>
  </si>
  <si>
    <t>D</t>
  </si>
  <si>
    <t>E</t>
  </si>
  <si>
    <t>Total</t>
  </si>
  <si>
    <t xml:space="preserve">Total </t>
  </si>
  <si>
    <t>Normalizing</t>
  </si>
  <si>
    <t>Temperature</t>
  </si>
  <si>
    <t>Adjusted</t>
  </si>
  <si>
    <t>Adjustments</t>
  </si>
  <si>
    <t>Normalization</t>
  </si>
  <si>
    <t>Residential</t>
  </si>
  <si>
    <t>Commercial</t>
  </si>
  <si>
    <t>Public St &amp; Hwy</t>
  </si>
  <si>
    <t>Customer</t>
  </si>
  <si>
    <t>Source / Formula</t>
  </si>
  <si>
    <t>Info. Services</t>
  </si>
  <si>
    <t>MWh</t>
  </si>
  <si>
    <t>Month</t>
  </si>
  <si>
    <t>kWh</t>
  </si>
  <si>
    <t>Impact</t>
  </si>
  <si>
    <t>Total Residential</t>
  </si>
  <si>
    <t>Total Commercial</t>
  </si>
  <si>
    <t>Table 3</t>
  </si>
  <si>
    <t>Industrial</t>
  </si>
  <si>
    <t xml:space="preserve"> </t>
  </si>
  <si>
    <t>Rate</t>
  </si>
  <si>
    <t>Booked Revenues</t>
  </si>
  <si>
    <t>AGA</t>
  </si>
  <si>
    <t>Subtotal</t>
  </si>
  <si>
    <t>Public Street &amp; Highway Lighting</t>
  </si>
  <si>
    <t>Revenues</t>
  </si>
  <si>
    <t>Price*</t>
  </si>
  <si>
    <t>Average</t>
  </si>
  <si>
    <t>Customers</t>
  </si>
  <si>
    <t>Booked</t>
  </si>
  <si>
    <t>A + D</t>
  </si>
  <si>
    <t>B + C</t>
  </si>
  <si>
    <t>Adjustment</t>
  </si>
  <si>
    <t>Temperature Normalization</t>
  </si>
  <si>
    <t>State of Washington</t>
  </si>
  <si>
    <t>02RESD00016</t>
  </si>
  <si>
    <t>02RESD00018</t>
  </si>
  <si>
    <t>02OALTO15R</t>
  </si>
  <si>
    <t>02GNSV0024</t>
  </si>
  <si>
    <t>02GNSV024F</t>
  </si>
  <si>
    <t>02LGSV0036</t>
  </si>
  <si>
    <t>02LGSV048T</t>
  </si>
  <si>
    <t>02OALT015N</t>
  </si>
  <si>
    <t>02RCFL0054</t>
  </si>
  <si>
    <t>02GNSV24FP</t>
  </si>
  <si>
    <t>02APSV0040</t>
  </si>
  <si>
    <t>02APSV040X</t>
  </si>
  <si>
    <t>02LGSV048M</t>
  </si>
  <si>
    <t>02COSL0052</t>
  </si>
  <si>
    <t>02CUSL053F</t>
  </si>
  <si>
    <t>02CUSL053M</t>
  </si>
  <si>
    <t>02HPSV0051</t>
  </si>
  <si>
    <t>02MVSL0057</t>
  </si>
  <si>
    <t>Schedule 16</t>
  </si>
  <si>
    <t>Schedule 24</t>
  </si>
  <si>
    <t>Sub Total</t>
  </si>
  <si>
    <t>$</t>
  </si>
  <si>
    <t>48T</t>
  </si>
  <si>
    <t>Sch. 191</t>
  </si>
  <si>
    <t xml:space="preserve">Adjustments </t>
  </si>
  <si>
    <t>Washington</t>
  </si>
  <si>
    <t>Total Washington</t>
  </si>
  <si>
    <t>Unbilled Rev</t>
  </si>
  <si>
    <t>Unbilled Rev.</t>
  </si>
  <si>
    <t>Unbilled Sales</t>
  </si>
  <si>
    <t>kWhs</t>
  </si>
  <si>
    <t>BPA Balance Acct.</t>
  </si>
  <si>
    <r>
      <t>Normalization</t>
    </r>
    <r>
      <rPr>
        <vertAlign val="superscript"/>
        <sz val="12"/>
        <rFont val="Times New Roman"/>
        <family val="1"/>
      </rPr>
      <t>1</t>
    </r>
  </si>
  <si>
    <t>Rev.</t>
  </si>
  <si>
    <t>Total Adj.</t>
  </si>
  <si>
    <t>Adj.</t>
  </si>
  <si>
    <t xml:space="preserve">Table 1 </t>
  </si>
  <si>
    <t>Other Non-Tariff Cont./Firm</t>
  </si>
  <si>
    <t>Other Non-Tariff Cont./Non-Firm</t>
  </si>
  <si>
    <t>Total with Contracts</t>
  </si>
  <si>
    <t>Non-Washington Contracts</t>
  </si>
  <si>
    <t>02RESD00017</t>
  </si>
  <si>
    <t>BPA Balancing Account</t>
  </si>
  <si>
    <t>BPA Balance Acct</t>
  </si>
  <si>
    <t>BPA Balancing Acct</t>
  </si>
  <si>
    <t>BPA</t>
  </si>
  <si>
    <t>Table 2</t>
  </si>
  <si>
    <t>Revenue Class Description</t>
  </si>
  <si>
    <t>Rate Description</t>
  </si>
  <si>
    <t>COMMERCIAL SALES</t>
  </si>
  <si>
    <t>02GNSV0024-WA GEN SRVC</t>
  </si>
  <si>
    <t>02GNSV024F-WA GEN SRVC-FL</t>
  </si>
  <si>
    <t>02LGSV0036-WA LRG GEN SRV</t>
  </si>
  <si>
    <t>02LGSV048T-LRG GEN SRVC 1</t>
  </si>
  <si>
    <t>02LNX00102-LINE EXT 80% G</t>
  </si>
  <si>
    <t>02LNX00103-LINE EXT 80% G</t>
  </si>
  <si>
    <t>02LNX00105-CNTRCT $ MIN G</t>
  </si>
  <si>
    <t>02LNX00109-REF/NREF ADV +</t>
  </si>
  <si>
    <t>02LNX00110-REF/NREF ADV +</t>
  </si>
  <si>
    <t>02LNX00112-YR INCURRED CH</t>
  </si>
  <si>
    <t>02OALT015N-WA OUTD AR LGT</t>
  </si>
  <si>
    <t>02RCFL0054-WA REC FIELD L</t>
  </si>
  <si>
    <t>02RFNDCENT - CENTRALIA RFND</t>
  </si>
  <si>
    <t>02ZZMERGCR-MERGER CREDITS</t>
  </si>
  <si>
    <t>BPA BALANCING ACCOUNT</t>
  </si>
  <si>
    <t>CUSTOMER COUNT - BPA</t>
  </si>
  <si>
    <t>CUSTOMER COUNT - REGULAR</t>
  </si>
  <si>
    <t>UNBILLED REVENUE</t>
  </si>
  <si>
    <t>Sum:</t>
  </si>
  <si>
    <t>INDUSTRIAL SALES</t>
  </si>
  <si>
    <t>02LGSV048M-WA LRG GEN SRV</t>
  </si>
  <si>
    <t>02PRSV47TM-LRG PART REQMT</t>
  </si>
  <si>
    <t>IRRIGATION SALES</t>
  </si>
  <si>
    <t>02APSV0040-WA AG PMP SRVC</t>
  </si>
  <si>
    <t>02APSV040X-WA AG PMP SRVC</t>
  </si>
  <si>
    <t>CUSTOMER CNT - IRRIGATION</t>
  </si>
  <si>
    <t>CUSTOMER CNT - IRRIG BPA</t>
  </si>
  <si>
    <t>IRRIGATION BPA BAL ACCT</t>
  </si>
  <si>
    <t>IRRIGATION UNBILLED</t>
  </si>
  <si>
    <t>PUBLIC STREET&amp;HIGHWAY LIGHTING</t>
  </si>
  <si>
    <t>02CFR00012-STR LGTS (CONV</t>
  </si>
  <si>
    <t>02COSL0052-WA STR LGT SRV</t>
  </si>
  <si>
    <t>02CUSL053F-WA STR LGT SRV</t>
  </si>
  <si>
    <t>02CUSL053M-WA STR LGT SRV</t>
  </si>
  <si>
    <t>02HPSV0051-WA HI PRESSURE</t>
  </si>
  <si>
    <t>02MVSL0057-WA MERC VAPSTR</t>
  </si>
  <si>
    <t>RESIDENTIAL SALES</t>
  </si>
  <si>
    <t>02RESD0016-WA RES SRVC</t>
  </si>
  <si>
    <t>02RESD0017-BILL ASSISTANC</t>
  </si>
  <si>
    <t>02RESD0017-BILL ASSISTANCE</t>
  </si>
  <si>
    <t>02RESD0018-WA 3 PHASE RES</t>
  </si>
  <si>
    <t>02RESD018X-WA 3 PHASE RES</t>
  </si>
  <si>
    <t>24f</t>
  </si>
  <si>
    <t>aga</t>
  </si>
  <si>
    <t>15n</t>
  </si>
  <si>
    <t>bpa</t>
  </si>
  <si>
    <t>unbilled</t>
  </si>
  <si>
    <t>48m</t>
  </si>
  <si>
    <t>48t</t>
  </si>
  <si>
    <t>24fp</t>
  </si>
  <si>
    <t>40x</t>
  </si>
  <si>
    <t>53f</t>
  </si>
  <si>
    <t>53m</t>
  </si>
  <si>
    <t>15r</t>
  </si>
  <si>
    <t>18x</t>
  </si>
  <si>
    <t>02RESD0018X</t>
  </si>
  <si>
    <t>Centralia Refund</t>
  </si>
  <si>
    <t>BPA Adjustment Fee</t>
  </si>
  <si>
    <t>02PRSV47TM</t>
  </si>
  <si>
    <t>Washington Total</t>
  </si>
  <si>
    <t>Check</t>
  </si>
  <si>
    <t>KWhs</t>
  </si>
  <si>
    <t>305 Report</t>
  </si>
  <si>
    <t>Change</t>
  </si>
  <si>
    <t>kWh &amp; Rev</t>
  </si>
  <si>
    <t>Revenue Detail</t>
  </si>
  <si>
    <t>MONTHLY KWH</t>
  </si>
  <si>
    <t>Merger Credit</t>
  </si>
  <si>
    <t>b24fp</t>
  </si>
  <si>
    <t>b16</t>
  </si>
  <si>
    <t>b17</t>
  </si>
  <si>
    <t>b18</t>
  </si>
  <si>
    <t>b18x</t>
  </si>
  <si>
    <t>($000)</t>
  </si>
  <si>
    <t>SBC</t>
  </si>
  <si>
    <t>02LNX00300-LINE EXT 80% G</t>
  </si>
  <si>
    <t>Irrigation</t>
  </si>
  <si>
    <t>Ratio</t>
  </si>
  <si>
    <t>First Block</t>
  </si>
  <si>
    <t>Second Block</t>
  </si>
  <si>
    <t>Ratio from</t>
  </si>
  <si>
    <t>First Block kWh</t>
  </si>
  <si>
    <t>Second Block kWh</t>
  </si>
  <si>
    <t>Third Block</t>
  </si>
  <si>
    <t>Third Block kWh</t>
  </si>
  <si>
    <t>*Energy base rate effective during the month indicated.</t>
  </si>
  <si>
    <t>Total Irrigation</t>
  </si>
  <si>
    <t>% Change</t>
  </si>
  <si>
    <t>( ¢/kWh)</t>
  </si>
  <si>
    <t>1. Revenues are in thousands.</t>
  </si>
  <si>
    <t>02NMT24135, Net metering, WA</t>
  </si>
  <si>
    <t>02LGSB048T - WA GEN SRVC, NO BPA</t>
  </si>
  <si>
    <t>301119 - UNBILLED REV - UNCOLLECTIBLE</t>
  </si>
  <si>
    <t>02GNSB024F-GEN SRVC DOM/F W/BPA</t>
  </si>
  <si>
    <t>02GNSB0024-WA GEN SRVC DO</t>
  </si>
  <si>
    <t>02GNSB24FP-WA GEN SVC SEASONAL</t>
  </si>
  <si>
    <t>ACQUISITION COMMITMENT-A and G CREDIT</t>
  </si>
  <si>
    <t>02LGSB0036-LRG GENSVC IRG W/BPA</t>
  </si>
  <si>
    <t>02OALTB15N-WA OUTD AR LGT NR W/BPA</t>
  </si>
  <si>
    <t>ACQUISITION COMMITMENT-WEST VALLEY LEASE</t>
  </si>
  <si>
    <t>02GNSB0024-WA GEN SRVC DO W/BPA</t>
  </si>
  <si>
    <t>02GNSB24FP-WA GEN SVC SEASONAL W/BPA</t>
  </si>
  <si>
    <t>02OALTB15N-WA OUTD AR LGT NR</t>
  </si>
  <si>
    <t>02GNSB024F-GEN SRVC DOM/F</t>
  </si>
  <si>
    <t>02LGSB0036-LRG GEN SVC IRG</t>
  </si>
  <si>
    <t>02OALTB15R-WA OUTD AR LGT RES</t>
  </si>
  <si>
    <t>02OALTB15R-WA OUTD AR LGT RES W/BPA</t>
  </si>
  <si>
    <t>kwh</t>
  </si>
  <si>
    <t>rev</t>
  </si>
  <si>
    <t>b24f</t>
  </si>
  <si>
    <t>b36</t>
  </si>
  <si>
    <t>b15n</t>
  </si>
  <si>
    <t>Acquisition Commitment</t>
  </si>
  <si>
    <t>b24</t>
  </si>
  <si>
    <t>b15r</t>
  </si>
  <si>
    <t>Schedule 18</t>
  </si>
  <si>
    <t>02LNX00311 - LINE EXT 80% GUARANTEE</t>
  </si>
  <si>
    <t>02LNX00310 - IRG, 80% ANNUAL MIN + 80%</t>
  </si>
  <si>
    <t>02LNX00312 - WA IRG LINE EXT</t>
  </si>
  <si>
    <t>02BLSKY01R-BLUESKY ENERGY</t>
  </si>
  <si>
    <t>Washington- 12 Months Ending December 2007 - Monthly KWH</t>
  </si>
  <si>
    <t>Effective</t>
  </si>
  <si>
    <t>02NETMT135 - WA RES NET METERING</t>
  </si>
  <si>
    <t>02NETMT135</t>
  </si>
  <si>
    <t>Error Check</t>
  </si>
  <si>
    <r>
      <t>Adjustments</t>
    </r>
    <r>
      <rPr>
        <vertAlign val="superscript"/>
        <sz val="12"/>
        <rFont val="Times New Roman"/>
        <family val="1"/>
      </rPr>
      <t>2</t>
    </r>
  </si>
  <si>
    <t>SMUD REVENUE IMPUTATIONS</t>
  </si>
  <si>
    <t>02NETMT135 - WA RES NET METERING-BPA</t>
  </si>
  <si>
    <t>305 from Cognos (305 Reports)</t>
  </si>
  <si>
    <t>SMUD</t>
  </si>
  <si>
    <t>bpaadj</t>
  </si>
  <si>
    <t>b40</t>
  </si>
  <si>
    <t>A + B</t>
  </si>
  <si>
    <t>WASHINGTON - CHEHALIS DEFERRAL</t>
  </si>
  <si>
    <t>REVENUE_ACCOUNTING ADJUSTMENTS</t>
  </si>
  <si>
    <t>02NMT36135-WA NET METER LRG SVC &lt; 1000KW</t>
  </si>
  <si>
    <t>301461-IRRIGATION DEMAND CHARGE ACCRUAL</t>
  </si>
  <si>
    <t>52f</t>
  </si>
  <si>
    <t>b135</t>
  </si>
  <si>
    <t>Chehalis Deferral</t>
  </si>
  <si>
    <t>Rev Adjustment</t>
  </si>
  <si>
    <t>def</t>
  </si>
  <si>
    <t>Irrigation Demand Charge</t>
  </si>
  <si>
    <t>02CFR0012</t>
  </si>
  <si>
    <t>Total Revenues all Classes</t>
  </si>
  <si>
    <t>Revenue Adjustment</t>
  </si>
  <si>
    <t xml:space="preserve">   </t>
  </si>
  <si>
    <r>
      <t>Adjustments</t>
    </r>
    <r>
      <rPr>
        <vertAlign val="superscript"/>
        <sz val="12"/>
        <rFont val="Times New Roman"/>
        <family val="1"/>
      </rPr>
      <t>1</t>
    </r>
  </si>
  <si>
    <t>02BLSKY01N-BLUESKY ENERGY</t>
  </si>
  <si>
    <t>02UPPL000R-BASE SCH FALL</t>
  </si>
  <si>
    <t>Revenue 1</t>
  </si>
  <si>
    <t>Restating</t>
  </si>
  <si>
    <t>Total Restating</t>
  </si>
  <si>
    <t>Revenue Accounting Adj</t>
  </si>
  <si>
    <t>Irrigation Demand Charge Accrual</t>
  </si>
  <si>
    <t>Schedule 17</t>
  </si>
  <si>
    <t>PacifiCorp</t>
  </si>
  <si>
    <t xml:space="preserve">PacifiCorp </t>
  </si>
  <si>
    <t>REVENUE ADJUSTMENT - DEFERRED NPC</t>
  </si>
  <si>
    <t>02RGNSB024-WA SMALL GENERAL SVC-RES</t>
  </si>
  <si>
    <t>02RGNSB024-WA SMALL GENERAL SVC-RES-BPA</t>
  </si>
  <si>
    <t>Washington- December 2011</t>
  </si>
  <si>
    <t>12 Months Ended December 2011</t>
  </si>
  <si>
    <t>Washington- 12 Months Ended December 2011</t>
  </si>
  <si>
    <r>
      <t>Revenue</t>
    </r>
    <r>
      <rPr>
        <vertAlign val="superscript"/>
        <sz val="8"/>
        <rFont val="Times New Roman"/>
        <family val="1"/>
      </rPr>
      <t xml:space="preserve"> 1</t>
    </r>
  </si>
  <si>
    <r>
      <t>1</t>
    </r>
    <r>
      <rPr>
        <sz val="12"/>
        <rFont val="Times New Roman"/>
        <family val="1"/>
      </rPr>
      <t xml:space="preserve"> Temperature normalization.</t>
    </r>
  </si>
  <si>
    <t>Sch. 96</t>
  </si>
  <si>
    <t>24F</t>
  </si>
  <si>
    <t>24FP</t>
  </si>
  <si>
    <t>40X</t>
  </si>
  <si>
    <t>53F</t>
  </si>
  <si>
    <t>18X</t>
  </si>
  <si>
    <t>Jan 2011 - Mar 2011</t>
  </si>
  <si>
    <t>301270-DSM REVENUE-COMMERCIAL</t>
  </si>
  <si>
    <t>301280-BLUE SKY REVENUE-COMMERCIAL</t>
  </si>
  <si>
    <t>301370-DSM REVENUE-INDUSTRIAL</t>
  </si>
  <si>
    <t>301470-DSM REVENUE-IRRIGATION</t>
  </si>
  <si>
    <t>301480-BLUE SKY REVENUE-IRRIGATION</t>
  </si>
  <si>
    <t>dsm</t>
  </si>
  <si>
    <t>blue</t>
  </si>
  <si>
    <t xml:space="preserve">DSM </t>
  </si>
  <si>
    <t>Blue Sky</t>
  </si>
  <si>
    <t>301670-DSM REVENUE-PSHL</t>
  </si>
  <si>
    <t>301170-DSM REVENUE-RESIDENTIAL</t>
  </si>
  <si>
    <t>301180-BLUE SKY REVENUE-RESIDENTIAL</t>
  </si>
  <si>
    <t>DSM</t>
  </si>
  <si>
    <t>02RGNSB024</t>
  </si>
  <si>
    <t>Days</t>
  </si>
  <si>
    <t>Schedule 40</t>
  </si>
  <si>
    <t>Res</t>
  </si>
  <si>
    <t>Com</t>
  </si>
  <si>
    <t>Irr</t>
  </si>
  <si>
    <t>Ind</t>
  </si>
  <si>
    <t>Year</t>
  </si>
  <si>
    <t>Sch 16</t>
  </si>
  <si>
    <t>Sch 17</t>
  </si>
  <si>
    <t>Sch 18</t>
  </si>
  <si>
    <t>Sch 24</t>
  </si>
  <si>
    <t>Sch 36</t>
  </si>
  <si>
    <t>Sch 48</t>
  </si>
  <si>
    <t>Sch 40</t>
  </si>
  <si>
    <t xml:space="preserve">BPA Adjustment  </t>
  </si>
  <si>
    <t>Surcharge</t>
  </si>
  <si>
    <t>Class</t>
  </si>
  <si>
    <t>Schedule</t>
  </si>
  <si>
    <t>Residential Total</t>
  </si>
  <si>
    <t>Commercial Total</t>
  </si>
  <si>
    <t>Industrial Total</t>
  </si>
  <si>
    <t>Irrigation Total</t>
  </si>
  <si>
    <t>PS&amp;H Lighting Total</t>
  </si>
  <si>
    <t>Totals</t>
  </si>
  <si>
    <t>December 2010-for 2011 GRC Ordered</t>
  </si>
  <si>
    <t>Comparison of June 2014 Semi-Annual versus December 2010 for 2011 GRC Ordered</t>
  </si>
  <si>
    <t>02NMT48135-WA LG SVC NET METER=&gt;1000 KW</t>
  </si>
  <si>
    <t>02NMT40135-WA NET METERING-IRG</t>
  </si>
  <si>
    <t>02NMT40135-WA NET METERING BPA-IRG</t>
  </si>
  <si>
    <t>02RESD0016-WA RES SRVC-BPA</t>
  </si>
  <si>
    <t>02RESD0018-WA 3 PHASE RES-BPA</t>
  </si>
  <si>
    <t>02RESD018X-WA 3 PHASE RES-BPA</t>
  </si>
  <si>
    <t>Adjustments (MWh)</t>
  </si>
  <si>
    <t>Schedule 36</t>
  </si>
  <si>
    <t>Schedule 48</t>
  </si>
  <si>
    <t>Secondary</t>
  </si>
  <si>
    <t>Primary</t>
  </si>
  <si>
    <t>02SLCO0051-WA COMPANY STREET LIGHTING</t>
  </si>
  <si>
    <t>F</t>
  </si>
  <si>
    <t>Annualized</t>
  </si>
  <si>
    <t xml:space="preserve">  </t>
  </si>
  <si>
    <r>
      <t>Rate Change</t>
    </r>
    <r>
      <rPr>
        <vertAlign val="superscript"/>
        <sz val="12"/>
        <rFont val="Times New Roman"/>
        <family val="1"/>
      </rPr>
      <t>2</t>
    </r>
  </si>
  <si>
    <t>Total Annualized</t>
  </si>
  <si>
    <t>Total Adj.Rev.</t>
  </si>
  <si>
    <t>Increase</t>
  </si>
  <si>
    <t>Restating and Annualized Adj.</t>
  </si>
  <si>
    <t>Price</t>
  </si>
  <si>
    <t>G</t>
  </si>
  <si>
    <t>H</t>
  </si>
  <si>
    <t>305 by Class by Rate Group Cd</t>
  </si>
  <si>
    <t>State Desc</t>
  </si>
  <si>
    <t>Revenue Class Desc</t>
  </si>
  <si>
    <t>Rate Group Cd</t>
  </si>
  <si>
    <t>Rate Desc</t>
  </si>
  <si>
    <t>R</t>
  </si>
  <si>
    <t>U</t>
  </si>
  <si>
    <t>Code</t>
  </si>
  <si>
    <t>Code (BPA)</t>
  </si>
  <si>
    <t>cent</t>
  </si>
  <si>
    <t>acq</t>
  </si>
  <si>
    <t>merger</t>
  </si>
  <si>
    <t>smud</t>
  </si>
  <si>
    <t>irr</t>
  </si>
  <si>
    <t>Annualizing</t>
  </si>
  <si>
    <t>Present Period Beginning</t>
  </si>
  <si>
    <t>Present Period Ending</t>
  </si>
  <si>
    <t>Elapsed Days</t>
  </si>
  <si>
    <t>Post Effective Days in Period</t>
  </si>
  <si>
    <t>Year 2 - Rate Case Effective Date</t>
  </si>
  <si>
    <t>Pro Forma</t>
  </si>
  <si>
    <t>Effective 9/15/2017</t>
  </si>
  <si>
    <t>Pro Forma Period Beginning</t>
  </si>
  <si>
    <t>Pro Forma Period Ending</t>
  </si>
  <si>
    <t>Total Pro Forma</t>
  </si>
  <si>
    <r>
      <t>Rate Change</t>
    </r>
    <r>
      <rPr>
        <vertAlign val="superscript"/>
        <sz val="12"/>
        <rFont val="Times New Roman"/>
        <family val="1"/>
      </rPr>
      <t>3</t>
    </r>
  </si>
  <si>
    <t>I</t>
  </si>
  <si>
    <t>J</t>
  </si>
  <si>
    <t>E + G + I</t>
  </si>
  <si>
    <t>02NMX40135-WA NET METERING-IRG</t>
  </si>
  <si>
    <t>02RNM24135-RES NET MTR SMALL GEN SVC-BPA</t>
  </si>
  <si>
    <t>02RGNSB036-RES LRG GEN SVC &lt; 1000 KW</t>
  </si>
  <si>
    <t>02RNM24135-RES NET METER SMALL GEN SVC</t>
  </si>
  <si>
    <t>02RGNSB036-RES LRG GEN SVC &lt; 1000 KW BPA</t>
  </si>
  <si>
    <t>301380-BLUE SKY REVENUE-INDUSTRIAL</t>
  </si>
  <si>
    <t>02RGNSB036</t>
  </si>
  <si>
    <t xml:space="preserve">STATE OF WASHINGTON - PPL               </t>
  </si>
  <si>
    <t xml:space="preserve">02GNSV0024-WA GEN SRVC                  </t>
  </si>
  <si>
    <t xml:space="preserve">02GNSV024F-WA GEN SRVC-FL               </t>
  </si>
  <si>
    <t xml:space="preserve">02LGSV0036-WA LRG GEN SRV               </t>
  </si>
  <si>
    <t xml:space="preserve">02LGSV048T-LRG GEN SRVC 1               </t>
  </si>
  <si>
    <t xml:space="preserve">02LNX00102-LINE EXT 80% G               </t>
  </si>
  <si>
    <t xml:space="preserve">02LNX00103-LINE EXT 80% G               </t>
  </si>
  <si>
    <t xml:space="preserve">02LNX00105-CNTRCT $ MIN G               </t>
  </si>
  <si>
    <t xml:space="preserve">02LNX00109-REF/NREF ADV +               </t>
  </si>
  <si>
    <t xml:space="preserve">02LNX00110-REF/NREF ADV +               </t>
  </si>
  <si>
    <t xml:space="preserve">02LNX00112-YR INCURRED CH               </t>
  </si>
  <si>
    <t xml:space="preserve">02OALT015N-WA OUTD AR LGT               </t>
  </si>
  <si>
    <t xml:space="preserve">02RCFL0054-WA REC FIELD L               </t>
  </si>
  <si>
    <t xml:space="preserve">BPA BALANCING ACCOUNT                   </t>
  </si>
  <si>
    <t xml:space="preserve">CUSTOMER COUNT - BPA                    </t>
  </si>
  <si>
    <t xml:space="preserve">CUSTOMER COUNT - REGULAR                </t>
  </si>
  <si>
    <t xml:space="preserve">UNBILLED REVENUE                        </t>
  </si>
  <si>
    <t xml:space="preserve">02PRSV47TM-LRG PART REQMT               </t>
  </si>
  <si>
    <t xml:space="preserve">02APSV0040-WA AG PMP SRVC               </t>
  </si>
  <si>
    <t xml:space="preserve">02APSV040X-WA AG PMP SRVC               </t>
  </si>
  <si>
    <t xml:space="preserve">02BPADEBIT-BPA ADJUST FEE               </t>
  </si>
  <si>
    <t xml:space="preserve">CUSTOMER CNT - IRRIGATION               </t>
  </si>
  <si>
    <t xml:space="preserve">CUSTOMER CNT - IRRIG BPA                </t>
  </si>
  <si>
    <t xml:space="preserve">IRRIGATION BPA BAL ACCT                 </t>
  </si>
  <si>
    <t xml:space="preserve">IRRIGATION UNBILLED                     </t>
  </si>
  <si>
    <t xml:space="preserve">02CFR00012-STR LGTS (CONV               </t>
  </si>
  <si>
    <t xml:space="preserve">02COSL0052-WA STR LGT SRV               </t>
  </si>
  <si>
    <t xml:space="preserve">02CUSL053F-WA STR LGT SRV               </t>
  </si>
  <si>
    <t xml:space="preserve">02CUSL053M-WA STR LGT SRV               </t>
  </si>
  <si>
    <t xml:space="preserve">02MVSL0057-WA MERC VAPSTR               </t>
  </si>
  <si>
    <t xml:space="preserve">02BLSKY01R-BLUESKY ENERGY               </t>
  </si>
  <si>
    <t xml:space="preserve">02RESD0016-WA RES SRVC                  </t>
  </si>
  <si>
    <t xml:space="preserve">02RESD0017-BILL ASSISTANC               </t>
  </si>
  <si>
    <t xml:space="preserve">02RESD0018-WA 3 PHASE RES               </t>
  </si>
  <si>
    <t xml:space="preserve">02RESD018X-WA 3 PHASE RES               </t>
  </si>
  <si>
    <t>Restating &amp; Annualized</t>
  </si>
  <si>
    <t>ALT REVENUE PROGRAM ADJUSTMENTS</t>
  </si>
  <si>
    <t>INCOME TAX DEFERRAL ADJUSTMENTS</t>
  </si>
  <si>
    <t>Alt Revenue Program</t>
  </si>
  <si>
    <t>Income Tax Deferral</t>
  </si>
  <si>
    <t>itd</t>
  </si>
  <si>
    <t>arp</t>
  </si>
  <si>
    <t>15</t>
  </si>
  <si>
    <t>36</t>
  </si>
  <si>
    <t>48T-DF</t>
  </si>
  <si>
    <t>51</t>
  </si>
  <si>
    <t>52</t>
  </si>
  <si>
    <t>53</t>
  </si>
  <si>
    <t xml:space="preserve">Sch. 93 </t>
  </si>
  <si>
    <t>Decoupling</t>
  </si>
  <si>
    <t>Ck</t>
  </si>
  <si>
    <t>02NMB24135, Net metering, WA-BPA</t>
  </si>
  <si>
    <t>02NMB24135-WA NET METERING</t>
  </si>
  <si>
    <t>02NMB24135-WA NET metering-BPA</t>
  </si>
  <si>
    <t>PacifiCorp - State of Washington</t>
  </si>
  <si>
    <t>Summary of Schedule 97 Power Cost Adjustment Mechanism Adjustment</t>
  </si>
  <si>
    <t>TOTAL</t>
  </si>
  <si>
    <t>CK</t>
  </si>
  <si>
    <t>RES</t>
  </si>
  <si>
    <t>COM</t>
  </si>
  <si>
    <t>IND</t>
  </si>
  <si>
    <t>IRG</t>
  </si>
  <si>
    <t>PSH</t>
  </si>
  <si>
    <t>TOTALS BY CLASS</t>
  </si>
  <si>
    <t>PCAM</t>
  </si>
  <si>
    <t>02GN24EV45-WA ELECTRIC VEHICLE FAST CHG</t>
  </si>
  <si>
    <t xml:space="preserve">IRRIGATION SALES                        </t>
  </si>
  <si>
    <t>June 2019 Blocking</t>
  </si>
  <si>
    <t>June 2019 GRC</t>
  </si>
  <si>
    <t>Total YTD</t>
  </si>
  <si>
    <t>RVN</t>
  </si>
  <si>
    <t>CSS</t>
  </si>
  <si>
    <t>State</t>
  </si>
  <si>
    <t>$ per kWh</t>
  </si>
  <si>
    <t>ck</t>
  </si>
  <si>
    <t>WA</t>
  </si>
  <si>
    <t>45-24</t>
  </si>
  <si>
    <t>RVN Err Ck</t>
  </si>
  <si>
    <t>WA Prorate Err Ck</t>
  </si>
  <si>
    <t>WA CSS Err Ck</t>
  </si>
  <si>
    <t>Sch. 197</t>
  </si>
  <si>
    <t>Schedule 197 Revenues</t>
  </si>
  <si>
    <t>FTAA Credits - All Schedules</t>
  </si>
  <si>
    <t>Surcredit</t>
  </si>
  <si>
    <t>FTAA Sch 197</t>
  </si>
  <si>
    <t>PCAM Sch 97</t>
  </si>
  <si>
    <t>Decoupling Sch 93</t>
  </si>
  <si>
    <t>SBC Sch 191</t>
  </si>
  <si>
    <t>Revenue Accounting Adjustments, DSM, Blue Sky, Income Tax Deferral, Alternate Revenue Program, FTAA and includes temperature adjustment.</t>
  </si>
  <si>
    <t>FTAA</t>
  </si>
  <si>
    <t>RCS Currnt Mo Rvnu Amt</t>
  </si>
  <si>
    <t>Avg Billing Count</t>
  </si>
  <si>
    <t>RCS Currnt Mo Kwh</t>
  </si>
  <si>
    <t xml:space="preserve">COMMERCIAL SALES                        </t>
  </si>
  <si>
    <t xml:space="preserve">INDUSTRIAL SALES                        </t>
  </si>
  <si>
    <t xml:space="preserve">PUBLIC STREET&amp;HIGHWAY LIGHTING          </t>
  </si>
  <si>
    <t xml:space="preserve">RESIDENTIAL SALES                       </t>
  </si>
  <si>
    <t>12 Months Ended June 2020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</si>
  <si>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Adjustments back out Schedule 191 (System Benefits Charge) -$10,560,899, Revenue Accounting Adjustments $16,851,847, Irrigation Demand Charge Accrual $132,000,</t>
    </r>
  </si>
  <si>
    <r>
      <t>2</t>
    </r>
    <r>
      <rPr>
        <sz val="12"/>
        <rFont val="Times New Roman"/>
        <family val="1"/>
      </rPr>
      <t xml:space="preserve"> Removes Schedule 98 (BPA), Schedule 191 (System Benefits Charge), Schedule 93 (Decoupling), Schedule 97 (PCAM),</t>
    </r>
  </si>
  <si>
    <t>Comparison of June 2020 Semi versus June 2019 GRC</t>
  </si>
  <si>
    <t>DSM -$10,621,586, Blue Sky -$201,810, Income Tax Deferral $0, Alternate Revenue Program $17,589,534, Decoupling $6,042,779, PCAM $6,780,353 and FTAA $8,120,269.</t>
  </si>
  <si>
    <r>
      <t>1</t>
    </r>
    <r>
      <rPr>
        <sz val="12"/>
        <rFont val="Times New Roman"/>
        <family val="1"/>
      </rPr>
      <t xml:space="preserve"> Temperature normalization 36,799,292 kWh.</t>
    </r>
  </si>
  <si>
    <t>June 2020-Semi</t>
  </si>
  <si>
    <t xml:space="preserve">Unbilled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</si>
</sst>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&quot;$&quot;#,##0"/>
    <numFmt numFmtId="166" formatCode="0.0000%"/>
    <numFmt numFmtId="167" formatCode="_(&quot;$&quot;* #,##0_);_(&quot;$&quot;* \(#,##0\);_(&quot;$&quot;* &quot;-&quot;??_);_(@_)"/>
    <numFmt numFmtId="168" formatCode="_(* #,##0_);_(* \(#,##0\);_(* &quot;-&quot;??_);_(@_)"/>
    <numFmt numFmtId="169" formatCode="General_)"/>
    <numFmt numFmtId="170" formatCode="0.000000"/>
    <numFmt numFmtId="171" formatCode="0.0%"/>
    <numFmt numFmtId="172" formatCode="0.00000"/>
    <numFmt numFmtId="173" formatCode="&quot;$&quot;#,##0.00000_);\(&quot;$&quot;#,##0.00000\)"/>
    <numFmt numFmtId="174" formatCode="#,##0.0000"/>
    <numFmt numFmtId="175" formatCode="_(&quot;$&quot;* #,##0.00000_);_(&quot;$&quot;* \(#,##0.00000\);_(&quot;$&quot;* &quot;-&quot;?????_);_(@_)"/>
    <numFmt numFmtId="176" formatCode="0.00_);\(0.00\)"/>
    <numFmt numFmtId="177" formatCode="#,##0.00;\-#,##0.00"/>
    <numFmt numFmtId="178" formatCode="&quot;$&quot;#,##0.00"/>
    <numFmt numFmtId="179" formatCode="########\-###\-###"/>
    <numFmt numFmtId="180" formatCode="#,##0;\-#,##0;#,##0"/>
    <numFmt numFmtId="181" formatCode="\$#,##0.00;&quot;($&quot;#,##0.00\)"/>
    <numFmt numFmtId="182" formatCode="0.0000000"/>
  </numFmts>
  <fonts count="60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 val="double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7"/>
      <name val="Arial"/>
      <family val="2"/>
    </font>
    <font>
      <sz val="10"/>
      <name val="LinePrinter"/>
    </font>
    <font>
      <i/>
      <sz val="9"/>
      <color indexed="17"/>
      <name val="Times New Roman"/>
      <family val="1"/>
    </font>
    <font>
      <sz val="10"/>
      <color indexed="12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8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6"/>
      <name val="Times New Roman"/>
      <family val="1"/>
    </font>
    <font>
      <sz val="12"/>
      <name val="Arial"/>
      <family val="2"/>
      <charset val="1"/>
    </font>
    <font>
      <sz val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vertAlign val="superscript"/>
      <sz val="8"/>
      <name val="Times New Roman"/>
      <family val="1"/>
    </font>
    <font>
      <b/>
      <sz val="14"/>
      <name val="Times New Roman"/>
      <family val="1"/>
    </font>
    <font>
      <sz val="18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sz val="14"/>
      <name val="Arial MT"/>
    </font>
    <font>
      <u/>
      <sz val="14"/>
      <name val="Arial MT"/>
    </font>
    <font>
      <sz val="14"/>
      <name val="Times New Roman"/>
      <family val="1"/>
    </font>
    <font>
      <sz val="9"/>
      <name val="Arial"/>
      <family val="2"/>
    </font>
    <font>
      <u/>
      <sz val="16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9"/>
      <color indexed="63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Times New Roman"/>
      <family val="1"/>
    </font>
    <font>
      <u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4"/>
      <color rgb="FFFF0000"/>
      <name val="Arial MT"/>
    </font>
    <font>
      <sz val="9"/>
      <color indexed="63"/>
      <name val="Arial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</borders>
  <cellStyleXfs count="48">
    <xf numFmtId="0" fontId="0" fillId="0" borderId="0"/>
    <xf numFmtId="43" fontId="7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left"/>
    </xf>
    <xf numFmtId="168" fontId="8" fillId="0" borderId="0" applyFont="0" applyAlignment="0" applyProtection="0"/>
    <xf numFmtId="0" fontId="32" fillId="0" borderId="0"/>
    <xf numFmtId="0" fontId="12" fillId="0" borderId="0"/>
    <xf numFmtId="0" fontId="25" fillId="0" borderId="0"/>
    <xf numFmtId="0" fontId="12" fillId="0" borderId="0"/>
    <xf numFmtId="9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169" fontId="20" fillId="0" borderId="0">
      <alignment horizontal="left"/>
    </xf>
    <xf numFmtId="0" fontId="38" fillId="0" borderId="0"/>
    <xf numFmtId="43" fontId="38" fillId="0" borderId="0" applyFont="0" applyFill="0" applyBorder="0" applyAlignment="0" applyProtection="0"/>
    <xf numFmtId="0" fontId="40" fillId="0" borderId="0">
      <alignment wrapText="1"/>
    </xf>
    <xf numFmtId="0" fontId="41" fillId="0" borderId="0"/>
    <xf numFmtId="0" fontId="41" fillId="0" borderId="0"/>
    <xf numFmtId="43" fontId="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0" fontId="31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31" fillId="0" borderId="0"/>
    <xf numFmtId="0" fontId="40" fillId="0" borderId="0"/>
    <xf numFmtId="43" fontId="40" fillId="0" borderId="0" applyFont="0" applyFill="0" applyBorder="0" applyAlignment="0" applyProtection="0"/>
    <xf numFmtId="179" fontId="7" fillId="0" borderId="0"/>
    <xf numFmtId="0" fontId="7" fillId="0" borderId="0"/>
    <xf numFmtId="0" fontId="7" fillId="0" borderId="0">
      <alignment wrapText="1"/>
    </xf>
    <xf numFmtId="9" fontId="5" fillId="0" borderId="0" applyFont="0" applyFill="0" applyBorder="0" applyAlignment="0" applyProtection="0"/>
    <xf numFmtId="0" fontId="11" fillId="0" borderId="0"/>
    <xf numFmtId="0" fontId="11" fillId="0" borderId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31" fillId="0" borderId="0"/>
    <xf numFmtId="0" fontId="48" fillId="0" borderId="0"/>
    <xf numFmtId="0" fontId="41" fillId="0" borderId="0"/>
    <xf numFmtId="0" fontId="3" fillId="0" borderId="0"/>
    <xf numFmtId="0" fontId="2" fillId="0" borderId="0"/>
    <xf numFmtId="0" fontId="7" fillId="0" borderId="0"/>
    <xf numFmtId="0" fontId="1" fillId="0" borderId="0"/>
  </cellStyleXfs>
  <cellXfs count="497">
    <xf numFmtId="0" fontId="0" fillId="0" borderId="0" xfId="0"/>
    <xf numFmtId="0" fontId="0" fillId="0" borderId="0" xfId="0" applyFill="1"/>
    <xf numFmtId="0" fontId="11" fillId="0" borderId="0" xfId="0" applyFont="1" applyFill="1"/>
    <xf numFmtId="0" fontId="13" fillId="0" borderId="0" xfId="0" applyFont="1" applyFill="1"/>
    <xf numFmtId="0" fontId="11" fillId="0" borderId="0" xfId="0" applyFont="1" applyFill="1" applyBorder="1"/>
    <xf numFmtId="168" fontId="11" fillId="0" borderId="0" xfId="0" applyNumberFormat="1" applyFont="1" applyFill="1"/>
    <xf numFmtId="0" fontId="9" fillId="0" borderId="0" xfId="0" applyFont="1" applyFill="1"/>
    <xf numFmtId="168" fontId="9" fillId="0" borderId="0" xfId="0" applyNumberFormat="1" applyFont="1" applyFill="1"/>
    <xf numFmtId="0" fontId="14" fillId="0" borderId="0" xfId="0" applyFont="1" applyFill="1"/>
    <xf numFmtId="168" fontId="0" fillId="0" borderId="0" xfId="0" applyNumberFormat="1" applyFill="1"/>
    <xf numFmtId="171" fontId="9" fillId="0" borderId="0" xfId="10" applyNumberFormat="1" applyFont="1" applyFill="1"/>
    <xf numFmtId="168" fontId="14" fillId="0" borderId="0" xfId="0" applyNumberFormat="1" applyFont="1" applyFill="1"/>
    <xf numFmtId="171" fontId="14" fillId="0" borderId="0" xfId="10" applyNumberFormat="1" applyFont="1" applyFill="1"/>
    <xf numFmtId="0" fontId="0" fillId="0" borderId="0" xfId="0" applyFill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165" fontId="11" fillId="0" borderId="0" xfId="0" applyNumberFormat="1" applyFont="1" applyFill="1" applyBorder="1"/>
    <xf numFmtId="3" fontId="11" fillId="0" borderId="0" xfId="0" applyNumberFormat="1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3" fillId="0" borderId="15" xfId="0" applyFont="1" applyFill="1" applyBorder="1"/>
    <xf numFmtId="168" fontId="11" fillId="0" borderId="15" xfId="0" applyNumberFormat="1" applyFont="1" applyFill="1" applyBorder="1"/>
    <xf numFmtId="0" fontId="14" fillId="0" borderId="16" xfId="0" applyFont="1" applyFill="1" applyBorder="1"/>
    <xf numFmtId="0" fontId="11" fillId="0" borderId="0" xfId="0" applyFont="1" applyFill="1" applyBorder="1" applyAlignment="1">
      <alignment horizontal="center"/>
    </xf>
    <xf numFmtId="10" fontId="11" fillId="0" borderId="18" xfId="0" applyNumberFormat="1" applyFont="1" applyFill="1" applyBorder="1" applyProtection="1">
      <protection hidden="1"/>
    </xf>
    <xf numFmtId="0" fontId="18" fillId="0" borderId="0" xfId="0" quotePrefix="1" applyFont="1" applyFill="1" applyAlignment="1">
      <alignment horizontal="center"/>
    </xf>
    <xf numFmtId="0" fontId="15" fillId="0" borderId="0" xfId="0" applyFont="1" applyFill="1" applyAlignment="1"/>
    <xf numFmtId="0" fontId="11" fillId="0" borderId="0" xfId="0" applyFont="1" applyFill="1" applyBorder="1" applyAlignment="1"/>
    <xf numFmtId="0" fontId="11" fillId="0" borderId="30" xfId="0" applyFont="1" applyFill="1" applyBorder="1"/>
    <xf numFmtId="0" fontId="17" fillId="0" borderId="0" xfId="0" applyFont="1" applyFill="1" applyAlignment="1">
      <alignment horizontal="centerContinuous"/>
    </xf>
    <xf numFmtId="0" fontId="0" fillId="0" borderId="0" xfId="0" applyFill="1" applyAlignment="1">
      <alignment horizontal="right"/>
    </xf>
    <xf numFmtId="0" fontId="0" fillId="0" borderId="10" xfId="0" applyFill="1" applyBorder="1"/>
    <xf numFmtId="171" fontId="11" fillId="0" borderId="0" xfId="10" applyNumberFormat="1" applyFont="1" applyFill="1"/>
    <xf numFmtId="0" fontId="21" fillId="0" borderId="27" xfId="0" applyFont="1" applyFill="1" applyBorder="1" applyAlignment="1">
      <alignment horizontal="left"/>
    </xf>
    <xf numFmtId="0" fontId="0" fillId="0" borderId="28" xfId="0" applyFill="1" applyBorder="1"/>
    <xf numFmtId="0" fontId="16" fillId="0" borderId="0" xfId="0" applyFont="1" applyFill="1" applyAlignment="1">
      <alignment horizontal="center"/>
    </xf>
    <xf numFmtId="0" fontId="0" fillId="0" borderId="45" xfId="0" applyFill="1" applyBorder="1"/>
    <xf numFmtId="168" fontId="0" fillId="0" borderId="46" xfId="0" applyNumberFormat="1" applyFill="1" applyBorder="1"/>
    <xf numFmtId="168" fontId="0" fillId="0" borderId="47" xfId="0" applyNumberFormat="1" applyFill="1" applyBorder="1"/>
    <xf numFmtId="3" fontId="0" fillId="0" borderId="0" xfId="0" applyNumberFormat="1" applyFill="1"/>
    <xf numFmtId="168" fontId="0" fillId="0" borderId="10" xfId="0" applyNumberFormat="1" applyFill="1" applyBorder="1"/>
    <xf numFmtId="168" fontId="0" fillId="0" borderId="48" xfId="0" applyNumberFormat="1" applyFill="1" applyBorder="1"/>
    <xf numFmtId="168" fontId="0" fillId="0" borderId="18" xfId="0" applyNumberFormat="1" applyFill="1" applyBorder="1"/>
    <xf numFmtId="175" fontId="22" fillId="0" borderId="0" xfId="0" applyNumberFormat="1" applyFont="1" applyFill="1"/>
    <xf numFmtId="0" fontId="11" fillId="0" borderId="1" xfId="0" applyFont="1" applyFill="1" applyBorder="1" applyAlignment="1" applyProtection="1">
      <alignment horizontal="center"/>
    </xf>
    <xf numFmtId="5" fontId="11" fillId="0" borderId="1" xfId="0" applyNumberFormat="1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0" fillId="0" borderId="4" xfId="0" applyFill="1" applyBorder="1"/>
    <xf numFmtId="0" fontId="23" fillId="0" borderId="0" xfId="0" applyFont="1" applyFill="1"/>
    <xf numFmtId="0" fontId="16" fillId="0" borderId="28" xfId="0" applyFont="1" applyFill="1" applyBorder="1" applyAlignment="1">
      <alignment horizontal="center"/>
    </xf>
    <xf numFmtId="5" fontId="0" fillId="0" borderId="0" xfId="0" applyNumberFormat="1" applyFill="1"/>
    <xf numFmtId="0" fontId="0" fillId="0" borderId="46" xfId="0" applyFill="1" applyBorder="1"/>
    <xf numFmtId="0" fontId="16" fillId="0" borderId="0" xfId="8" applyFont="1" applyFill="1"/>
    <xf numFmtId="0" fontId="16" fillId="0" borderId="27" xfId="8" applyFont="1" applyFill="1" applyBorder="1"/>
    <xf numFmtId="0" fontId="16" fillId="0" borderId="51" xfId="8" applyFont="1" applyFill="1" applyBorder="1"/>
    <xf numFmtId="0" fontId="16" fillId="0" borderId="53" xfId="8" applyFont="1" applyFill="1" applyBorder="1"/>
    <xf numFmtId="0" fontId="16" fillId="0" borderId="55" xfId="8" applyFont="1" applyFill="1" applyBorder="1"/>
    <xf numFmtId="2" fontId="16" fillId="0" borderId="0" xfId="8" applyNumberFormat="1" applyFont="1" applyFill="1"/>
    <xf numFmtId="171" fontId="16" fillId="0" borderId="0" xfId="8" applyNumberFormat="1" applyFont="1" applyFill="1"/>
    <xf numFmtId="5" fontId="16" fillId="0" borderId="0" xfId="8" applyNumberFormat="1" applyFont="1" applyFill="1"/>
    <xf numFmtId="37" fontId="16" fillId="0" borderId="0" xfId="8" applyNumberFormat="1" applyFont="1" applyFill="1"/>
    <xf numFmtId="14" fontId="16" fillId="0" borderId="11" xfId="0" applyNumberFormat="1" applyFont="1" applyFill="1" applyBorder="1" applyAlignment="1">
      <alignment horizontal="center"/>
    </xf>
    <xf numFmtId="168" fontId="16" fillId="0" borderId="0" xfId="1" applyNumberFormat="1" applyFont="1" applyFill="1"/>
    <xf numFmtId="168" fontId="16" fillId="0" borderId="0" xfId="8" applyNumberFormat="1" applyFont="1" applyFill="1"/>
    <xf numFmtId="14" fontId="16" fillId="0" borderId="0" xfId="0" applyNumberFormat="1" applyFont="1" applyFill="1"/>
    <xf numFmtId="0" fontId="29" fillId="0" borderId="0" xfId="0" applyFont="1" applyFill="1" applyAlignmen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 applyProtection="1">
      <alignment horizontal="centerContinuous"/>
    </xf>
    <xf numFmtId="0" fontId="11" fillId="0" borderId="12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horizontal="center"/>
    </xf>
    <xf numFmtId="0" fontId="11" fillId="0" borderId="4" xfId="0" applyFont="1" applyFill="1" applyBorder="1" applyAlignment="1" applyProtection="1">
      <alignment horizontal="center"/>
    </xf>
    <xf numFmtId="0" fontId="11" fillId="0" borderId="0" xfId="0" applyFont="1" applyFill="1" applyAlignment="1"/>
    <xf numFmtId="165" fontId="11" fillId="0" borderId="0" xfId="0" applyNumberFormat="1" applyFont="1" applyFill="1"/>
    <xf numFmtId="165" fontId="11" fillId="0" borderId="11" xfId="0" applyNumberFormat="1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3" fontId="11" fillId="0" borderId="17" xfId="0" applyNumberFormat="1" applyFont="1" applyFill="1" applyBorder="1"/>
    <xf numFmtId="0" fontId="11" fillId="0" borderId="0" xfId="0" applyFont="1" applyFill="1" applyProtection="1"/>
    <xf numFmtId="0" fontId="11" fillId="0" borderId="3" xfId="0" applyFont="1" applyFill="1" applyBorder="1" applyAlignment="1" applyProtection="1">
      <alignment horizontal="centerContinuous"/>
    </xf>
    <xf numFmtId="0" fontId="11" fillId="0" borderId="2" xfId="0" applyFont="1" applyFill="1" applyBorder="1" applyAlignment="1" applyProtection="1">
      <alignment horizontal="center"/>
    </xf>
    <xf numFmtId="5" fontId="11" fillId="0" borderId="7" xfId="0" applyNumberFormat="1" applyFont="1" applyFill="1" applyBorder="1" applyProtection="1"/>
    <xf numFmtId="5" fontId="11" fillId="0" borderId="20" xfId="0" applyNumberFormat="1" applyFont="1" applyFill="1" applyBorder="1" applyProtection="1"/>
    <xf numFmtId="5" fontId="11" fillId="0" borderId="22" xfId="0" applyNumberFormat="1" applyFont="1" applyFill="1" applyBorder="1" applyProtection="1"/>
    <xf numFmtId="168" fontId="11" fillId="0" borderId="0" xfId="1" applyNumberFormat="1" applyFont="1" applyFill="1"/>
    <xf numFmtId="0" fontId="11" fillId="0" borderId="29" xfId="0" applyFont="1" applyFill="1" applyBorder="1" applyAlignment="1" applyProtection="1">
      <alignment horizontal="centerContinuous"/>
    </xf>
    <xf numFmtId="0" fontId="11" fillId="0" borderId="11" xfId="0" applyFont="1" applyFill="1" applyBorder="1" applyAlignment="1" applyProtection="1">
      <alignment horizontal="centerContinuous"/>
    </xf>
    <xf numFmtId="0" fontId="11" fillId="0" borderId="12" xfId="0" applyFont="1" applyFill="1" applyBorder="1" applyAlignment="1" applyProtection="1">
      <alignment horizontal="centerContinuous"/>
    </xf>
    <xf numFmtId="165" fontId="11" fillId="0" borderId="4" xfId="0" applyNumberFormat="1" applyFont="1" applyFill="1" applyBorder="1" applyAlignment="1"/>
    <xf numFmtId="17" fontId="16" fillId="0" borderId="44" xfId="8" quotePrefix="1" applyNumberFormat="1" applyFont="1" applyFill="1" applyBorder="1" applyAlignment="1">
      <alignment horizontal="centerContinuous"/>
    </xf>
    <xf numFmtId="17" fontId="16" fillId="0" borderId="49" xfId="8" quotePrefix="1" applyNumberFormat="1" applyFont="1" applyFill="1" applyBorder="1" applyAlignment="1">
      <alignment horizontal="centerContinuous"/>
    </xf>
    <xf numFmtId="17" fontId="16" fillId="0" borderId="50" xfId="8" quotePrefix="1" applyNumberFormat="1" applyFont="1" applyFill="1" applyBorder="1" applyAlignment="1">
      <alignment horizontal="centerContinuous"/>
    </xf>
    <xf numFmtId="0" fontId="16" fillId="0" borderId="52" xfId="8" applyFont="1" applyFill="1" applyBorder="1"/>
    <xf numFmtId="0" fontId="16" fillId="0" borderId="18" xfId="8" applyFont="1" applyFill="1" applyBorder="1"/>
    <xf numFmtId="0" fontId="16" fillId="0" borderId="54" xfId="8" applyFont="1" applyFill="1" applyBorder="1"/>
    <xf numFmtId="0" fontId="16" fillId="0" borderId="56" xfId="8" applyFont="1" applyFill="1" applyBorder="1" applyAlignment="1">
      <alignment horizontal="center"/>
    </xf>
    <xf numFmtId="0" fontId="16" fillId="0" borderId="57" xfId="8" applyFont="1" applyFill="1" applyBorder="1" applyAlignment="1">
      <alignment horizontal="center"/>
    </xf>
    <xf numFmtId="5" fontId="16" fillId="0" borderId="58" xfId="8" applyNumberFormat="1" applyFont="1" applyFill="1" applyBorder="1"/>
    <xf numFmtId="37" fontId="16" fillId="0" borderId="59" xfId="8" applyNumberFormat="1" applyFont="1" applyFill="1" applyBorder="1"/>
    <xf numFmtId="2" fontId="16" fillId="0" borderId="60" xfId="8" applyNumberFormat="1" applyFont="1" applyFill="1" applyBorder="1"/>
    <xf numFmtId="37" fontId="16" fillId="0" borderId="61" xfId="8" applyNumberFormat="1" applyFont="1" applyFill="1" applyBorder="1"/>
    <xf numFmtId="176" fontId="16" fillId="0" borderId="13" xfId="8" applyNumberFormat="1" applyFont="1" applyFill="1" applyBorder="1"/>
    <xf numFmtId="9" fontId="16" fillId="0" borderId="58" xfId="10" applyNumberFormat="1" applyFont="1" applyFill="1" applyBorder="1"/>
    <xf numFmtId="9" fontId="16" fillId="0" borderId="61" xfId="10" applyNumberFormat="1" applyFont="1" applyFill="1" applyBorder="1"/>
    <xf numFmtId="9" fontId="16" fillId="0" borderId="62" xfId="10" applyNumberFormat="1" applyFont="1" applyFill="1" applyBorder="1"/>
    <xf numFmtId="5" fontId="16" fillId="0" borderId="63" xfId="8" applyNumberFormat="1" applyFont="1" applyFill="1" applyBorder="1"/>
    <xf numFmtId="37" fontId="16" fillId="0" borderId="64" xfId="8" applyNumberFormat="1" applyFont="1" applyFill="1" applyBorder="1"/>
    <xf numFmtId="9" fontId="16" fillId="0" borderId="63" xfId="10" applyNumberFormat="1" applyFont="1" applyFill="1" applyBorder="1"/>
    <xf numFmtId="9" fontId="16" fillId="0" borderId="64" xfId="10" applyNumberFormat="1" applyFont="1" applyFill="1" applyBorder="1"/>
    <xf numFmtId="9" fontId="16" fillId="0" borderId="60" xfId="10" applyNumberFormat="1" applyFont="1" applyFill="1" applyBorder="1"/>
    <xf numFmtId="5" fontId="16" fillId="0" borderId="65" xfId="8" applyNumberFormat="1" applyFont="1" applyFill="1" applyBorder="1"/>
    <xf numFmtId="37" fontId="16" fillId="0" borderId="65" xfId="8" applyNumberFormat="1" applyFont="1" applyFill="1" applyBorder="1"/>
    <xf numFmtId="2" fontId="16" fillId="0" borderId="65" xfId="8" applyNumberFormat="1" applyFont="1" applyFill="1" applyBorder="1"/>
    <xf numFmtId="9" fontId="16" fillId="0" borderId="41" xfId="10" applyNumberFormat="1" applyFont="1" applyFill="1" applyBorder="1"/>
    <xf numFmtId="0" fontId="33" fillId="0" borderId="0" xfId="7" applyFont="1" applyFill="1" applyAlignment="1" applyProtection="1">
      <alignment horizontal="left"/>
    </xf>
    <xf numFmtId="0" fontId="16" fillId="0" borderId="36" xfId="7" applyFont="1" applyFill="1" applyBorder="1" applyAlignment="1" applyProtection="1">
      <alignment horizontal="center"/>
    </xf>
    <xf numFmtId="0" fontId="16" fillId="0" borderId="37" xfId="7" applyFont="1" applyFill="1" applyBorder="1" applyAlignment="1" applyProtection="1">
      <alignment horizontal="center"/>
    </xf>
    <xf numFmtId="0" fontId="16" fillId="0" borderId="4" xfId="7" applyFont="1" applyFill="1" applyBorder="1" applyAlignment="1" applyProtection="1">
      <alignment horizontal="center"/>
    </xf>
    <xf numFmtId="0" fontId="16" fillId="0" borderId="38" xfId="7" applyFont="1" applyFill="1" applyBorder="1" applyAlignment="1" applyProtection="1">
      <alignment horizontal="center"/>
    </xf>
    <xf numFmtId="0" fontId="16" fillId="0" borderId="39" xfId="7" applyFont="1" applyFill="1" applyBorder="1" applyAlignment="1" applyProtection="1">
      <alignment horizontal="center"/>
    </xf>
    <xf numFmtId="0" fontId="16" fillId="0" borderId="40" xfId="7" applyFont="1" applyFill="1" applyBorder="1" applyAlignment="1" applyProtection="1">
      <alignment horizontal="center"/>
    </xf>
    <xf numFmtId="0" fontId="16" fillId="0" borderId="41" xfId="7" applyFont="1" applyFill="1" applyBorder="1" applyAlignment="1" applyProtection="1">
      <alignment horizontal="center"/>
    </xf>
    <xf numFmtId="0" fontId="16" fillId="0" borderId="42" xfId="7" applyFont="1" applyFill="1" applyBorder="1" applyAlignment="1" applyProtection="1">
      <alignment horizontal="left"/>
    </xf>
    <xf numFmtId="0" fontId="16" fillId="0" borderId="43" xfId="7" applyFont="1" applyFill="1" applyBorder="1" applyAlignment="1" applyProtection="1">
      <alignment horizontal="left"/>
    </xf>
    <xf numFmtId="0" fontId="16" fillId="0" borderId="44" xfId="7" applyFont="1" applyFill="1" applyBorder="1" applyAlignment="1" applyProtection="1">
      <alignment horizontal="left"/>
    </xf>
    <xf numFmtId="0" fontId="24" fillId="0" borderId="0" xfId="8" applyFont="1" applyFill="1"/>
    <xf numFmtId="0" fontId="24" fillId="0" borderId="0" xfId="8" applyFont="1" applyFill="1" applyAlignment="1">
      <alignment wrapText="1"/>
    </xf>
    <xf numFmtId="0" fontId="11" fillId="0" borderId="0" xfId="0" applyFont="1" applyFill="1" applyAlignment="1">
      <alignment wrapText="1"/>
    </xf>
    <xf numFmtId="5" fontId="11" fillId="0" borderId="3" xfId="0" applyNumberFormat="1" applyFont="1" applyFill="1" applyBorder="1" applyProtection="1"/>
    <xf numFmtId="5" fontId="11" fillId="0" borderId="34" xfId="0" applyNumberFormat="1" applyFont="1" applyFill="1" applyBorder="1" applyProtection="1"/>
    <xf numFmtId="0" fontId="11" fillId="0" borderId="0" xfId="0" applyFont="1" applyFill="1" applyAlignment="1" applyProtection="1">
      <alignment horizontal="left"/>
    </xf>
    <xf numFmtId="0" fontId="35" fillId="0" borderId="0" xfId="0" applyFont="1" applyFill="1" applyAlignment="1" applyProtection="1">
      <alignment horizontal="centerContinuous"/>
    </xf>
    <xf numFmtId="0" fontId="13" fillId="0" borderId="0" xfId="0" applyFont="1" applyFill="1" applyAlignment="1" applyProtection="1">
      <alignment horizontal="centerContinuous"/>
    </xf>
    <xf numFmtId="0" fontId="11" fillId="0" borderId="5" xfId="0" applyFont="1" applyFill="1" applyBorder="1" applyAlignment="1" applyProtection="1">
      <alignment horizontal="centerContinuous"/>
    </xf>
    <xf numFmtId="0" fontId="11" fillId="0" borderId="71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Continuous"/>
    </xf>
    <xf numFmtId="0" fontId="11" fillId="0" borderId="1" xfId="0" applyFont="1" applyFill="1" applyBorder="1" applyAlignment="1" applyProtection="1">
      <alignment horizontal="centerContinuous"/>
    </xf>
    <xf numFmtId="0" fontId="11" fillId="0" borderId="0" xfId="0" quotePrefix="1" applyFont="1" applyFill="1" applyAlignment="1" applyProtection="1">
      <alignment horizontal="center"/>
    </xf>
    <xf numFmtId="0" fontId="11" fillId="0" borderId="38" xfId="0" applyFont="1" applyFill="1" applyBorder="1" applyAlignment="1" applyProtection="1">
      <alignment horizontal="center"/>
    </xf>
    <xf numFmtId="0" fontId="11" fillId="0" borderId="26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Protection="1"/>
    <xf numFmtId="173" fontId="11" fillId="0" borderId="0" xfId="0" applyNumberFormat="1" applyFont="1" applyFill="1" applyProtection="1"/>
    <xf numFmtId="0" fontId="11" fillId="0" borderId="8" xfId="0" applyFont="1" applyFill="1" applyBorder="1" applyAlignment="1" applyProtection="1">
      <alignment horizontal="left"/>
    </xf>
    <xf numFmtId="0" fontId="11" fillId="0" borderId="9" xfId="0" applyFont="1" applyFill="1" applyBorder="1" applyProtection="1"/>
    <xf numFmtId="0" fontId="11" fillId="0" borderId="10" xfId="0" applyFont="1" applyFill="1" applyBorder="1" applyAlignment="1" applyProtection="1">
      <alignment horizontal="left"/>
    </xf>
    <xf numFmtId="0" fontId="11" fillId="0" borderId="1" xfId="0" applyFont="1" applyFill="1" applyBorder="1" applyProtection="1"/>
    <xf numFmtId="0" fontId="11" fillId="0" borderId="33" xfId="0" applyFont="1" applyFill="1" applyBorder="1" applyAlignment="1" applyProtection="1">
      <alignment horizontal="left"/>
    </xf>
    <xf numFmtId="0" fontId="11" fillId="0" borderId="34" xfId="0" applyFont="1" applyFill="1" applyBorder="1" applyProtection="1"/>
    <xf numFmtId="0" fontId="11" fillId="0" borderId="31" xfId="0" applyFont="1" applyFill="1" applyBorder="1" applyAlignment="1" applyProtection="1">
      <alignment horizontal="left"/>
    </xf>
    <xf numFmtId="0" fontId="11" fillId="0" borderId="32" xfId="0" applyFont="1" applyFill="1" applyBorder="1" applyProtection="1"/>
    <xf numFmtId="0" fontId="11" fillId="0" borderId="21" xfId="0" applyFont="1" applyFill="1" applyBorder="1" applyAlignment="1" applyProtection="1">
      <alignment horizontal="left"/>
    </xf>
    <xf numFmtId="0" fontId="11" fillId="0" borderId="22" xfId="0" applyFont="1" applyFill="1" applyBorder="1" applyProtection="1"/>
    <xf numFmtId="5" fontId="11" fillId="0" borderId="0" xfId="0" applyNumberFormat="1" applyFont="1" applyFill="1" applyProtection="1"/>
    <xf numFmtId="0" fontId="11" fillId="0" borderId="1" xfId="0" quotePrefix="1" applyFont="1" applyFill="1" applyBorder="1" applyAlignment="1" applyProtection="1">
      <alignment horizontal="center"/>
    </xf>
    <xf numFmtId="10" fontId="11" fillId="0" borderId="0" xfId="10" applyNumberFormat="1" applyFont="1" applyFill="1" applyProtection="1"/>
    <xf numFmtId="0" fontId="11" fillId="0" borderId="0" xfId="0" applyFont="1" applyFill="1" applyAlignment="1">
      <alignment horizontal="left"/>
    </xf>
    <xf numFmtId="164" fontId="11" fillId="0" borderId="0" xfId="0" applyNumberFormat="1" applyFont="1" applyFill="1" applyProtection="1"/>
    <xf numFmtId="167" fontId="11" fillId="0" borderId="0" xfId="0" applyNumberFormat="1" applyFont="1" applyFill="1"/>
    <xf numFmtId="5" fontId="11" fillId="0" borderId="0" xfId="0" applyNumberFormat="1" applyFont="1" applyFill="1"/>
    <xf numFmtId="0" fontId="17" fillId="0" borderId="0" xfId="0" applyFont="1" applyFill="1" applyAlignment="1" applyProtection="1">
      <alignment horizontal="centerContinuous"/>
    </xf>
    <xf numFmtId="0" fontId="36" fillId="0" borderId="0" xfId="0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11" fillId="0" borderId="3" xfId="0" applyFont="1" applyFill="1" applyBorder="1" applyAlignment="1" applyProtection="1">
      <alignment horizontal="center"/>
    </xf>
    <xf numFmtId="0" fontId="11" fillId="0" borderId="20" xfId="0" applyFont="1" applyFill="1" applyBorder="1" applyAlignment="1" applyProtection="1">
      <alignment horizontal="center"/>
    </xf>
    <xf numFmtId="37" fontId="11" fillId="0" borderId="7" xfId="0" applyNumberFormat="1" applyFont="1" applyFill="1" applyBorder="1" applyProtection="1"/>
    <xf numFmtId="37" fontId="11" fillId="0" borderId="19" xfId="0" applyNumberFormat="1" applyFont="1" applyFill="1" applyBorder="1" applyProtection="1"/>
    <xf numFmtId="37" fontId="11" fillId="0" borderId="9" xfId="0" applyNumberFormat="1" applyFont="1" applyFill="1" applyBorder="1" applyProtection="1"/>
    <xf numFmtId="37" fontId="11" fillId="0" borderId="0" xfId="0" applyNumberFormat="1" applyFont="1" applyFill="1" applyProtection="1"/>
    <xf numFmtId="0" fontId="11" fillId="0" borderId="67" xfId="0" applyFont="1" applyFill="1" applyBorder="1" applyAlignment="1" applyProtection="1">
      <alignment horizontal="left"/>
    </xf>
    <xf numFmtId="0" fontId="11" fillId="0" borderId="68" xfId="0" applyFont="1" applyFill="1" applyBorder="1" applyProtection="1"/>
    <xf numFmtId="37" fontId="11" fillId="0" borderId="68" xfId="0" applyNumberFormat="1" applyFont="1" applyFill="1" applyBorder="1" applyProtection="1"/>
    <xf numFmtId="37" fontId="11" fillId="0" borderId="69" xfId="0" applyNumberFormat="1" applyFont="1" applyFill="1" applyBorder="1" applyProtection="1"/>
    <xf numFmtId="37" fontId="11" fillId="0" borderId="22" xfId="0" applyNumberFormat="1" applyFont="1" applyFill="1" applyBorder="1" applyProtection="1"/>
    <xf numFmtId="37" fontId="11" fillId="0" borderId="26" xfId="0" applyNumberFormat="1" applyFont="1" applyFill="1" applyBorder="1" applyProtection="1"/>
    <xf numFmtId="0" fontId="11" fillId="0" borderId="23" xfId="0" applyFont="1" applyFill="1" applyBorder="1" applyAlignment="1" applyProtection="1">
      <alignment horizontal="left"/>
    </xf>
    <xf numFmtId="0" fontId="11" fillId="0" borderId="24" xfId="0" applyFont="1" applyFill="1" applyBorder="1" applyProtection="1"/>
    <xf numFmtId="37" fontId="11" fillId="0" borderId="24" xfId="0" applyNumberFormat="1" applyFont="1" applyFill="1" applyBorder="1" applyProtection="1"/>
    <xf numFmtId="37" fontId="11" fillId="0" borderId="25" xfId="0" applyNumberFormat="1" applyFont="1" applyFill="1" applyBorder="1" applyProtection="1"/>
    <xf numFmtId="0" fontId="11" fillId="0" borderId="0" xfId="0" applyFont="1" applyFill="1" applyAlignment="1">
      <alignment horizontal="left" indent="1"/>
    </xf>
    <xf numFmtId="37" fontId="11" fillId="0" borderId="0" xfId="0" applyNumberFormat="1" applyFont="1" applyFill="1"/>
    <xf numFmtId="0" fontId="15" fillId="0" borderId="0" xfId="0" applyFont="1" applyFill="1" applyAlignment="1" applyProtection="1">
      <alignment horizontal="left"/>
    </xf>
    <xf numFmtId="168" fontId="11" fillId="0" borderId="0" xfId="0" applyNumberFormat="1" applyFont="1" applyFill="1" applyBorder="1"/>
    <xf numFmtId="168" fontId="11" fillId="0" borderId="4" xfId="0" applyNumberFormat="1" applyFont="1" applyFill="1" applyBorder="1"/>
    <xf numFmtId="3" fontId="11" fillId="0" borderId="4" xfId="0" applyNumberFormat="1" applyFont="1" applyFill="1" applyBorder="1"/>
    <xf numFmtId="3" fontId="9" fillId="0" borderId="0" xfId="0" applyNumberFormat="1" applyFont="1" applyFill="1" applyBorder="1"/>
    <xf numFmtId="3" fontId="9" fillId="0" borderId="4" xfId="0" applyNumberFormat="1" applyFont="1" applyFill="1" applyBorder="1"/>
    <xf numFmtId="165" fontId="9" fillId="0" borderId="0" xfId="0" applyNumberFormat="1" applyFont="1" applyFill="1" applyBorder="1"/>
    <xf numFmtId="165" fontId="10" fillId="0" borderId="0" xfId="0" applyNumberFormat="1" applyFont="1" applyFill="1" applyBorder="1"/>
    <xf numFmtId="168" fontId="10" fillId="0" borderId="0" xfId="0" applyNumberFormat="1" applyFont="1" applyFill="1" applyBorder="1"/>
    <xf numFmtId="168" fontId="10" fillId="0" borderId="4" xfId="0" applyNumberFormat="1" applyFont="1" applyFill="1" applyBorder="1"/>
    <xf numFmtId="3" fontId="11" fillId="0" borderId="14" xfId="0" applyNumberFormat="1" applyFont="1" applyFill="1" applyBorder="1"/>
    <xf numFmtId="165" fontId="11" fillId="0" borderId="14" xfId="0" applyNumberFormat="1" applyFont="1" applyFill="1" applyBorder="1"/>
    <xf numFmtId="168" fontId="11" fillId="0" borderId="12" xfId="0" applyNumberFormat="1" applyFont="1" applyFill="1" applyBorder="1"/>
    <xf numFmtId="3" fontId="11" fillId="0" borderId="15" xfId="0" applyNumberFormat="1" applyFont="1" applyFill="1" applyBorder="1"/>
    <xf numFmtId="165" fontId="11" fillId="0" borderId="15" xfId="0" applyNumberFormat="1" applyFont="1" applyFill="1" applyBorder="1"/>
    <xf numFmtId="0" fontId="11" fillId="0" borderId="0" xfId="0" applyFont="1" applyFill="1" applyAlignment="1">
      <alignment horizontal="center"/>
    </xf>
    <xf numFmtId="0" fontId="13" fillId="0" borderId="0" xfId="0" applyFont="1" applyFill="1" applyAlignment="1" applyProtection="1">
      <alignment horizontal="left"/>
    </xf>
    <xf numFmtId="0" fontId="35" fillId="0" borderId="0" xfId="0" applyFont="1" applyFill="1" applyAlignment="1" applyProtection="1">
      <alignment horizontal="center"/>
    </xf>
    <xf numFmtId="49" fontId="11" fillId="0" borderId="0" xfId="9" applyNumberFormat="1" applyFont="1" applyFill="1"/>
    <xf numFmtId="165" fontId="11" fillId="0" borderId="4" xfId="0" applyNumberFormat="1" applyFont="1" applyFill="1" applyBorder="1"/>
    <xf numFmtId="165" fontId="9" fillId="0" borderId="4" xfId="0" applyNumberFormat="1" applyFont="1" applyFill="1" applyBorder="1"/>
    <xf numFmtId="165" fontId="11" fillId="0" borderId="72" xfId="0" applyNumberFormat="1" applyFont="1" applyFill="1" applyBorder="1"/>
    <xf numFmtId="165" fontId="11" fillId="0" borderId="13" xfId="0" applyNumberFormat="1" applyFont="1" applyFill="1" applyBorder="1"/>
    <xf numFmtId="0" fontId="11" fillId="0" borderId="4" xfId="0" applyFont="1" applyFill="1" applyBorder="1"/>
    <xf numFmtId="165" fontId="11" fillId="0" borderId="70" xfId="0" applyNumberFormat="1" applyFont="1" applyFill="1" applyBorder="1"/>
    <xf numFmtId="165" fontId="11" fillId="0" borderId="66" xfId="0" applyNumberFormat="1" applyFont="1" applyFill="1" applyBorder="1"/>
    <xf numFmtId="0" fontId="11" fillId="0" borderId="29" xfId="0" applyFont="1" applyFill="1" applyBorder="1" applyAlignment="1" applyProtection="1">
      <alignment horizontal="center"/>
    </xf>
    <xf numFmtId="0" fontId="11" fillId="0" borderId="18" xfId="0" applyFont="1" applyFill="1" applyBorder="1" applyAlignment="1" applyProtection="1">
      <alignment horizontal="center"/>
    </xf>
    <xf numFmtId="14" fontId="11" fillId="0" borderId="0" xfId="0" applyNumberFormat="1" applyFont="1" applyFill="1"/>
    <xf numFmtId="16" fontId="11" fillId="0" borderId="0" xfId="0" applyNumberFormat="1" applyFont="1" applyFill="1"/>
    <xf numFmtId="168" fontId="11" fillId="0" borderId="0" xfId="0" quotePrefix="1" applyNumberFormat="1" applyFont="1" applyFill="1"/>
    <xf numFmtId="166" fontId="11" fillId="0" borderId="0" xfId="0" applyNumberFormat="1" applyFont="1" applyFill="1"/>
    <xf numFmtId="1" fontId="11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 applyProtection="1">
      <alignment horizontal="left" vertical="top"/>
      <protection locked="0"/>
    </xf>
    <xf numFmtId="1" fontId="11" fillId="0" borderId="0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75" fontId="11" fillId="0" borderId="0" xfId="0" applyNumberFormat="1" applyFont="1" applyFill="1"/>
    <xf numFmtId="49" fontId="11" fillId="0" borderId="0" xfId="9" applyNumberFormat="1" applyFont="1" applyFill="1" applyBorder="1"/>
    <xf numFmtId="7" fontId="11" fillId="0" borderId="0" xfId="0" applyNumberFormat="1" applyFont="1" applyFill="1"/>
    <xf numFmtId="167" fontId="11" fillId="0" borderId="0" xfId="3" applyNumberFormat="1" applyFont="1" applyFill="1"/>
    <xf numFmtId="37" fontId="11" fillId="0" borderId="10" xfId="0" applyNumberFormat="1" applyFont="1" applyFill="1" applyBorder="1" applyProtection="1"/>
    <xf numFmtId="37" fontId="11" fillId="0" borderId="0" xfId="0" applyNumberFormat="1" applyFont="1" applyFill="1" applyBorder="1" applyProtection="1"/>
    <xf numFmtId="37" fontId="11" fillId="0" borderId="8" xfId="0" applyNumberFormat="1" applyFont="1" applyFill="1" applyBorder="1" applyProtection="1"/>
    <xf numFmtId="37" fontId="11" fillId="0" borderId="35" xfId="0" applyNumberFormat="1" applyFont="1" applyFill="1" applyBorder="1" applyProtection="1"/>
    <xf numFmtId="37" fontId="11" fillId="0" borderId="18" xfId="0" applyNumberFormat="1" applyFont="1" applyFill="1" applyBorder="1" applyProtection="1"/>
    <xf numFmtId="0" fontId="35" fillId="0" borderId="0" xfId="0" applyFont="1" applyFill="1" applyAlignment="1" applyProtection="1">
      <alignment horizontal="left"/>
    </xf>
    <xf numFmtId="0" fontId="11" fillId="0" borderId="1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Continuous"/>
    </xf>
    <xf numFmtId="0" fontId="11" fillId="0" borderId="0" xfId="0" applyFont="1" applyFill="1" applyBorder="1" applyProtection="1"/>
    <xf numFmtId="0" fontId="11" fillId="0" borderId="35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center"/>
    </xf>
    <xf numFmtId="6" fontId="11" fillId="0" borderId="8" xfId="0" quotePrefix="1" applyNumberFormat="1" applyFont="1" applyFill="1" applyBorder="1" applyAlignment="1" applyProtection="1">
      <alignment horizontal="center"/>
    </xf>
    <xf numFmtId="17" fontId="11" fillId="0" borderId="0" xfId="0" applyNumberFormat="1" applyFont="1" applyFill="1" applyAlignment="1" applyProtection="1">
      <alignment horizontal="left"/>
    </xf>
    <xf numFmtId="42" fontId="11" fillId="0" borderId="10" xfId="0" applyNumberFormat="1" applyFont="1" applyFill="1" applyBorder="1" applyProtection="1"/>
    <xf numFmtId="17" fontId="11" fillId="0" borderId="0" xfId="0" applyNumberFormat="1" applyFont="1" applyFill="1"/>
    <xf numFmtId="37" fontId="11" fillId="0" borderId="11" xfId="0" applyNumberFormat="1" applyFont="1" applyFill="1" applyBorder="1" applyProtection="1"/>
    <xf numFmtId="17" fontId="11" fillId="0" borderId="0" xfId="0" applyNumberFormat="1" applyFont="1" applyFill="1" applyBorder="1" applyAlignment="1" applyProtection="1">
      <alignment horizontal="left"/>
    </xf>
    <xf numFmtId="17" fontId="11" fillId="0" borderId="0" xfId="0" applyNumberFormat="1" applyFont="1" applyFill="1" applyBorder="1"/>
    <xf numFmtId="42" fontId="11" fillId="0" borderId="0" xfId="0" applyNumberFormat="1" applyFont="1" applyFill="1" applyBorder="1" applyProtection="1"/>
    <xf numFmtId="42" fontId="11" fillId="0" borderId="31" xfId="0" applyNumberFormat="1" applyFont="1" applyFill="1" applyBorder="1" applyProtection="1"/>
    <xf numFmtId="0" fontId="11" fillId="0" borderId="10" xfId="0" applyFont="1" applyFill="1" applyBorder="1"/>
    <xf numFmtId="42" fontId="11" fillId="0" borderId="10" xfId="0" applyNumberFormat="1" applyFont="1" applyFill="1" applyBorder="1"/>
    <xf numFmtId="5" fontId="11" fillId="0" borderId="0" xfId="0" applyNumberFormat="1" applyFont="1" applyFill="1" applyBorder="1" applyProtection="1"/>
    <xf numFmtId="42" fontId="11" fillId="0" borderId="0" xfId="0" applyNumberFormat="1" applyFont="1" applyFill="1"/>
    <xf numFmtId="42" fontId="11" fillId="0" borderId="8" xfId="0" applyNumberFormat="1" applyFont="1" applyFill="1" applyBorder="1" applyProtection="1"/>
    <xf numFmtId="42" fontId="11" fillId="0" borderId="18" xfId="0" applyNumberFormat="1" applyFont="1" applyFill="1" applyBorder="1" applyProtection="1"/>
    <xf numFmtId="42" fontId="11" fillId="0" borderId="29" xfId="0" applyNumberFormat="1" applyFont="1" applyFill="1" applyBorder="1" applyProtection="1"/>
    <xf numFmtId="174" fontId="11" fillId="0" borderId="18" xfId="0" applyNumberFormat="1" applyFont="1" applyFill="1" applyBorder="1" applyProtection="1"/>
    <xf numFmtId="174" fontId="11" fillId="0" borderId="0" xfId="0" applyNumberFormat="1" applyFont="1" applyFill="1" applyProtection="1"/>
    <xf numFmtId="42" fontId="11" fillId="0" borderId="18" xfId="0" applyNumberFormat="1" applyFont="1" applyFill="1" applyBorder="1"/>
    <xf numFmtId="1" fontId="11" fillId="0" borderId="0" xfId="0" applyNumberFormat="1" applyFont="1" applyFill="1"/>
    <xf numFmtId="170" fontId="11" fillId="0" borderId="0" xfId="0" applyNumberFormat="1" applyFont="1" applyFill="1" applyBorder="1" applyProtection="1"/>
    <xf numFmtId="167" fontId="11" fillId="0" borderId="0" xfId="3" applyNumberFormat="1" applyFont="1" applyFill="1" applyBorder="1" applyProtection="1"/>
    <xf numFmtId="167" fontId="11" fillId="0" borderId="0" xfId="3" applyNumberFormat="1" applyFont="1" applyFill="1" applyProtection="1"/>
    <xf numFmtId="167" fontId="11" fillId="0" borderId="0" xfId="0" applyNumberFormat="1" applyFont="1" applyFill="1" applyProtection="1"/>
    <xf numFmtId="0" fontId="11" fillId="0" borderId="64" xfId="0" applyFont="1" applyFill="1" applyBorder="1"/>
    <xf numFmtId="167" fontId="11" fillId="0" borderId="64" xfId="3" applyNumberFormat="1" applyFont="1" applyFill="1" applyBorder="1"/>
    <xf numFmtId="0" fontId="11" fillId="0" borderId="0" xfId="1" applyNumberFormat="1" applyFont="1" applyFill="1"/>
    <xf numFmtId="2" fontId="11" fillId="0" borderId="0" xfId="0" applyNumberFormat="1" applyFont="1" applyFill="1"/>
    <xf numFmtId="5" fontId="11" fillId="0" borderId="0" xfId="1" applyNumberFormat="1" applyFont="1" applyFill="1"/>
    <xf numFmtId="176" fontId="11" fillId="0" borderId="0" xfId="0" applyNumberFormat="1" applyFont="1" applyFill="1"/>
    <xf numFmtId="9" fontId="11" fillId="0" borderId="0" xfId="0" applyNumberFormat="1" applyFont="1" applyFill="1"/>
    <xf numFmtId="0" fontId="3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75" fontId="16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" fontId="11" fillId="0" borderId="0" xfId="0" applyNumberFormat="1" applyFont="1" applyFill="1" applyBorder="1" applyAlignment="1">
      <alignment horizontal="left"/>
    </xf>
    <xf numFmtId="177" fontId="11" fillId="0" borderId="0" xfId="0" applyNumberFormat="1" applyFont="1" applyFill="1" applyBorder="1" applyAlignment="1">
      <alignment horizontal="left"/>
    </xf>
    <xf numFmtId="178" fontId="30" fillId="0" borderId="0" xfId="0" applyNumberFormat="1" applyFont="1" applyFill="1" applyBorder="1" applyAlignment="1" applyProtection="1">
      <alignment horizontal="right" vertical="top"/>
      <protection locked="0"/>
    </xf>
    <xf numFmtId="17" fontId="11" fillId="0" borderId="0" xfId="0" quotePrefix="1" applyNumberFormat="1" applyFont="1" applyFill="1" applyBorder="1" applyAlignment="1">
      <alignment horizontal="left"/>
    </xf>
    <xf numFmtId="0" fontId="11" fillId="0" borderId="0" xfId="0" applyNumberFormat="1" applyFont="1" applyFill="1"/>
    <xf numFmtId="37" fontId="11" fillId="0" borderId="12" xfId="0" applyNumberFormat="1" applyFont="1" applyFill="1" applyBorder="1" applyProtection="1"/>
    <xf numFmtId="37" fontId="11" fillId="0" borderId="29" xfId="0" applyNumberFormat="1" applyFont="1" applyFill="1" applyBorder="1" applyProtection="1"/>
    <xf numFmtId="37" fontId="11" fillId="0" borderId="32" xfId="0" applyNumberFormat="1" applyFont="1" applyFill="1" applyBorder="1" applyProtection="1"/>
    <xf numFmtId="0" fontId="42" fillId="0" borderId="0" xfId="16" applyFont="1" applyFill="1" applyAlignment="1">
      <alignment horizontal="centerContinuous"/>
    </xf>
    <xf numFmtId="37" fontId="42" fillId="0" borderId="0" xfId="16" applyNumberFormat="1" applyFont="1" applyFill="1" applyAlignment="1" applyProtection="1">
      <alignment horizontal="centerContinuous"/>
    </xf>
    <xf numFmtId="0" fontId="42" fillId="0" borderId="0" xfId="16" applyFont="1" applyFill="1"/>
    <xf numFmtId="0" fontId="42" fillId="0" borderId="0" xfId="16" applyFont="1" applyFill="1" applyAlignment="1">
      <alignment horizontal="center"/>
    </xf>
    <xf numFmtId="5" fontId="43" fillId="0" borderId="0" xfId="16" applyNumberFormat="1" applyFont="1" applyFill="1" applyProtection="1"/>
    <xf numFmtId="0" fontId="11" fillId="0" borderId="74" xfId="0" applyFont="1" applyFill="1" applyBorder="1"/>
    <xf numFmtId="0" fontId="39" fillId="0" borderId="0" xfId="28" applyFont="1" applyFill="1" applyBorder="1"/>
    <xf numFmtId="168" fontId="39" fillId="0" borderId="0" xfId="29" applyNumberFormat="1" applyFont="1" applyFill="1" applyBorder="1"/>
    <xf numFmtId="0" fontId="39" fillId="0" borderId="0" xfId="28" applyFont="1" applyFill="1"/>
    <xf numFmtId="0" fontId="39" fillId="0" borderId="27" xfId="28" applyFont="1" applyFill="1" applyBorder="1"/>
    <xf numFmtId="0" fontId="39" fillId="0" borderId="28" xfId="28" applyFont="1" applyFill="1" applyBorder="1"/>
    <xf numFmtId="0" fontId="39" fillId="0" borderId="45" xfId="28" applyFont="1" applyFill="1" applyBorder="1"/>
    <xf numFmtId="0" fontId="39" fillId="0" borderId="73" xfId="28" applyFont="1" applyFill="1" applyBorder="1"/>
    <xf numFmtId="0" fontId="39" fillId="0" borderId="29" xfId="28" applyFont="1" applyFill="1" applyBorder="1"/>
    <xf numFmtId="0" fontId="39" fillId="0" borderId="11" xfId="28" applyFont="1" applyFill="1" applyBorder="1"/>
    <xf numFmtId="0" fontId="39" fillId="0" borderId="12" xfId="28" applyFont="1" applyFill="1" applyBorder="1"/>
    <xf numFmtId="0" fontId="39" fillId="0" borderId="59" xfId="28" applyFont="1" applyFill="1" applyBorder="1"/>
    <xf numFmtId="168" fontId="7" fillId="0" borderId="18" xfId="29" applyNumberFormat="1" applyFont="1" applyFill="1" applyBorder="1"/>
    <xf numFmtId="168" fontId="7" fillId="0" borderId="0" xfId="29" applyNumberFormat="1" applyFont="1" applyFill="1" applyBorder="1"/>
    <xf numFmtId="168" fontId="7" fillId="0" borderId="4" xfId="29" applyNumberFormat="1" applyFont="1" applyFill="1" applyBorder="1"/>
    <xf numFmtId="168" fontId="7" fillId="0" borderId="27" xfId="29" applyNumberFormat="1" applyFont="1" applyFill="1" applyBorder="1"/>
    <xf numFmtId="168" fontId="7" fillId="0" borderId="45" xfId="29" applyNumberFormat="1" applyFont="1" applyFill="1" applyBorder="1"/>
    <xf numFmtId="168" fontId="7" fillId="0" borderId="29" xfId="29" applyNumberFormat="1" applyFont="1" applyFill="1" applyBorder="1"/>
    <xf numFmtId="168" fontId="7" fillId="0" borderId="12" xfId="29" applyNumberFormat="1" applyFont="1" applyFill="1" applyBorder="1"/>
    <xf numFmtId="0" fontId="7" fillId="0" borderId="0" xfId="28" applyFont="1" applyFill="1"/>
    <xf numFmtId="0" fontId="11" fillId="0" borderId="11" xfId="0" applyFont="1" applyFill="1" applyBorder="1" applyAlignment="1" applyProtection="1">
      <alignment horizontal="center"/>
    </xf>
    <xf numFmtId="174" fontId="11" fillId="0" borderId="0" xfId="0" applyNumberFormat="1" applyFont="1" applyFill="1" applyBorder="1" applyProtection="1"/>
    <xf numFmtId="42" fontId="11" fillId="0" borderId="0" xfId="0" applyNumberFormat="1" applyFont="1" applyFill="1" applyBorder="1"/>
    <xf numFmtId="0" fontId="42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5" fontId="42" fillId="0" borderId="0" xfId="0" applyNumberFormat="1" applyFont="1" applyFill="1" applyProtection="1"/>
    <xf numFmtId="5" fontId="43" fillId="0" borderId="0" xfId="0" applyNumberFormat="1" applyFont="1" applyFill="1" applyProtection="1"/>
    <xf numFmtId="173" fontId="43" fillId="0" borderId="0" xfId="16" applyNumberFormat="1" applyFont="1" applyFill="1" applyProtection="1"/>
    <xf numFmtId="3" fontId="11" fillId="0" borderId="72" xfId="0" applyNumberFormat="1" applyFont="1" applyFill="1" applyBorder="1"/>
    <xf numFmtId="9" fontId="16" fillId="0" borderId="75" xfId="10" applyNumberFormat="1" applyFont="1" applyFill="1" applyBorder="1"/>
    <xf numFmtId="9" fontId="16" fillId="0" borderId="74" xfId="10" applyNumberFormat="1" applyFont="1" applyFill="1" applyBorder="1"/>
    <xf numFmtId="9" fontId="16" fillId="0" borderId="76" xfId="10" applyNumberFormat="1" applyFont="1" applyFill="1" applyBorder="1"/>
    <xf numFmtId="165" fontId="11" fillId="0" borderId="18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5" fontId="11" fillId="0" borderId="0" xfId="0" applyNumberFormat="1" applyFont="1" applyFill="1" applyBorder="1" applyAlignment="1" applyProtection="1">
      <alignment horizontal="center"/>
    </xf>
    <xf numFmtId="165" fontId="11" fillId="0" borderId="11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/>
    <xf numFmtId="3" fontId="11" fillId="0" borderId="4" xfId="0" applyNumberFormat="1" applyFont="1" applyFill="1" applyBorder="1" applyAlignment="1"/>
    <xf numFmtId="3" fontId="11" fillId="0" borderId="0" xfId="0" applyNumberFormat="1" applyFont="1" applyFill="1" applyBorder="1" applyAlignment="1"/>
    <xf numFmtId="0" fontId="11" fillId="0" borderId="5" xfId="0" applyFont="1" applyFill="1" applyBorder="1" applyAlignment="1" applyProtection="1">
      <alignment horizontal="center"/>
    </xf>
    <xf numFmtId="0" fontId="11" fillId="0" borderId="71" xfId="0" applyFont="1" applyFill="1" applyBorder="1" applyAlignment="1" applyProtection="1">
      <alignment horizontal="centerContinuous"/>
    </xf>
    <xf numFmtId="0" fontId="44" fillId="0" borderId="0" xfId="0" applyFont="1" applyFill="1" applyAlignment="1" applyProtection="1">
      <alignment horizontal="centerContinuous"/>
    </xf>
    <xf numFmtId="0" fontId="11" fillId="0" borderId="0" xfId="0" applyFont="1" applyFill="1" applyAlignment="1" applyProtection="1">
      <alignment horizontal="right"/>
    </xf>
    <xf numFmtId="0" fontId="11" fillId="0" borderId="14" xfId="0" applyFont="1" applyFill="1" applyBorder="1" applyAlignment="1">
      <alignment horizontal="right"/>
    </xf>
    <xf numFmtId="168" fontId="11" fillId="0" borderId="15" xfId="0" applyNumberFormat="1" applyFont="1" applyFill="1" applyBorder="1" applyAlignment="1">
      <alignment horizontal="right"/>
    </xf>
    <xf numFmtId="0" fontId="14" fillId="0" borderId="15" xfId="0" applyFont="1" applyFill="1" applyBorder="1"/>
    <xf numFmtId="0" fontId="13" fillId="0" borderId="0" xfId="0" applyFont="1" applyFill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43" fontId="11" fillId="0" borderId="0" xfId="1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25" applyFont="1" applyFill="1" applyAlignment="1" applyProtection="1">
      <alignment horizontal="centerContinuous"/>
    </xf>
    <xf numFmtId="0" fontId="11" fillId="0" borderId="11" xfId="25" applyFont="1" applyFill="1" applyBorder="1" applyAlignment="1" applyProtection="1">
      <alignment horizontal="centerContinuous"/>
    </xf>
    <xf numFmtId="17" fontId="11" fillId="0" borderId="0" xfId="25" applyNumberFormat="1" applyFont="1" applyFill="1" applyBorder="1" applyAlignment="1" applyProtection="1">
      <alignment horizontal="right"/>
    </xf>
    <xf numFmtId="37" fontId="11" fillId="0" borderId="28" xfId="25" applyNumberFormat="1" applyFont="1" applyFill="1" applyBorder="1" applyProtection="1"/>
    <xf numFmtId="172" fontId="11" fillId="0" borderId="18" xfId="25" applyNumberFormat="1" applyFont="1" applyFill="1" applyBorder="1"/>
    <xf numFmtId="172" fontId="11" fillId="0" borderId="1" xfId="25" applyNumberFormat="1" applyFont="1" applyFill="1" applyBorder="1"/>
    <xf numFmtId="17" fontId="11" fillId="0" borderId="11" xfId="25" applyNumberFormat="1" applyFont="1" applyFill="1" applyBorder="1" applyAlignment="1" applyProtection="1">
      <alignment horizontal="right"/>
    </xf>
    <xf numFmtId="37" fontId="11" fillId="0" borderId="11" xfId="25" applyNumberFormat="1" applyFont="1" applyFill="1" applyBorder="1" applyProtection="1"/>
    <xf numFmtId="172" fontId="11" fillId="0" borderId="4" xfId="25" applyNumberFormat="1" applyFont="1" applyFill="1" applyBorder="1"/>
    <xf numFmtId="17" fontId="11" fillId="0" borderId="0" xfId="25" applyNumberFormat="1" applyFont="1" applyFill="1" applyBorder="1" applyAlignment="1" applyProtection="1">
      <alignment horizontal="left"/>
    </xf>
    <xf numFmtId="37" fontId="11" fillId="0" borderId="0" xfId="25" applyNumberFormat="1" applyFont="1" applyFill="1" applyBorder="1" applyProtection="1"/>
    <xf numFmtId="172" fontId="11" fillId="0" borderId="10" xfId="0" applyNumberFormat="1" applyFont="1" applyFill="1" applyBorder="1"/>
    <xf numFmtId="172" fontId="11" fillId="0" borderId="8" xfId="0" applyNumberFormat="1" applyFont="1" applyFill="1" applyBorder="1"/>
    <xf numFmtId="172" fontId="11" fillId="0" borderId="26" xfId="0" applyNumberFormat="1" applyFont="1" applyFill="1" applyBorder="1"/>
    <xf numFmtId="172" fontId="11" fillId="0" borderId="10" xfId="25" applyNumberFormat="1" applyFont="1" applyFill="1" applyBorder="1"/>
    <xf numFmtId="172" fontId="11" fillId="0" borderId="0" xfId="25" applyNumberFormat="1" applyFont="1" applyFill="1" applyBorder="1"/>
    <xf numFmtId="172" fontId="11" fillId="0" borderId="0" xfId="0" applyNumberFormat="1" applyFont="1" applyFill="1" applyBorder="1"/>
    <xf numFmtId="172" fontId="11" fillId="0" borderId="4" xfId="0" applyNumberFormat="1" applyFont="1" applyFill="1" applyBorder="1"/>
    <xf numFmtId="0" fontId="11" fillId="0" borderId="11" xfId="25" applyFont="1" applyFill="1" applyBorder="1" applyAlignment="1">
      <alignment horizontal="right"/>
    </xf>
    <xf numFmtId="172" fontId="11" fillId="0" borderId="31" xfId="25" applyNumberFormat="1" applyFont="1" applyFill="1" applyBorder="1"/>
    <xf numFmtId="172" fontId="11" fillId="0" borderId="11" xfId="25" applyNumberFormat="1" applyFont="1" applyFill="1" applyBorder="1"/>
    <xf numFmtId="172" fontId="11" fillId="0" borderId="12" xfId="25" applyNumberFormat="1" applyFont="1" applyFill="1" applyBorder="1"/>
    <xf numFmtId="0" fontId="11" fillId="0" borderId="0" xfId="25" applyFont="1" applyFill="1" applyBorder="1" applyProtection="1"/>
    <xf numFmtId="0" fontId="11" fillId="0" borderId="11" xfId="25" applyFont="1" applyFill="1" applyBorder="1" applyAlignment="1" applyProtection="1">
      <alignment horizontal="left"/>
    </xf>
    <xf numFmtId="172" fontId="11" fillId="0" borderId="20" xfId="25" applyNumberFormat="1" applyFont="1" applyFill="1" applyBorder="1"/>
    <xf numFmtId="10" fontId="11" fillId="0" borderId="0" xfId="10" applyNumberFormat="1" applyFont="1" applyFill="1" applyBorder="1"/>
    <xf numFmtId="10" fontId="11" fillId="0" borderId="0" xfId="0" applyNumberFormat="1" applyFont="1" applyFill="1" applyBorder="1"/>
    <xf numFmtId="10" fontId="9" fillId="0" borderId="0" xfId="0" applyNumberFormat="1" applyFont="1" applyFill="1" applyBorder="1"/>
    <xf numFmtId="165" fontId="9" fillId="0" borderId="0" xfId="0" applyNumberFormat="1" applyFont="1" applyFill="1"/>
    <xf numFmtId="10" fontId="9" fillId="0" borderId="0" xfId="10" applyNumberFormat="1" applyFont="1" applyFill="1" applyBorder="1"/>
    <xf numFmtId="166" fontId="11" fillId="0" borderId="0" xfId="10" applyNumberFormat="1" applyFont="1" applyFill="1" applyBorder="1"/>
    <xf numFmtId="10" fontId="10" fillId="0" borderId="0" xfId="0" applyNumberFormat="1" applyFont="1" applyFill="1" applyBorder="1"/>
    <xf numFmtId="0" fontId="7" fillId="0" borderId="0" xfId="28" applyFont="1" applyFill="1" applyBorder="1"/>
    <xf numFmtId="168" fontId="7" fillId="0" borderId="0" xfId="28" applyNumberFormat="1" applyFont="1" applyFill="1"/>
    <xf numFmtId="4" fontId="7" fillId="0" borderId="0" xfId="28" applyNumberFormat="1" applyFont="1" applyFill="1"/>
    <xf numFmtId="0" fontId="41" fillId="0" borderId="0" xfId="16" applyFont="1" applyFill="1"/>
    <xf numFmtId="5" fontId="41" fillId="0" borderId="0" xfId="16" applyNumberFormat="1" applyFont="1" applyFill="1"/>
    <xf numFmtId="0" fontId="41" fillId="0" borderId="0" xfId="16" applyFont="1" applyFill="1" applyAlignment="1"/>
    <xf numFmtId="0" fontId="41" fillId="0" borderId="0" xfId="16" applyFont="1" applyFill="1" applyAlignment="1">
      <alignment horizontal="right"/>
    </xf>
    <xf numFmtId="0" fontId="41" fillId="0" borderId="0" xfId="16" applyNumberFormat="1" applyFont="1" applyFill="1" applyAlignment="1">
      <alignment horizontal="right"/>
    </xf>
    <xf numFmtId="0" fontId="45" fillId="0" borderId="0" xfId="0" applyFont="1" applyFill="1" applyAlignment="1">
      <alignment horizontal="left"/>
    </xf>
    <xf numFmtId="49" fontId="46" fillId="0" borderId="0" xfId="0" applyNumberFormat="1" applyFont="1" applyFill="1" applyAlignment="1">
      <alignment horizontal="left" vertical="center"/>
    </xf>
    <xf numFmtId="49" fontId="47" fillId="0" borderId="77" xfId="0" applyNumberFormat="1" applyFont="1" applyFill="1" applyBorder="1" applyAlignment="1">
      <alignment horizontal="left"/>
    </xf>
    <xf numFmtId="49" fontId="49" fillId="2" borderId="78" xfId="0" applyNumberFormat="1" applyFont="1" applyFill="1" applyBorder="1" applyAlignment="1">
      <alignment horizontal="left"/>
    </xf>
    <xf numFmtId="180" fontId="49" fillId="2" borderId="78" xfId="0" applyNumberFormat="1" applyFont="1" applyFill="1" applyBorder="1" applyAlignment="1">
      <alignment horizontal="right"/>
    </xf>
    <xf numFmtId="6" fontId="42" fillId="0" borderId="0" xfId="0" applyNumberFormat="1" applyFont="1" applyFill="1" applyProtection="1"/>
    <xf numFmtId="6" fontId="43" fillId="0" borderId="0" xfId="0" applyNumberFormat="1" applyFont="1" applyFill="1" applyProtection="1"/>
    <xf numFmtId="0" fontId="7" fillId="3" borderId="27" xfId="23" applyFont="1" applyFill="1" applyBorder="1" applyAlignment="1">
      <alignment horizontal="center"/>
    </xf>
    <xf numFmtId="0" fontId="7" fillId="3" borderId="45" xfId="23" applyFont="1" applyFill="1" applyBorder="1" applyAlignment="1">
      <alignment horizontal="center"/>
    </xf>
    <xf numFmtId="168" fontId="7" fillId="3" borderId="18" xfId="18" applyNumberFormat="1" applyFont="1" applyFill="1" applyBorder="1" applyAlignment="1">
      <alignment horizontal="center"/>
    </xf>
    <xf numFmtId="168" fontId="7" fillId="3" borderId="0" xfId="18" applyNumberFormat="1" applyFont="1" applyFill="1" applyBorder="1" applyAlignment="1">
      <alignment horizontal="center"/>
    </xf>
    <xf numFmtId="168" fontId="7" fillId="3" borderId="4" xfId="18" applyNumberFormat="1" applyFont="1" applyFill="1" applyBorder="1" applyAlignment="1">
      <alignment horizontal="center"/>
    </xf>
    <xf numFmtId="168" fontId="7" fillId="3" borderId="38" xfId="18" applyNumberFormat="1" applyFont="1" applyFill="1" applyBorder="1" applyAlignment="1">
      <alignment horizontal="center"/>
    </xf>
    <xf numFmtId="0" fontId="7" fillId="3" borderId="18" xfId="23" applyFont="1" applyFill="1" applyBorder="1" applyAlignment="1">
      <alignment horizontal="center"/>
    </xf>
    <xf numFmtId="0" fontId="7" fillId="3" borderId="4" xfId="23" applyFont="1" applyFill="1" applyBorder="1" applyAlignment="1">
      <alignment horizontal="center"/>
    </xf>
    <xf numFmtId="0" fontId="7" fillId="3" borderId="29" xfId="23" applyFont="1" applyFill="1" applyBorder="1" applyAlignment="1">
      <alignment horizontal="center"/>
    </xf>
    <xf numFmtId="0" fontId="7" fillId="3" borderId="12" xfId="23" applyFont="1" applyFill="1" applyBorder="1" applyAlignment="1">
      <alignment horizontal="center"/>
    </xf>
    <xf numFmtId="168" fontId="7" fillId="3" borderId="29" xfId="18" applyNumberFormat="1" applyFont="1" applyFill="1" applyBorder="1" applyAlignment="1">
      <alignment horizontal="center"/>
    </xf>
    <xf numFmtId="168" fontId="7" fillId="3" borderId="11" xfId="18" applyNumberFormat="1" applyFont="1" applyFill="1" applyBorder="1" applyAlignment="1">
      <alignment horizontal="center"/>
    </xf>
    <xf numFmtId="168" fontId="7" fillId="3" borderId="12" xfId="18" applyNumberFormat="1" applyFont="1" applyFill="1" applyBorder="1" applyAlignment="1">
      <alignment horizontal="center"/>
    </xf>
    <xf numFmtId="168" fontId="7" fillId="3" borderId="59" xfId="18" applyNumberFormat="1" applyFont="1" applyFill="1" applyBorder="1" applyAlignment="1">
      <alignment horizontal="center"/>
    </xf>
    <xf numFmtId="172" fontId="11" fillId="0" borderId="31" xfId="0" applyNumberFormat="1" applyFont="1" applyFill="1" applyBorder="1"/>
    <xf numFmtId="172" fontId="11" fillId="0" borderId="2" xfId="25" applyNumberFormat="1" applyFont="1" applyFill="1" applyBorder="1"/>
    <xf numFmtId="167" fontId="11" fillId="0" borderId="59" xfId="3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0" fillId="0" borderId="70" xfId="0" applyBorder="1"/>
    <xf numFmtId="0" fontId="0" fillId="0" borderId="70" xfId="0" applyBorder="1" applyAlignment="1">
      <alignment horizontal="left"/>
    </xf>
    <xf numFmtId="165" fontId="0" fillId="0" borderId="0" xfId="3" applyNumberFormat="1" applyFont="1"/>
    <xf numFmtId="165" fontId="0" fillId="0" borderId="0" xfId="0" applyNumberFormat="1"/>
    <xf numFmtId="165" fontId="0" fillId="0" borderId="70" xfId="3" applyNumberFormat="1" applyFont="1" applyBorder="1"/>
    <xf numFmtId="165" fontId="0" fillId="0" borderId="70" xfId="0" applyNumberFormat="1" applyBorder="1"/>
    <xf numFmtId="167" fontId="11" fillId="0" borderId="74" xfId="3" applyNumberFormat="1" applyFont="1" applyFill="1" applyBorder="1"/>
    <xf numFmtId="181" fontId="49" fillId="2" borderId="78" xfId="0" applyNumberFormat="1" applyFont="1" applyFill="1" applyBorder="1" applyAlignment="1">
      <alignment horizontal="right"/>
    </xf>
    <xf numFmtId="3" fontId="49" fillId="2" borderId="78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6" fontId="0" fillId="0" borderId="70" xfId="3" applyNumberFormat="1" applyFont="1" applyBorder="1"/>
    <xf numFmtId="165" fontId="11" fillId="0" borderId="0" xfId="0" applyNumberFormat="1" applyFont="1"/>
    <xf numFmtId="168" fontId="11" fillId="0" borderId="0" xfId="0" applyNumberFormat="1" applyFont="1" applyFill="1" applyProtection="1"/>
    <xf numFmtId="165" fontId="11" fillId="0" borderId="0" xfId="0" applyNumberFormat="1" applyFont="1" applyFill="1" applyProtection="1"/>
    <xf numFmtId="0" fontId="50" fillId="0" borderId="0" xfId="43" applyFont="1" applyAlignment="1">
      <alignment horizontal="centerContinuous"/>
    </xf>
    <xf numFmtId="0" fontId="51" fillId="0" borderId="0" xfId="45" applyFont="1" applyAlignment="1">
      <alignment horizontal="centerContinuous"/>
    </xf>
    <xf numFmtId="0" fontId="52" fillId="0" borderId="0" xfId="45" applyFont="1" applyAlignment="1">
      <alignment horizontal="centerContinuous"/>
    </xf>
    <xf numFmtId="0" fontId="51" fillId="0" borderId="0" xfId="45" applyFont="1"/>
    <xf numFmtId="0" fontId="52" fillId="0" borderId="0" xfId="45" applyFont="1" applyAlignment="1">
      <alignment horizontal="center"/>
    </xf>
    <xf numFmtId="0" fontId="51" fillId="0" borderId="0" xfId="45" applyFont="1" applyAlignment="1">
      <alignment horizontal="center"/>
    </xf>
    <xf numFmtId="0" fontId="53" fillId="0" borderId="0" xfId="16" applyNumberFormat="1" applyFont="1" applyFill="1" applyAlignment="1">
      <alignment horizontal="center"/>
    </xf>
    <xf numFmtId="6" fontId="51" fillId="0" borderId="0" xfId="45" applyNumberFormat="1" applyFont="1"/>
    <xf numFmtId="6" fontId="52" fillId="0" borderId="0" xfId="45" applyNumberFormat="1" applyFont="1" applyAlignment="1">
      <alignment horizontal="right"/>
    </xf>
    <xf numFmtId="0" fontId="53" fillId="0" borderId="0" xfId="16" applyFont="1" applyFill="1" applyAlignment="1">
      <alignment horizontal="center"/>
    </xf>
    <xf numFmtId="168" fontId="53" fillId="0" borderId="0" xfId="18" applyNumberFormat="1" applyFont="1" applyFill="1" applyBorder="1" applyAlignment="1">
      <alignment horizontal="center"/>
    </xf>
    <xf numFmtId="0" fontId="51" fillId="0" borderId="0" xfId="45" applyFont="1" applyAlignment="1">
      <alignment horizontal="right"/>
    </xf>
    <xf numFmtId="8" fontId="51" fillId="0" borderId="0" xfId="45" applyNumberFormat="1" applyFont="1"/>
    <xf numFmtId="0" fontId="52" fillId="0" borderId="0" xfId="45" applyFont="1" applyAlignment="1">
      <alignment horizontal="right"/>
    </xf>
    <xf numFmtId="6" fontId="52" fillId="0" borderId="0" xfId="45" applyNumberFormat="1" applyFont="1"/>
    <xf numFmtId="6" fontId="52" fillId="0" borderId="0" xfId="45" applyNumberFormat="1" applyFont="1" applyAlignment="1">
      <alignment horizontal="center"/>
    </xf>
    <xf numFmtId="0" fontId="52" fillId="0" borderId="0" xfId="45" applyFont="1"/>
    <xf numFmtId="3" fontId="11" fillId="0" borderId="0" xfId="0" applyNumberFormat="1" applyFont="1" applyFill="1"/>
    <xf numFmtId="180" fontId="11" fillId="0" borderId="0" xfId="0" applyNumberFormat="1" applyFont="1" applyFill="1"/>
    <xf numFmtId="0" fontId="11" fillId="0" borderId="0" xfId="0" applyFont="1" applyBorder="1" applyAlignment="1">
      <alignment horizontal="center"/>
    </xf>
    <xf numFmtId="6" fontId="0" fillId="0" borderId="0" xfId="3" applyNumberFormat="1" applyFont="1"/>
    <xf numFmtId="6" fontId="0" fillId="0" borderId="0" xfId="0" applyNumberFormat="1"/>
    <xf numFmtId="6" fontId="0" fillId="0" borderId="70" xfId="0" applyNumberFormat="1" applyBorder="1"/>
    <xf numFmtId="165" fontId="54" fillId="0" borderId="0" xfId="3" applyNumberFormat="1" applyFont="1"/>
    <xf numFmtId="0" fontId="50" fillId="0" borderId="0" xfId="43" applyFont="1" applyFill="1" applyAlignment="1">
      <alignment horizontal="centerContinuous"/>
    </xf>
    <xf numFmtId="0" fontId="53" fillId="0" borderId="0" xfId="16" applyFont="1" applyFill="1" applyAlignment="1">
      <alignment horizontal="centerContinuous"/>
    </xf>
    <xf numFmtId="0" fontId="53" fillId="0" borderId="0" xfId="16" applyFont="1" applyFill="1"/>
    <xf numFmtId="37" fontId="53" fillId="0" borderId="0" xfId="16" applyNumberFormat="1" applyFont="1" applyFill="1" applyAlignment="1" applyProtection="1">
      <alignment horizontal="centerContinuous"/>
    </xf>
    <xf numFmtId="0" fontId="50" fillId="0" borderId="0" xfId="16" applyFont="1" applyFill="1" applyAlignment="1">
      <alignment horizontal="center"/>
    </xf>
    <xf numFmtId="17" fontId="53" fillId="0" borderId="0" xfId="16" applyNumberFormat="1" applyFont="1" applyFill="1" applyAlignment="1">
      <alignment horizontal="center"/>
    </xf>
    <xf numFmtId="14" fontId="50" fillId="0" borderId="0" xfId="46" applyNumberFormat="1" applyFont="1" applyFill="1" applyAlignment="1">
      <alignment horizontal="center"/>
    </xf>
    <xf numFmtId="1" fontId="50" fillId="0" borderId="0" xfId="43" applyNumberFormat="1" applyFont="1" applyFill="1" applyAlignment="1" applyProtection="1">
      <alignment horizontal="center"/>
    </xf>
    <xf numFmtId="0" fontId="55" fillId="0" borderId="0" xfId="43" applyFont="1" applyFill="1" applyAlignment="1">
      <alignment horizontal="center"/>
    </xf>
    <xf numFmtId="14" fontId="53" fillId="0" borderId="0" xfId="43" applyNumberFormat="1" applyFont="1" applyAlignment="1">
      <alignment horizontal="center"/>
    </xf>
    <xf numFmtId="0" fontId="50" fillId="0" borderId="0" xfId="16" applyFont="1" applyFill="1"/>
    <xf numFmtId="37" fontId="53" fillId="0" borderId="0" xfId="16" applyNumberFormat="1" applyFont="1" applyFill="1" applyProtection="1"/>
    <xf numFmtId="37" fontId="53" fillId="0" borderId="0" xfId="16" applyNumberFormat="1" applyFont="1" applyFill="1" applyAlignment="1" applyProtection="1">
      <alignment horizontal="center"/>
    </xf>
    <xf numFmtId="5" fontId="50" fillId="0" borderId="0" xfId="16" applyNumberFormat="1" applyFont="1" applyFill="1" applyProtection="1"/>
    <xf numFmtId="5" fontId="53" fillId="0" borderId="0" xfId="16" applyNumberFormat="1" applyFont="1" applyFill="1" applyAlignment="1" applyProtection="1">
      <alignment horizontal="center"/>
    </xf>
    <xf numFmtId="168" fontId="51" fillId="0" borderId="0" xfId="18" applyNumberFormat="1" applyFont="1" applyFill="1" applyBorder="1"/>
    <xf numFmtId="172" fontId="56" fillId="0" borderId="0" xfId="47" applyNumberFormat="1" applyFont="1" applyAlignment="1" applyProtection="1">
      <alignment horizontal="center"/>
    </xf>
    <xf numFmtId="6" fontId="51" fillId="0" borderId="0" xfId="47" applyNumberFormat="1" applyFont="1"/>
    <xf numFmtId="6" fontId="52" fillId="0" borderId="0" xfId="47" applyNumberFormat="1" applyFont="1"/>
    <xf numFmtId="6" fontId="53" fillId="0" borderId="0" xfId="16" applyNumberFormat="1" applyFont="1" applyFill="1" applyAlignment="1">
      <alignment horizontal="center"/>
    </xf>
    <xf numFmtId="37" fontId="55" fillId="0" borderId="0" xfId="16" applyNumberFormat="1" applyFont="1" applyFill="1" applyProtection="1"/>
    <xf numFmtId="37" fontId="53" fillId="0" borderId="0" xfId="16" applyNumberFormat="1" applyFont="1" applyFill="1"/>
    <xf numFmtId="182" fontId="56" fillId="0" borderId="0" xfId="47" applyNumberFormat="1" applyFont="1" applyAlignment="1" applyProtection="1">
      <alignment horizontal="right"/>
    </xf>
    <xf numFmtId="0" fontId="50" fillId="0" borderId="0" xfId="43" applyFont="1" applyFill="1" applyAlignment="1">
      <alignment horizontal="center"/>
    </xf>
    <xf numFmtId="168" fontId="52" fillId="0" borderId="0" xfId="18" applyNumberFormat="1" applyFont="1" applyFill="1" applyBorder="1"/>
    <xf numFmtId="5" fontId="53" fillId="0" borderId="0" xfId="16" applyNumberFormat="1" applyFont="1" applyFill="1"/>
    <xf numFmtId="0" fontId="53" fillId="0" borderId="0" xfId="43" applyFont="1" applyFill="1" applyAlignment="1">
      <alignment horizontal="right"/>
    </xf>
    <xf numFmtId="0" fontId="53" fillId="0" borderId="0" xfId="16" applyFont="1" applyFill="1" applyAlignment="1">
      <alignment horizontal="right"/>
    </xf>
    <xf numFmtId="6" fontId="53" fillId="0" borderId="0" xfId="16" applyNumberFormat="1" applyFont="1" applyFill="1"/>
    <xf numFmtId="173" fontId="53" fillId="0" borderId="0" xfId="16" applyNumberFormat="1" applyFont="1" applyFill="1" applyProtection="1"/>
    <xf numFmtId="5" fontId="53" fillId="0" borderId="0" xfId="16" applyNumberFormat="1" applyFont="1" applyFill="1" applyProtection="1"/>
    <xf numFmtId="5" fontId="57" fillId="0" borderId="0" xfId="0" applyNumberFormat="1" applyFont="1" applyFill="1" applyProtection="1"/>
    <xf numFmtId="49" fontId="58" fillId="2" borderId="78" xfId="0" applyNumberFormat="1" applyFont="1" applyFill="1" applyBorder="1" applyAlignment="1">
      <alignment horizontal="left"/>
    </xf>
    <xf numFmtId="181" fontId="58" fillId="2" borderId="78" xfId="0" applyNumberFormat="1" applyFont="1" applyFill="1" applyBorder="1" applyAlignment="1">
      <alignment horizontal="right"/>
    </xf>
    <xf numFmtId="180" fontId="58" fillId="2" borderId="78" xfId="0" applyNumberFormat="1" applyFont="1" applyFill="1" applyBorder="1" applyAlignment="1">
      <alignment horizontal="right"/>
    </xf>
    <xf numFmtId="3" fontId="58" fillId="2" borderId="78" xfId="0" applyNumberFormat="1" applyFont="1" applyFill="1" applyBorder="1" applyAlignment="1">
      <alignment horizontal="right"/>
    </xf>
    <xf numFmtId="0" fontId="59" fillId="0" borderId="0" xfId="0" applyFont="1" applyFill="1" applyAlignment="1">
      <alignment horizontal="left"/>
    </xf>
    <xf numFmtId="0" fontId="59" fillId="0" borderId="0" xfId="0" applyNumberFormat="1" applyFont="1" applyFill="1" applyAlignment="1">
      <alignment horizontal="left"/>
    </xf>
    <xf numFmtId="1" fontId="42" fillId="0" borderId="0" xfId="0" applyNumberFormat="1" applyFont="1" applyFill="1" applyAlignment="1">
      <alignment horizontal="center"/>
    </xf>
    <xf numFmtId="1" fontId="52" fillId="0" borderId="0" xfId="45" applyNumberFormat="1" applyFont="1" applyFill="1" applyAlignment="1">
      <alignment horizontal="center"/>
    </xf>
    <xf numFmtId="6" fontId="51" fillId="0" borderId="0" xfId="45" applyNumberFormat="1" applyFont="1" applyFill="1"/>
    <xf numFmtId="6" fontId="51" fillId="0" borderId="0" xfId="0" applyNumberFormat="1" applyFont="1" applyFill="1"/>
    <xf numFmtId="6" fontId="0" fillId="0" borderId="0" xfId="3" applyNumberFormat="1" applyFont="1" applyFill="1"/>
    <xf numFmtId="6" fontId="0" fillId="0" borderId="70" xfId="3" applyNumberFormat="1" applyFont="1" applyFill="1" applyBorder="1"/>
    <xf numFmtId="165" fontId="54" fillId="0" borderId="0" xfId="3" applyNumberFormat="1" applyFont="1" applyFill="1"/>
    <xf numFmtId="165" fontId="0" fillId="0" borderId="0" xfId="3" applyNumberFormat="1" applyFont="1" applyFill="1"/>
    <xf numFmtId="0" fontId="11" fillId="0" borderId="28" xfId="0" applyFont="1" applyFill="1" applyBorder="1" applyAlignment="1">
      <alignment horizontal="center"/>
    </xf>
    <xf numFmtId="0" fontId="11" fillId="0" borderId="45" xfId="0" applyFont="1" applyFill="1" applyBorder="1"/>
    <xf numFmtId="0" fontId="9" fillId="0" borderId="4" xfId="0" applyFont="1" applyFill="1" applyBorder="1"/>
    <xf numFmtId="44" fontId="11" fillId="0" borderId="0" xfId="3" applyFont="1" applyFill="1" applyAlignment="1" applyProtection="1">
      <alignment horizontal="left"/>
    </xf>
    <xf numFmtId="168" fontId="11" fillId="0" borderId="0" xfId="1" applyNumberFormat="1" applyFont="1" applyFill="1" applyProtection="1"/>
    <xf numFmtId="165" fontId="16" fillId="0" borderId="0" xfId="0" applyNumberFormat="1" applyFont="1" applyFill="1"/>
    <xf numFmtId="0" fontId="35" fillId="0" borderId="0" xfId="0" applyFont="1" applyFill="1" applyBorder="1" applyAlignment="1" applyProtection="1">
      <alignment horizontal="centerContinuous"/>
    </xf>
    <xf numFmtId="0" fontId="11" fillId="0" borderId="0" xfId="0" applyFont="1" applyFill="1" applyBorder="1" applyAlignment="1">
      <alignment horizontal="left" wrapText="1"/>
    </xf>
    <xf numFmtId="166" fontId="11" fillId="0" borderId="0" xfId="0" applyNumberFormat="1" applyFont="1" applyFill="1" applyBorder="1"/>
    <xf numFmtId="0" fontId="9" fillId="0" borderId="0" xfId="0" applyFont="1" applyFill="1" applyBorder="1"/>
    <xf numFmtId="0" fontId="11" fillId="0" borderId="28" xfId="0" applyFont="1" applyFill="1" applyBorder="1" applyAlignment="1"/>
    <xf numFmtId="0" fontId="11" fillId="0" borderId="45" xfId="0" applyFont="1" applyFill="1" applyBorder="1" applyAlignment="1" applyProtection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72" xfId="0" applyFont="1" applyFill="1" applyBorder="1" applyAlignment="1">
      <alignment horizontal="center"/>
    </xf>
  </cellXfs>
  <cellStyles count="48">
    <cellStyle name="Comma" xfId="1" builtinId="3"/>
    <cellStyle name="Comma 2" xfId="2" xr:uid="{00000000-0005-0000-0000-000001000000}"/>
    <cellStyle name="Comma 2 2" xfId="18" xr:uid="{00000000-0005-0000-0000-000002000000}"/>
    <cellStyle name="Comma 3" xfId="14" xr:uid="{00000000-0005-0000-0000-000003000000}"/>
    <cellStyle name="Comma 4" xfId="29" xr:uid="{00000000-0005-0000-0000-000004000000}"/>
    <cellStyle name="Currency" xfId="3" builtinId="4"/>
    <cellStyle name="Currency 2" xfId="19" xr:uid="{00000000-0005-0000-0000-000006000000}"/>
    <cellStyle name="Currency 3" xfId="20" xr:uid="{00000000-0005-0000-0000-000007000000}"/>
    <cellStyle name="General" xfId="4" xr:uid="{00000000-0005-0000-0000-000008000000}"/>
    <cellStyle name="Marathon" xfId="30" xr:uid="{00000000-0005-0000-0000-000009000000}"/>
    <cellStyle name="nONE" xfId="5" xr:uid="{00000000-0005-0000-0000-00000A000000}"/>
    <cellStyle name="Normal" xfId="0" builtinId="0"/>
    <cellStyle name="Normal 10" xfId="21" xr:uid="{00000000-0005-0000-0000-00000C000000}"/>
    <cellStyle name="Normal 10 2" xfId="40" xr:uid="{00000000-0005-0000-0000-00000D000000}"/>
    <cellStyle name="Normal 11" xfId="22" xr:uid="{00000000-0005-0000-0000-00000E000000}"/>
    <cellStyle name="Normal 12" xfId="28" xr:uid="{00000000-0005-0000-0000-00000F000000}"/>
    <cellStyle name="Normal 13" xfId="34" xr:uid="{00000000-0005-0000-0000-000010000000}"/>
    <cellStyle name="Normal 14" xfId="35" xr:uid="{00000000-0005-0000-0000-000011000000}"/>
    <cellStyle name="Normal 15" xfId="37" xr:uid="{00000000-0005-0000-0000-000012000000}"/>
    <cellStyle name="Normal 16" xfId="38" xr:uid="{00000000-0005-0000-0000-000013000000}"/>
    <cellStyle name="Normal 17" xfId="39" xr:uid="{00000000-0005-0000-0000-000014000000}"/>
    <cellStyle name="Normal 18" xfId="41" xr:uid="{00000000-0005-0000-0000-000015000000}"/>
    <cellStyle name="Normal 19" xfId="42" xr:uid="{00000000-0005-0000-0000-000016000000}"/>
    <cellStyle name="Normal 2" xfId="6" xr:uid="{00000000-0005-0000-0000-000017000000}"/>
    <cellStyle name="Normal 2 2" xfId="23" xr:uid="{00000000-0005-0000-0000-000018000000}"/>
    <cellStyle name="Normal 2 3" xfId="43" xr:uid="{00000000-0005-0000-0000-000019000000}"/>
    <cellStyle name="Normal 20" xfId="44" xr:uid="{00000000-0005-0000-0000-00001A000000}"/>
    <cellStyle name="Normal 21" xfId="45" xr:uid="{00000000-0005-0000-0000-00001B000000}"/>
    <cellStyle name="Normal 22" xfId="47" xr:uid="{00000000-0005-0000-0000-00001C000000}"/>
    <cellStyle name="Normal 3" xfId="13" xr:uid="{00000000-0005-0000-0000-00001D000000}"/>
    <cellStyle name="Normal 3 2" xfId="31" xr:uid="{00000000-0005-0000-0000-00001E000000}"/>
    <cellStyle name="Normal 4" xfId="15" xr:uid="{00000000-0005-0000-0000-00001F000000}"/>
    <cellStyle name="Normal 4 2" xfId="32" xr:uid="{00000000-0005-0000-0000-000020000000}"/>
    <cellStyle name="Normal 5" xfId="17" xr:uid="{00000000-0005-0000-0000-000021000000}"/>
    <cellStyle name="Normal 6" xfId="24" xr:uid="{00000000-0005-0000-0000-000022000000}"/>
    <cellStyle name="Normal 7" xfId="25" xr:uid="{00000000-0005-0000-0000-000023000000}"/>
    <cellStyle name="Normal 8" xfId="26" xr:uid="{00000000-0005-0000-0000-000024000000}"/>
    <cellStyle name="Normal 9" xfId="27" xr:uid="{00000000-0005-0000-0000-000025000000}"/>
    <cellStyle name="Normal_EAST Blocking 901" xfId="7" xr:uid="{00000000-0005-0000-0000-000026000000}"/>
    <cellStyle name="Normal_Idaho Mar05" xfId="8" xr:uid="{00000000-0005-0000-0000-000027000000}"/>
    <cellStyle name="Normal_OR 1999 SAS VS 305" xfId="9" xr:uid="{00000000-0005-0000-0000-000028000000}"/>
    <cellStyle name="Normal_RECOV01" xfId="16" xr:uid="{00000000-0005-0000-0000-000029000000}"/>
    <cellStyle name="Normal_RECOV02WA" xfId="46" xr:uid="{00000000-0005-0000-0000-00002A000000}"/>
    <cellStyle name="Percent" xfId="10" builtinId="5"/>
    <cellStyle name="Percent 2" xfId="11" xr:uid="{00000000-0005-0000-0000-00002C000000}"/>
    <cellStyle name="Percent 3" xfId="33" xr:uid="{00000000-0005-0000-0000-00002D000000}"/>
    <cellStyle name="Percent 3 2" xfId="36" xr:uid="{00000000-0005-0000-0000-00002E000000}"/>
    <cellStyle name="TRANSMISSION RELIABILITY PORTION OF PROJECT" xfId="12" xr:uid="{00000000-0005-0000-0000-00002F000000}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80" formatCode="#,##0;\-#,##0;#,##0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81" formatCode="\$#,##0.00;&quot;($&quot;#,##0.00\)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6%20-%20new%20method/RECOV16%20-%20with%20Feb%20DSM%20data%20that%20ties%20to%20John%20Petrusich's%20numbe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Deer Creek"/>
      <sheetName val="OR Intvnr Fding"/>
      <sheetName val="OR Inputs"/>
      <sheetName val="WY Bonus Tax Depr"/>
      <sheetName val="WA SBC"/>
      <sheetName val="WA Depreciation"/>
      <sheetName val="WA Merwin"/>
      <sheetName val="CA ESA"/>
      <sheetName val="CA Pub Purp"/>
      <sheetName val="CA 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WY New DSM Codes"/>
      <sheetName val="New WY DSM"/>
      <sheetName val="Prorations&gt;&gt;&gt;"/>
      <sheetName val="Prorate OR 01-15"/>
      <sheetName val="Prorate OR 02-15 OSIP"/>
      <sheetName val="Prorate OR 03-15 OSIP"/>
      <sheetName val="Prorate OR 04-15 OSIP"/>
      <sheetName val="Prorate OR 02-15 RAC"/>
      <sheetName val="Prorate OR 03-15 RAC"/>
      <sheetName val="Prorate 05-15 Deer Cr"/>
      <sheetName val="Prorate 06-15 Deer Cr"/>
      <sheetName val="Prorate 07-15 Deer Cr"/>
      <sheetName val="Prorate 08-15 Deer Cr"/>
      <sheetName val="Prorate 01-16 Intvnr Fding"/>
      <sheetName val="Prorate 08-15 - CA SI"/>
      <sheetName val="Prorate 09-15 - CA SI"/>
      <sheetName val="Prorate 10-15 - CA SI"/>
      <sheetName val="Prorate WA 03-15 - Depr+Merwin"/>
      <sheetName val="Prorate WA 04-15 - Depr+Merwin"/>
      <sheetName val="Prorate WA 05-15 - Depr+Merwin"/>
      <sheetName val="Prorate WA 0615 - Depr + Merwin"/>
      <sheetName val="Prorate WA 08-15 - SBC"/>
      <sheetName val="Prorate WA 09-15 - SBC"/>
      <sheetName val="Prorate WA 10-15 - SBC"/>
      <sheetName val="Prorate WY 01-16 - Bon Tax Depr"/>
    </sheetNames>
    <sheetDataSet>
      <sheetData sheetId="0"/>
      <sheetData sheetId="1"/>
      <sheetData sheetId="2">
        <row r="1">
          <cell r="A1" t="str">
            <v>Code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4:J140" totalsRowShown="0" headerRowDxfId="21">
  <autoFilter ref="B4:J140" xr:uid="{00000000-0009-0000-0100-000002000000}"/>
  <tableColumns count="9">
    <tableColumn id="1" xr3:uid="{00000000-0010-0000-0000-000001000000}" name="State Desc" dataDxfId="20"/>
    <tableColumn id="2" xr3:uid="{00000000-0010-0000-0000-000002000000}" name="Revenue Class Desc" dataDxfId="19"/>
    <tableColumn id="3" xr3:uid="{00000000-0010-0000-0000-000003000000}" name="Rate Group Cd" dataDxfId="18"/>
    <tableColumn id="4" xr3:uid="{00000000-0010-0000-0000-000004000000}" name="Rate Desc" dataDxfId="17"/>
    <tableColumn id="5" xr3:uid="{00000000-0010-0000-0000-000005000000}" name="RCS Currnt Mo Rvnu Amt" dataDxfId="16"/>
    <tableColumn id="6" xr3:uid="{00000000-0010-0000-0000-000006000000}" name="Avg Billing Count" dataDxfId="15"/>
    <tableColumn id="7" xr3:uid="{00000000-0010-0000-0000-000007000000}" name="RCS Currnt Mo Kwh" dataDxfId="14"/>
    <tableColumn id="8" xr3:uid="{00000000-0010-0000-0000-000008000000}" name="Code" dataDxfId="13">
      <calculatedColumnFormula>VLOOKUP(Table2[[#This Row],[Rate Desc]],lookup305[],2,TRUE)</calculatedColumnFormula>
    </tableColumn>
    <tableColumn id="9" xr3:uid="{00000000-0010-0000-0000-000009000000}" name="Code (BPA)" dataDxfId="12">
      <calculatedColumnFormula>IF(Table2[[#This Row],[Rate Group Cd]]="B",IF(OR(Table2[[#This Row],[Code]]="bpa",Table2[[#This Row],[Code]]="bpaadj"),Table2[[#This Row],[Code]],"b"&amp;Table2[[#This Row],[Code]]),Table2[[#This Row],[Code]])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lookup305" displayName="lookup305" ref="A1:C137" totalsRowShown="0">
  <autoFilter ref="A1:C137" xr:uid="{00000000-0009-0000-0100-000001000000}"/>
  <sortState xmlns:xlrd2="http://schemas.microsoft.com/office/spreadsheetml/2017/richdata2" ref="A2:C137">
    <sortCondition ref="A2:A137"/>
  </sortState>
  <tableColumns count="3">
    <tableColumn id="1" xr3:uid="{00000000-0010-0000-0100-000001000000}" name="Rate Desc"/>
    <tableColumn id="2" xr3:uid="{00000000-0010-0000-0100-000002000000}" name="Code" dataDxfId="11"/>
    <tableColumn id="3" xr3:uid="{00000000-0010-0000-0100-000003000000}" name="Code (BPA)" dataDxfId="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N41"/>
  <sheetViews>
    <sheetView workbookViewId="0"/>
  </sheetViews>
  <sheetFormatPr defaultColWidth="8" defaultRowHeight="13.2"/>
  <cols>
    <col min="1" max="1" width="17.8984375" style="52" customWidth="1"/>
    <col min="2" max="2" width="8.8984375" style="52" customWidth="1"/>
    <col min="3" max="3" width="10" style="52" customWidth="1"/>
    <col min="4" max="4" width="8.8984375" style="52" customWidth="1"/>
    <col min="5" max="5" width="10.09765625" style="52" customWidth="1"/>
    <col min="6" max="6" width="9.8984375" style="52" customWidth="1"/>
    <col min="7" max="7" width="11" style="52" customWidth="1"/>
    <col min="8" max="13" width="8.8984375" style="52" customWidth="1"/>
    <col min="14" max="16384" width="8" style="52"/>
  </cols>
  <sheetData>
    <row r="1" spans="1:14">
      <c r="A1" s="113" t="s">
        <v>467</v>
      </c>
    </row>
    <row r="2" spans="1:14" ht="13.8" thickBot="1"/>
    <row r="3" spans="1:14" ht="13.8" thickBot="1">
      <c r="A3" s="53"/>
      <c r="B3" s="88" t="s">
        <v>470</v>
      </c>
      <c r="C3" s="89"/>
      <c r="D3" s="90"/>
      <c r="E3" s="88" t="s">
        <v>435</v>
      </c>
      <c r="F3" s="89"/>
      <c r="G3" s="90"/>
      <c r="H3" s="88" t="s">
        <v>158</v>
      </c>
      <c r="I3" s="89"/>
      <c r="J3" s="90"/>
      <c r="K3" s="88" t="s">
        <v>182</v>
      </c>
      <c r="L3" s="89"/>
      <c r="M3" s="90"/>
    </row>
    <row r="4" spans="1:14">
      <c r="A4" s="54"/>
      <c r="B4" s="114" t="s">
        <v>8</v>
      </c>
      <c r="C4" s="115" t="s">
        <v>9</v>
      </c>
      <c r="D4" s="91" t="s">
        <v>37</v>
      </c>
      <c r="E4" s="116" t="s">
        <v>8</v>
      </c>
      <c r="F4" s="117" t="s">
        <v>9</v>
      </c>
      <c r="G4" s="92" t="s">
        <v>37</v>
      </c>
      <c r="H4" s="114" t="s">
        <v>8</v>
      </c>
      <c r="I4" s="115" t="s">
        <v>9</v>
      </c>
      <c r="J4" s="91" t="s">
        <v>37</v>
      </c>
      <c r="K4" s="114" t="s">
        <v>8</v>
      </c>
      <c r="L4" s="115" t="s">
        <v>9</v>
      </c>
      <c r="M4" s="91" t="s">
        <v>37</v>
      </c>
    </row>
    <row r="5" spans="1:14">
      <c r="A5" s="55"/>
      <c r="B5" s="118" t="s">
        <v>12</v>
      </c>
      <c r="C5" s="117" t="s">
        <v>12</v>
      </c>
      <c r="D5" s="93" t="s">
        <v>1</v>
      </c>
      <c r="E5" s="116" t="s">
        <v>12</v>
      </c>
      <c r="F5" s="117" t="s">
        <v>12</v>
      </c>
      <c r="G5" s="92" t="s">
        <v>1</v>
      </c>
      <c r="H5" s="118" t="s">
        <v>12</v>
      </c>
      <c r="I5" s="117" t="s">
        <v>12</v>
      </c>
      <c r="J5" s="93" t="s">
        <v>1</v>
      </c>
      <c r="K5" s="118" t="s">
        <v>12</v>
      </c>
      <c r="L5" s="117" t="s">
        <v>12</v>
      </c>
      <c r="M5" s="93" t="s">
        <v>1</v>
      </c>
    </row>
    <row r="6" spans="1:14" ht="13.8" thickBot="1">
      <c r="A6" s="56"/>
      <c r="B6" s="119" t="s">
        <v>259</v>
      </c>
      <c r="C6" s="120" t="s">
        <v>21</v>
      </c>
      <c r="D6" s="94" t="s">
        <v>183</v>
      </c>
      <c r="E6" s="119" t="s">
        <v>245</v>
      </c>
      <c r="F6" s="120" t="s">
        <v>21</v>
      </c>
      <c r="G6" s="95" t="s">
        <v>183</v>
      </c>
      <c r="H6" s="119" t="s">
        <v>259</v>
      </c>
      <c r="I6" s="120" t="s">
        <v>21</v>
      </c>
      <c r="J6" s="94" t="s">
        <v>183</v>
      </c>
      <c r="K6" s="119" t="s">
        <v>259</v>
      </c>
      <c r="L6" s="120" t="s">
        <v>21</v>
      </c>
      <c r="M6" s="94" t="s">
        <v>183</v>
      </c>
    </row>
    <row r="7" spans="1:14">
      <c r="A7" s="121" t="s">
        <v>15</v>
      </c>
      <c r="B7" s="96">
        <f>'Table 1-Revenues'!L16/1000</f>
        <v>151661.83900001002</v>
      </c>
      <c r="C7" s="97">
        <f>'Table 1 - kWh'!F16/1000</f>
        <v>1620702.4350000001</v>
      </c>
      <c r="D7" s="98">
        <f t="shared" ref="D7:D12" si="0">B7*100/C7</f>
        <v>9.357784360952726</v>
      </c>
      <c r="E7" s="96">
        <v>151058.125</v>
      </c>
      <c r="F7" s="99">
        <v>1547792.0830000001</v>
      </c>
      <c r="G7" s="98">
        <f t="shared" ref="G7:G12" si="1">E7*100/F7</f>
        <v>9.7595876512827466</v>
      </c>
      <c r="H7" s="96">
        <f>B7-E7</f>
        <v>603.71400001001894</v>
      </c>
      <c r="I7" s="99">
        <f>C7-F7</f>
        <v>72910.351999999955</v>
      </c>
      <c r="J7" s="100">
        <f t="shared" ref="I7:J12" si="2">D7-G7</f>
        <v>-0.4018032903300206</v>
      </c>
      <c r="K7" s="101">
        <f t="shared" ref="K7:M12" si="3">B7/E7-1</f>
        <v>3.9965675464992412E-3</v>
      </c>
      <c r="L7" s="102">
        <f t="shared" si="3"/>
        <v>4.710603756202314E-2</v>
      </c>
      <c r="M7" s="103">
        <f t="shared" si="3"/>
        <v>-4.1170109300387225E-2</v>
      </c>
      <c r="N7" s="57"/>
    </row>
    <row r="8" spans="1:14">
      <c r="A8" s="122" t="s">
        <v>16</v>
      </c>
      <c r="B8" s="104">
        <f>'Table 1-Revenues'!L17/1000</f>
        <v>126543.99416953801</v>
      </c>
      <c r="C8" s="97">
        <f>'Table 1 - kWh'!F17/1000</f>
        <v>1512427.747</v>
      </c>
      <c r="D8" s="98">
        <f t="shared" si="0"/>
        <v>8.3669447628520661</v>
      </c>
      <c r="E8" s="104">
        <v>131297.13500000001</v>
      </c>
      <c r="F8" s="105">
        <v>1559609.3529999999</v>
      </c>
      <c r="G8" s="98">
        <f t="shared" si="1"/>
        <v>8.4185911521652699</v>
      </c>
      <c r="H8" s="104">
        <f>B8-E8</f>
        <v>-4753.1408304619981</v>
      </c>
      <c r="I8" s="105">
        <f t="shared" si="2"/>
        <v>-47181.605999999912</v>
      </c>
      <c r="J8" s="100">
        <f t="shared" si="2"/>
        <v>-5.1646389313203755E-2</v>
      </c>
      <c r="K8" s="106">
        <f t="shared" si="3"/>
        <v>-3.6201405540661646E-2</v>
      </c>
      <c r="L8" s="107">
        <f t="shared" si="3"/>
        <v>-3.0252194826379641E-2</v>
      </c>
      <c r="M8" s="108">
        <f t="shared" si="3"/>
        <v>-6.1348019377233109E-3</v>
      </c>
      <c r="N8" s="58"/>
    </row>
    <row r="9" spans="1:14">
      <c r="A9" s="122" t="s">
        <v>28</v>
      </c>
      <c r="B9" s="104">
        <f>'Table 1-Revenues'!L18/1000</f>
        <v>52103.941046740001</v>
      </c>
      <c r="C9" s="97">
        <f>'Table 1 - kWh'!F18/1000</f>
        <v>778482.30599999998</v>
      </c>
      <c r="D9" s="98">
        <f>B9*100/C9</f>
        <v>6.6930154539363418</v>
      </c>
      <c r="E9" s="104">
        <v>50363.495999999999</v>
      </c>
      <c r="F9" s="105">
        <v>749766.98100000003</v>
      </c>
      <c r="G9" s="98">
        <f>E9*100/F9</f>
        <v>6.717219786449891</v>
      </c>
      <c r="H9" s="104">
        <f>B9-E9</f>
        <v>1740.445046740002</v>
      </c>
      <c r="I9" s="105">
        <f t="shared" si="2"/>
        <v>28715.324999999953</v>
      </c>
      <c r="J9" s="100">
        <f t="shared" si="2"/>
        <v>-2.4204332513549254E-2</v>
      </c>
      <c r="K9" s="106">
        <f t="shared" si="3"/>
        <v>3.4557669442566219E-2</v>
      </c>
      <c r="L9" s="107">
        <f t="shared" si="3"/>
        <v>3.8298999192657002E-2</v>
      </c>
      <c r="M9" s="108">
        <f t="shared" si="3"/>
        <v>-3.6033259716132804E-3</v>
      </c>
      <c r="N9" s="58"/>
    </row>
    <row r="10" spans="1:14">
      <c r="A10" s="122" t="s">
        <v>171</v>
      </c>
      <c r="B10" s="104">
        <f>'Table 1-Revenues'!L19/1000</f>
        <v>15352.726649440001</v>
      </c>
      <c r="C10" s="97">
        <f>'Table 1 - kWh'!F19/1000</f>
        <v>160293.90700000001</v>
      </c>
      <c r="D10" s="98">
        <f t="shared" si="0"/>
        <v>9.577860404538022</v>
      </c>
      <c r="E10" s="104">
        <v>15375.817999999999</v>
      </c>
      <c r="F10" s="105">
        <v>164795.79800000001</v>
      </c>
      <c r="G10" s="98">
        <f t="shared" si="1"/>
        <v>9.3302245485652477</v>
      </c>
      <c r="H10" s="104">
        <f>B10-E10</f>
        <v>-23.091350559998318</v>
      </c>
      <c r="I10" s="105">
        <f t="shared" si="2"/>
        <v>-4501.8910000000033</v>
      </c>
      <c r="J10" s="100">
        <f t="shared" si="2"/>
        <v>0.24763585597277427</v>
      </c>
      <c r="K10" s="106">
        <f t="shared" si="3"/>
        <v>-1.5017965587260651E-3</v>
      </c>
      <c r="L10" s="107">
        <f t="shared" si="3"/>
        <v>-2.7317996299881409E-2</v>
      </c>
      <c r="M10" s="108">
        <f t="shared" si="3"/>
        <v>2.6541253609041471E-2</v>
      </c>
      <c r="N10" s="58"/>
    </row>
    <row r="11" spans="1:14" ht="13.8" thickBot="1">
      <c r="A11" s="122" t="s">
        <v>17</v>
      </c>
      <c r="B11" s="104">
        <f>'Table 1-Revenues'!L20/1000</f>
        <v>856.14899980000007</v>
      </c>
      <c r="C11" s="97">
        <f>'Table 1 - kWh'!F20/1000</f>
        <v>5332.54</v>
      </c>
      <c r="D11" s="98">
        <f t="shared" si="0"/>
        <v>16.055181954565743</v>
      </c>
      <c r="E11" s="104">
        <v>1312.0309999999999</v>
      </c>
      <c r="F11" s="105">
        <v>9169.4110000000001</v>
      </c>
      <c r="G11" s="98">
        <f t="shared" si="1"/>
        <v>14.308781665474479</v>
      </c>
      <c r="H11" s="104">
        <f>B11-E11</f>
        <v>-455.88200019999988</v>
      </c>
      <c r="I11" s="105">
        <f t="shared" si="2"/>
        <v>-3836.8710000000001</v>
      </c>
      <c r="J11" s="100">
        <f t="shared" si="2"/>
        <v>1.7464002890912642</v>
      </c>
      <c r="K11" s="309">
        <f t="shared" si="3"/>
        <v>-0.34746282686918217</v>
      </c>
      <c r="L11" s="310">
        <f t="shared" si="3"/>
        <v>-0.41844247138665724</v>
      </c>
      <c r="M11" s="311">
        <f t="shared" si="3"/>
        <v>0.12205094255544746</v>
      </c>
      <c r="N11" s="58"/>
    </row>
    <row r="12" spans="1:14" ht="13.8" thickBot="1">
      <c r="A12" s="123" t="s">
        <v>71</v>
      </c>
      <c r="B12" s="109">
        <f>SUM(B7:B11)</f>
        <v>346518.64986552799</v>
      </c>
      <c r="C12" s="110">
        <f>SUM(C7:C11)</f>
        <v>4077238.9350000001</v>
      </c>
      <c r="D12" s="111">
        <f t="shared" si="0"/>
        <v>8.4988556076743134</v>
      </c>
      <c r="E12" s="109">
        <f>SUM(E7:E11)</f>
        <v>349406.60500000004</v>
      </c>
      <c r="F12" s="110">
        <f>SUM(F7:F11)</f>
        <v>4031133.6259999997</v>
      </c>
      <c r="G12" s="111">
        <f t="shared" si="1"/>
        <v>8.6677008855870685</v>
      </c>
      <c r="H12" s="109">
        <f>B12-E12</f>
        <v>-2887.955134472053</v>
      </c>
      <c r="I12" s="110">
        <f t="shared" si="2"/>
        <v>46105.309000000358</v>
      </c>
      <c r="J12" s="111">
        <f t="shared" si="2"/>
        <v>-0.16884527791275517</v>
      </c>
      <c r="K12" s="112">
        <f t="shared" si="3"/>
        <v>-8.2653135148147427E-3</v>
      </c>
      <c r="L12" s="112">
        <f t="shared" si="3"/>
        <v>1.1437306047765494E-2</v>
      </c>
      <c r="M12" s="112">
        <f t="shared" si="3"/>
        <v>-1.9479822866697694E-2</v>
      </c>
      <c r="N12" s="58"/>
    </row>
    <row r="13" spans="1:14">
      <c r="A13" s="124" t="s">
        <v>184</v>
      </c>
      <c r="F13" s="60"/>
      <c r="H13" s="59"/>
      <c r="I13" s="60"/>
    </row>
    <row r="14" spans="1:14">
      <c r="A14" s="124"/>
      <c r="B14" s="59"/>
      <c r="F14" s="62"/>
      <c r="G14" s="63"/>
      <c r="H14" s="59"/>
      <c r="I14" s="60"/>
    </row>
    <row r="15" spans="1:14" hidden="1">
      <c r="A15" s="124"/>
      <c r="H15" s="59"/>
      <c r="I15" s="60"/>
    </row>
    <row r="16" spans="1:14" hidden="1">
      <c r="A16" s="113" t="s">
        <v>307</v>
      </c>
    </row>
    <row r="17" spans="1:14" ht="13.8" hidden="1" thickBot="1"/>
    <row r="18" spans="1:14" ht="13.8" hidden="1" thickBot="1">
      <c r="A18" s="53"/>
      <c r="B18" s="88" t="str">
        <f>B3</f>
        <v>June 2020-Semi</v>
      </c>
      <c r="C18" s="89"/>
      <c r="D18" s="90"/>
      <c r="E18" s="88" t="s">
        <v>306</v>
      </c>
      <c r="F18" s="89"/>
      <c r="G18" s="90"/>
      <c r="H18" s="88" t="s">
        <v>158</v>
      </c>
      <c r="I18" s="89"/>
      <c r="J18" s="90"/>
      <c r="K18" s="88" t="s">
        <v>182</v>
      </c>
      <c r="L18" s="89"/>
      <c r="M18" s="90"/>
    </row>
    <row r="19" spans="1:14" hidden="1">
      <c r="A19" s="54"/>
      <c r="B19" s="114" t="s">
        <v>8</v>
      </c>
      <c r="C19" s="115" t="s">
        <v>9</v>
      </c>
      <c r="D19" s="91" t="s">
        <v>37</v>
      </c>
      <c r="E19" s="116" t="s">
        <v>8</v>
      </c>
      <c r="F19" s="117" t="s">
        <v>9</v>
      </c>
      <c r="G19" s="92" t="s">
        <v>37</v>
      </c>
      <c r="H19" s="114" t="s">
        <v>8</v>
      </c>
      <c r="I19" s="115" t="s">
        <v>9</v>
      </c>
      <c r="J19" s="91" t="s">
        <v>37</v>
      </c>
      <c r="K19" s="114" t="s">
        <v>8</v>
      </c>
      <c r="L19" s="115" t="s">
        <v>9</v>
      </c>
      <c r="M19" s="91" t="s">
        <v>37</v>
      </c>
    </row>
    <row r="20" spans="1:14" hidden="1">
      <c r="A20" s="55"/>
      <c r="B20" s="118" t="s">
        <v>12</v>
      </c>
      <c r="C20" s="117" t="s">
        <v>12</v>
      </c>
      <c r="D20" s="93" t="s">
        <v>1</v>
      </c>
      <c r="E20" s="116" t="s">
        <v>12</v>
      </c>
      <c r="F20" s="117" t="s">
        <v>12</v>
      </c>
      <c r="G20" s="92" t="s">
        <v>1</v>
      </c>
      <c r="H20" s="118" t="s">
        <v>12</v>
      </c>
      <c r="I20" s="117" t="s">
        <v>12</v>
      </c>
      <c r="J20" s="93" t="s">
        <v>1</v>
      </c>
      <c r="K20" s="118" t="s">
        <v>12</v>
      </c>
      <c r="L20" s="117" t="s">
        <v>12</v>
      </c>
      <c r="M20" s="93" t="s">
        <v>1</v>
      </c>
    </row>
    <row r="21" spans="1:14" ht="13.8" hidden="1" thickBot="1">
      <c r="A21" s="56"/>
      <c r="B21" s="119" t="s">
        <v>259</v>
      </c>
      <c r="C21" s="120" t="s">
        <v>21</v>
      </c>
      <c r="D21" s="94" t="s">
        <v>183</v>
      </c>
      <c r="E21" s="119" t="s">
        <v>245</v>
      </c>
      <c r="F21" s="120" t="s">
        <v>21</v>
      </c>
      <c r="G21" s="95" t="s">
        <v>183</v>
      </c>
      <c r="H21" s="119" t="s">
        <v>259</v>
      </c>
      <c r="I21" s="120" t="s">
        <v>21</v>
      </c>
      <c r="J21" s="94" t="s">
        <v>183</v>
      </c>
      <c r="K21" s="119" t="s">
        <v>259</v>
      </c>
      <c r="L21" s="120" t="s">
        <v>21</v>
      </c>
      <c r="M21" s="94" t="s">
        <v>183</v>
      </c>
    </row>
    <row r="22" spans="1:14" hidden="1">
      <c r="A22" s="121" t="s">
        <v>15</v>
      </c>
      <c r="B22" s="96">
        <f>'Table 1-Revenues'!L16/1000</f>
        <v>151661.83900001002</v>
      </c>
      <c r="C22" s="97">
        <f>'Table 1 - kWh'!F16/1000</f>
        <v>1620702.4350000001</v>
      </c>
      <c r="D22" s="98">
        <f t="shared" ref="D22:D27" si="4">B22*100/C22</f>
        <v>9.357784360952726</v>
      </c>
      <c r="E22" s="96">
        <v>139819.97700000001</v>
      </c>
      <c r="F22" s="99">
        <v>1664000.6419669625</v>
      </c>
      <c r="G22" s="98">
        <f t="shared" ref="G22:G27" si="5">E22*100/F22</f>
        <v>8.4026396068407312</v>
      </c>
      <c r="H22" s="96">
        <f t="shared" ref="H22:J26" si="6">B22-E22</f>
        <v>11841.862000010005</v>
      </c>
      <c r="I22" s="99">
        <f t="shared" si="6"/>
        <v>-43298.206966962432</v>
      </c>
      <c r="J22" s="100">
        <f t="shared" si="6"/>
        <v>0.95514475411199484</v>
      </c>
      <c r="K22" s="101">
        <f>B22/E22-1</f>
        <v>8.4693634300984089E-2</v>
      </c>
      <c r="L22" s="102">
        <f t="shared" ref="K22:M26" si="7">C22/F22-1</f>
        <v>-2.6020547032831076E-2</v>
      </c>
      <c r="M22" s="103">
        <f t="shared" si="7"/>
        <v>0.11367198866108641</v>
      </c>
      <c r="N22" s="57"/>
    </row>
    <row r="23" spans="1:14" hidden="1">
      <c r="A23" s="122" t="s">
        <v>16</v>
      </c>
      <c r="B23" s="104">
        <f>'Table 1-Revenues'!L17/1000</f>
        <v>126543.99416953801</v>
      </c>
      <c r="C23" s="105">
        <f>'Table 1 - kWh'!F17/1000</f>
        <v>1512427.747</v>
      </c>
      <c r="D23" s="98">
        <f t="shared" si="4"/>
        <v>8.3669447628520661</v>
      </c>
      <c r="E23" s="104">
        <f>105527.634+572691/1000</f>
        <v>106100.32500000001</v>
      </c>
      <c r="F23" s="105">
        <v>1398979.84</v>
      </c>
      <c r="G23" s="98">
        <f t="shared" si="5"/>
        <v>7.5841210835461368</v>
      </c>
      <c r="H23" s="104">
        <f t="shared" si="6"/>
        <v>20443.669169538</v>
      </c>
      <c r="I23" s="105">
        <f t="shared" si="6"/>
        <v>113447.90699999989</v>
      </c>
      <c r="J23" s="100">
        <f t="shared" si="6"/>
        <v>0.78282367930592933</v>
      </c>
      <c r="K23" s="106">
        <f>B23/E23-1</f>
        <v>0.19268243683078246</v>
      </c>
      <c r="L23" s="107">
        <f t="shared" si="7"/>
        <v>8.1093310822834885E-2</v>
      </c>
      <c r="M23" s="108">
        <f t="shared" si="7"/>
        <v>0.10321877389382372</v>
      </c>
      <c r="N23" s="58"/>
    </row>
    <row r="24" spans="1:14" hidden="1">
      <c r="A24" s="122" t="s">
        <v>28</v>
      </c>
      <c r="B24" s="104">
        <f>'Table 1-Revenues'!L18/1000</f>
        <v>52103.941046740001</v>
      </c>
      <c r="C24" s="105">
        <f>'Table 1 - kWh'!F18/1000</f>
        <v>778482.30599999998</v>
      </c>
      <c r="D24" s="98">
        <f t="shared" si="4"/>
        <v>6.6930154539363418</v>
      </c>
      <c r="E24" s="104">
        <v>48191.773000000001</v>
      </c>
      <c r="F24" s="105">
        <v>799159.99099999992</v>
      </c>
      <c r="G24" s="98">
        <f t="shared" si="5"/>
        <v>6.030303511528019</v>
      </c>
      <c r="H24" s="104">
        <f t="shared" si="6"/>
        <v>3912.1680467400001</v>
      </c>
      <c r="I24" s="105">
        <f t="shared" si="6"/>
        <v>-20677.684999999939</v>
      </c>
      <c r="J24" s="100">
        <f t="shared" si="6"/>
        <v>0.66271194240832276</v>
      </c>
      <c r="K24" s="106">
        <f t="shared" si="7"/>
        <v>8.1179168210723462E-2</v>
      </c>
      <c r="L24" s="107">
        <f t="shared" si="7"/>
        <v>-2.5874274529341323E-2</v>
      </c>
      <c r="M24" s="108">
        <f t="shared" si="7"/>
        <v>0.10989694650384152</v>
      </c>
      <c r="N24" s="58"/>
    </row>
    <row r="25" spans="1:14" hidden="1">
      <c r="A25" s="122" t="s">
        <v>171</v>
      </c>
      <c r="B25" s="104">
        <f>'Table 1-Revenues'!L19/1000</f>
        <v>15352.726649440001</v>
      </c>
      <c r="C25" s="105">
        <f>'Table 1 - kWh'!F19/1000</f>
        <v>160293.90700000001</v>
      </c>
      <c r="D25" s="98">
        <f t="shared" si="4"/>
        <v>9.577860404538022</v>
      </c>
      <c r="E25" s="104">
        <f>12086.693+149690/1000</f>
        <v>12236.383</v>
      </c>
      <c r="F25" s="105">
        <v>150522.40299999999</v>
      </c>
      <c r="G25" s="98">
        <f t="shared" si="5"/>
        <v>8.129276942250252</v>
      </c>
      <c r="H25" s="104">
        <f t="shared" si="6"/>
        <v>3116.3436494400012</v>
      </c>
      <c r="I25" s="105">
        <f t="shared" si="6"/>
        <v>9771.5040000000154</v>
      </c>
      <c r="J25" s="100">
        <f t="shared" si="6"/>
        <v>1.44858346228777</v>
      </c>
      <c r="K25" s="106">
        <f t="shared" si="7"/>
        <v>0.25467849849420388</v>
      </c>
      <c r="L25" s="107">
        <f t="shared" si="7"/>
        <v>6.4917273477224535E-2</v>
      </c>
      <c r="M25" s="108">
        <f>D25/G25-1</f>
        <v>0.17819339562157777</v>
      </c>
      <c r="N25" s="58"/>
    </row>
    <row r="26" spans="1:14" ht="13.8" hidden="1" thickBot="1">
      <c r="A26" s="122" t="s">
        <v>17</v>
      </c>
      <c r="B26" s="104">
        <f>'Table 1-Revenues'!L20/1000</f>
        <v>856.14899980000007</v>
      </c>
      <c r="C26" s="105">
        <f>'Table 1 - kWh'!F20/1000</f>
        <v>5332.54</v>
      </c>
      <c r="D26" s="98">
        <f t="shared" si="4"/>
        <v>16.055181954565743</v>
      </c>
      <c r="E26" s="104">
        <f>1346.07525+91/1000</f>
        <v>1346.16625</v>
      </c>
      <c r="F26" s="105">
        <v>11032.199000000001</v>
      </c>
      <c r="G26" s="98">
        <f t="shared" si="5"/>
        <v>12.202157067688862</v>
      </c>
      <c r="H26" s="104">
        <f t="shared" si="6"/>
        <v>-490.01725019999992</v>
      </c>
      <c r="I26" s="105">
        <f t="shared" si="6"/>
        <v>-5699.6590000000006</v>
      </c>
      <c r="J26" s="100">
        <f t="shared" si="6"/>
        <v>3.8530248868768808</v>
      </c>
      <c r="K26" s="106">
        <f t="shared" si="7"/>
        <v>-0.36400946034711534</v>
      </c>
      <c r="L26" s="107">
        <f t="shared" si="7"/>
        <v>-0.51663852328987181</v>
      </c>
      <c r="M26" s="108">
        <f t="shared" si="7"/>
        <v>0.31576588184392707</v>
      </c>
      <c r="N26" s="58"/>
    </row>
    <row r="27" spans="1:14" ht="13.8" hidden="1" thickBot="1">
      <c r="A27" s="123" t="s">
        <v>71</v>
      </c>
      <c r="B27" s="109">
        <f>SUM(B22:B26)</f>
        <v>346518.64986552799</v>
      </c>
      <c r="C27" s="110">
        <f>SUM(C22:C26)</f>
        <v>4077238.9350000001</v>
      </c>
      <c r="D27" s="111">
        <f t="shared" si="4"/>
        <v>8.4988556076743134</v>
      </c>
      <c r="E27" s="109">
        <f>SUM(E22:E26)</f>
        <v>307694.62424999999</v>
      </c>
      <c r="F27" s="110">
        <f>SUM(F22:F26)</f>
        <v>4023695.0749669624</v>
      </c>
      <c r="G27" s="111">
        <f t="shared" si="5"/>
        <v>7.647066154796196</v>
      </c>
      <c r="H27" s="109">
        <f>SUM(H22:H26)</f>
        <v>38824.025615528008</v>
      </c>
      <c r="I27" s="110">
        <f>SUM(I22:I26)</f>
        <v>53543.860033037534</v>
      </c>
      <c r="J27" s="111">
        <f>D27-G27</f>
        <v>0.85178945287811736</v>
      </c>
      <c r="K27" s="112">
        <f>B27/E27-1</f>
        <v>0.12617713328648761</v>
      </c>
      <c r="L27" s="112">
        <f>C27/F27-1</f>
        <v>1.3307136608376569E-2</v>
      </c>
      <c r="M27" s="112">
        <f>D27/G27-1</f>
        <v>0.11138774474232571</v>
      </c>
      <c r="N27" s="58"/>
    </row>
    <row r="28" spans="1:14" hidden="1">
      <c r="A28" s="124" t="s">
        <v>184</v>
      </c>
      <c r="H28" s="59"/>
      <c r="I28" s="60"/>
    </row>
    <row r="29" spans="1:14" hidden="1">
      <c r="A29" s="124"/>
      <c r="H29" s="59"/>
      <c r="I29" s="60"/>
    </row>
    <row r="30" spans="1:14" ht="15.6" hidden="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</row>
    <row r="41" spans="13:13">
      <c r="M41" s="52" t="s">
        <v>29</v>
      </c>
    </row>
  </sheetData>
  <phoneticPr fontId="26" type="noConversion"/>
  <conditionalFormatting sqref="K22:M27 K7:M12">
    <cfRule type="cellIs" dxfId="22" priority="3" stopIfTrue="1" operator="lessThan">
      <formula>0</formula>
    </cfRule>
  </conditionalFormatting>
  <pageMargins left="0.75" right="0.75" top="1" bottom="1" header="0.5" footer="0.5"/>
  <pageSetup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P43"/>
  <sheetViews>
    <sheetView topLeftCell="A9" zoomScaleNormal="100" workbookViewId="0">
      <pane xSplit="2" ySplit="2" topLeftCell="C11" activePane="bottomRight" state="frozen"/>
      <selection activeCell="K116" sqref="K116"/>
      <selection pane="topRight" activeCell="K116" sqref="K116"/>
      <selection pane="bottomLeft" activeCell="K116" sqref="K116"/>
      <selection pane="bottomRight" activeCell="I11" sqref="I11:N11"/>
    </sheetView>
  </sheetViews>
  <sheetFormatPr defaultRowHeight="15.6"/>
  <cols>
    <col min="1" max="1" width="25.5" bestFit="1" customWidth="1"/>
    <col min="3" max="15" width="12.69921875" bestFit="1" customWidth="1"/>
  </cols>
  <sheetData>
    <row r="8" spans="1:15">
      <c r="C8" s="395"/>
      <c r="D8" s="395"/>
      <c r="E8" s="395"/>
      <c r="F8" s="395"/>
    </row>
    <row r="9" spans="1:15">
      <c r="C9" s="432" t="s">
        <v>415</v>
      </c>
      <c r="D9" s="432" t="s">
        <v>415</v>
      </c>
      <c r="E9" s="432" t="s">
        <v>415</v>
      </c>
      <c r="F9" s="432" t="s">
        <v>415</v>
      </c>
      <c r="G9" s="432" t="s">
        <v>415</v>
      </c>
      <c r="H9" s="432" t="s">
        <v>415</v>
      </c>
      <c r="I9" s="432" t="s">
        <v>415</v>
      </c>
      <c r="J9" s="432" t="s">
        <v>415</v>
      </c>
      <c r="K9" s="432" t="s">
        <v>415</v>
      </c>
      <c r="L9" s="432" t="s">
        <v>415</v>
      </c>
      <c r="M9" s="432" t="s">
        <v>415</v>
      </c>
      <c r="N9" s="432" t="s">
        <v>415</v>
      </c>
    </row>
    <row r="10" spans="1:15">
      <c r="A10" s="397" t="s">
        <v>298</v>
      </c>
      <c r="B10" s="397" t="s">
        <v>299</v>
      </c>
      <c r="C10" s="396">
        <v>201907</v>
      </c>
      <c r="D10" s="396">
        <v>201908</v>
      </c>
      <c r="E10" s="396">
        <v>201909</v>
      </c>
      <c r="F10" s="396">
        <v>201910</v>
      </c>
      <c r="G10" s="396">
        <v>201911</v>
      </c>
      <c r="H10" s="396">
        <v>201912</v>
      </c>
      <c r="I10" s="396">
        <v>202001</v>
      </c>
      <c r="J10" s="396">
        <v>202002</v>
      </c>
      <c r="K10" s="396">
        <v>202003</v>
      </c>
      <c r="L10" s="396">
        <v>202004</v>
      </c>
      <c r="M10" s="396">
        <v>202005</v>
      </c>
      <c r="N10" s="396">
        <v>202006</v>
      </c>
      <c r="O10" s="396" t="s">
        <v>8</v>
      </c>
    </row>
    <row r="11" spans="1:15">
      <c r="A11" t="s">
        <v>463</v>
      </c>
      <c r="B11" s="394" t="s">
        <v>409</v>
      </c>
      <c r="C11" s="433">
        <v>0</v>
      </c>
      <c r="D11" s="433">
        <v>0</v>
      </c>
      <c r="E11" s="433">
        <v>0</v>
      </c>
      <c r="F11" s="433">
        <v>0</v>
      </c>
      <c r="G11" s="433">
        <v>0</v>
      </c>
      <c r="H11" s="433">
        <v>0</v>
      </c>
      <c r="I11" s="479">
        <v>0</v>
      </c>
      <c r="J11" s="479">
        <v>0</v>
      </c>
      <c r="K11" s="479">
        <v>0</v>
      </c>
      <c r="L11" s="479">
        <v>0</v>
      </c>
      <c r="M11" s="479">
        <v>0</v>
      </c>
      <c r="N11" s="479">
        <v>0</v>
      </c>
      <c r="O11" s="434">
        <f>SUM(C11:N11)</f>
        <v>0</v>
      </c>
    </row>
    <row r="12" spans="1:15">
      <c r="A12" t="s">
        <v>463</v>
      </c>
      <c r="B12" s="394">
        <v>16</v>
      </c>
      <c r="C12" s="433">
        <v>0</v>
      </c>
      <c r="D12" s="433">
        <v>0</v>
      </c>
      <c r="E12" s="433">
        <v>0</v>
      </c>
      <c r="F12" s="433">
        <v>0</v>
      </c>
      <c r="G12" s="433">
        <v>0</v>
      </c>
      <c r="H12" s="433">
        <v>0</v>
      </c>
      <c r="I12" s="479">
        <v>-11.70148</v>
      </c>
      <c r="J12" s="479">
        <v>-240033.05963999999</v>
      </c>
      <c r="K12" s="479">
        <v>-407279.47243999998</v>
      </c>
      <c r="L12" s="479">
        <v>-350933.29123999999</v>
      </c>
      <c r="M12" s="479">
        <v>-270314.24312</v>
      </c>
      <c r="N12" s="479">
        <v>-283094.06047999999</v>
      </c>
      <c r="O12" s="434">
        <f t="shared" ref="O12:O16" si="0">SUM(C12:N12)</f>
        <v>-1551665.8284</v>
      </c>
    </row>
    <row r="13" spans="1:15">
      <c r="A13" t="s">
        <v>463</v>
      </c>
      <c r="B13" s="394">
        <v>17</v>
      </c>
      <c r="C13" s="433">
        <v>0</v>
      </c>
      <c r="D13" s="433">
        <v>0</v>
      </c>
      <c r="E13" s="433">
        <v>0</v>
      </c>
      <c r="F13" s="433">
        <v>0</v>
      </c>
      <c r="G13" s="433">
        <v>0</v>
      </c>
      <c r="H13" s="433">
        <v>0</v>
      </c>
      <c r="I13" s="479">
        <v>-1.0680799999999999</v>
      </c>
      <c r="J13" s="479">
        <v>-13393.732680000001</v>
      </c>
      <c r="K13" s="479">
        <v>-23413.166799999999</v>
      </c>
      <c r="L13" s="479">
        <v>-18565.562480000001</v>
      </c>
      <c r="M13" s="479">
        <v>-13369.80832</v>
      </c>
      <c r="N13" s="479">
        <v>-13481.416360000001</v>
      </c>
      <c r="O13" s="434">
        <f t="shared" si="0"/>
        <v>-82224.754719999997</v>
      </c>
    </row>
    <row r="14" spans="1:15">
      <c r="A14" t="s">
        <v>463</v>
      </c>
      <c r="B14" s="394">
        <v>18</v>
      </c>
      <c r="C14" s="433">
        <v>0</v>
      </c>
      <c r="D14" s="433">
        <v>0</v>
      </c>
      <c r="E14" s="433">
        <v>0</v>
      </c>
      <c r="F14" s="433">
        <v>0</v>
      </c>
      <c r="G14" s="433">
        <v>0</v>
      </c>
      <c r="H14" s="433">
        <v>0</v>
      </c>
      <c r="I14" s="479">
        <v>0</v>
      </c>
      <c r="J14" s="479">
        <v>-285.16471999999999</v>
      </c>
      <c r="K14" s="479">
        <v>-627.20312000000001</v>
      </c>
      <c r="L14" s="479">
        <v>-588.3288</v>
      </c>
      <c r="M14" s="479">
        <v>-476.54696000000001</v>
      </c>
      <c r="N14" s="479">
        <v>-514.04668000000004</v>
      </c>
      <c r="O14" s="434">
        <f t="shared" si="0"/>
        <v>-2491.2902800000002</v>
      </c>
    </row>
    <row r="15" spans="1:15">
      <c r="A15" t="s">
        <v>463</v>
      </c>
      <c r="B15" s="394">
        <v>24</v>
      </c>
      <c r="C15" s="433">
        <v>-3328.56655</v>
      </c>
      <c r="D15" s="433">
        <v>-3413.0706800000003</v>
      </c>
      <c r="E15" s="433">
        <v>-3136.3422399999999</v>
      </c>
      <c r="F15" s="433">
        <v>-2534.4095600000001</v>
      </c>
      <c r="G15" s="433">
        <v>-2974.7753400000001</v>
      </c>
      <c r="H15" s="433">
        <v>-4125.0976700000001</v>
      </c>
      <c r="I15" s="479">
        <v>-4066.6172900000001</v>
      </c>
      <c r="J15" s="479">
        <v>-4791.2124199999998</v>
      </c>
      <c r="K15" s="479">
        <v>-5402.0418600000003</v>
      </c>
      <c r="L15" s="479">
        <v>-5018.2129000000004</v>
      </c>
      <c r="M15" s="479">
        <v>-4746.4408000000003</v>
      </c>
      <c r="N15" s="479">
        <v>-5031.1405500000001</v>
      </c>
      <c r="O15" s="434">
        <f t="shared" si="0"/>
        <v>-48567.927859999996</v>
      </c>
    </row>
    <row r="16" spans="1:15" ht="16.2" thickBot="1">
      <c r="A16" s="398" t="s">
        <v>463</v>
      </c>
      <c r="B16" s="399">
        <v>36</v>
      </c>
      <c r="C16" s="409">
        <v>-209.22119999999998</v>
      </c>
      <c r="D16" s="409">
        <v>-226.416</v>
      </c>
      <c r="E16" s="409">
        <v>-216.76839999999999</v>
      </c>
      <c r="F16" s="409">
        <v>-218.3348</v>
      </c>
      <c r="G16" s="409">
        <v>-274.68959999999998</v>
      </c>
      <c r="H16" s="409">
        <v>-350.83799999999997</v>
      </c>
      <c r="I16" s="480">
        <v>-340.58519999999999</v>
      </c>
      <c r="J16" s="480">
        <v>-517.18020000000001</v>
      </c>
      <c r="K16" s="480">
        <v>-700.71479999999997</v>
      </c>
      <c r="L16" s="480">
        <v>-587.37959999999998</v>
      </c>
      <c r="M16" s="480">
        <v>-424.27799999999996</v>
      </c>
      <c r="N16" s="480">
        <v>-474.23879999999997</v>
      </c>
      <c r="O16" s="435">
        <f t="shared" si="0"/>
        <v>-4540.6445999999996</v>
      </c>
    </row>
    <row r="17" spans="1:16" ht="16.2" thickTop="1">
      <c r="A17" t="s">
        <v>300</v>
      </c>
      <c r="B17" s="394"/>
      <c r="C17" s="436">
        <f t="shared" ref="C17:H17" si="1">SUM(C11:C16)</f>
        <v>-3537.78775</v>
      </c>
      <c r="D17" s="436">
        <f t="shared" si="1"/>
        <v>-3639.4866800000004</v>
      </c>
      <c r="E17" s="436">
        <f t="shared" si="1"/>
        <v>-3353.1106399999999</v>
      </c>
      <c r="F17" s="436">
        <f t="shared" si="1"/>
        <v>-2752.7443600000001</v>
      </c>
      <c r="G17" s="436">
        <f t="shared" si="1"/>
        <v>-3249.4649400000003</v>
      </c>
      <c r="H17" s="436">
        <f t="shared" si="1"/>
        <v>-4475.9356699999998</v>
      </c>
      <c r="I17" s="481">
        <f t="shared" ref="I17:J17" si="2">SUM(I11:I16)</f>
        <v>-4419.9720500000003</v>
      </c>
      <c r="J17" s="481">
        <f t="shared" si="2"/>
        <v>-259020.34966000001</v>
      </c>
      <c r="K17" s="481">
        <f t="shared" ref="K17:L17" si="3">SUM(K11:K16)</f>
        <v>-437422.59902000002</v>
      </c>
      <c r="L17" s="481">
        <f t="shared" si="3"/>
        <v>-375692.77502</v>
      </c>
      <c r="M17" s="481">
        <f t="shared" ref="M17:O17" si="4">SUM(M11:M16)</f>
        <v>-289331.31719999999</v>
      </c>
      <c r="N17" s="481">
        <f t="shared" si="4"/>
        <v>-302594.90286999999</v>
      </c>
      <c r="O17" s="436">
        <f t="shared" si="4"/>
        <v>-1689490.4458600001</v>
      </c>
    </row>
    <row r="18" spans="1:16">
      <c r="B18" s="394"/>
      <c r="C18" s="400"/>
      <c r="D18" s="400"/>
      <c r="E18" s="400"/>
      <c r="F18" s="400"/>
      <c r="G18" s="400"/>
      <c r="H18" s="400"/>
      <c r="I18" s="482"/>
      <c r="J18" s="482"/>
      <c r="K18" s="482"/>
      <c r="L18" s="482"/>
      <c r="M18" s="482"/>
      <c r="N18" s="482"/>
      <c r="O18" s="410" t="s">
        <v>29</v>
      </c>
    </row>
    <row r="19" spans="1:16">
      <c r="A19" t="s">
        <v>460</v>
      </c>
      <c r="B19" s="394">
        <v>15</v>
      </c>
      <c r="C19" s="433">
        <v>0</v>
      </c>
      <c r="D19" s="433">
        <v>0</v>
      </c>
      <c r="E19" s="433">
        <v>0</v>
      </c>
      <c r="F19" s="433">
        <v>0</v>
      </c>
      <c r="G19" s="433">
        <v>0</v>
      </c>
      <c r="H19" s="433">
        <v>0</v>
      </c>
      <c r="I19" s="479">
        <v>0</v>
      </c>
      <c r="J19" s="479">
        <v>0</v>
      </c>
      <c r="K19" s="479">
        <v>0</v>
      </c>
      <c r="L19" s="479">
        <v>0</v>
      </c>
      <c r="M19" s="479">
        <v>0</v>
      </c>
      <c r="N19" s="479">
        <v>0</v>
      </c>
      <c r="O19" s="401">
        <f>SUM(F19:N19)</f>
        <v>0</v>
      </c>
      <c r="P19" s="408" t="s">
        <v>29</v>
      </c>
    </row>
    <row r="20" spans="1:16">
      <c r="A20" t="s">
        <v>460</v>
      </c>
      <c r="B20" s="394">
        <v>24</v>
      </c>
      <c r="C20" s="433">
        <v>-83030.607019999996</v>
      </c>
      <c r="D20" s="433">
        <v>-89521.938750000001</v>
      </c>
      <c r="E20" s="433">
        <v>-88408.779290000006</v>
      </c>
      <c r="F20" s="433">
        <v>-74173.262790000008</v>
      </c>
      <c r="G20" s="433">
        <v>-76470.009140000009</v>
      </c>
      <c r="H20" s="433">
        <v>-92684.87582999999</v>
      </c>
      <c r="I20" s="479">
        <v>-90824.154827948121</v>
      </c>
      <c r="J20" s="479">
        <v>-109630.78990457054</v>
      </c>
      <c r="K20" s="479">
        <v>-133355.74672547431</v>
      </c>
      <c r="L20" s="479">
        <v>-116203.51360000001</v>
      </c>
      <c r="M20" s="479">
        <v>-109332.96175</v>
      </c>
      <c r="N20" s="479">
        <v>-118688.29235</v>
      </c>
      <c r="O20" s="434">
        <f t="shared" ref="O20:O21" si="5">SUM(C20:N20)</f>
        <v>-1182324.9319779929</v>
      </c>
    </row>
    <row r="21" spans="1:16">
      <c r="A21" t="s">
        <v>460</v>
      </c>
      <c r="B21" s="394" t="s">
        <v>410</v>
      </c>
      <c r="C21" s="433">
        <v>-126232.49673999999</v>
      </c>
      <c r="D21" s="433">
        <v>-122134.16065999999</v>
      </c>
      <c r="E21" s="433">
        <v>-143264.33596</v>
      </c>
      <c r="F21" s="433">
        <v>-133620.32799999998</v>
      </c>
      <c r="G21" s="433">
        <v>-134371.46664</v>
      </c>
      <c r="H21" s="433">
        <v>-139486.41946</v>
      </c>
      <c r="I21" s="479">
        <v>-132240.00104</v>
      </c>
      <c r="J21" s="479">
        <v>-227750.58043999999</v>
      </c>
      <c r="K21" s="479">
        <v>-300105.55163999996</v>
      </c>
      <c r="L21" s="479">
        <v>-282806.83601999999</v>
      </c>
      <c r="M21" s="479">
        <v>-262906.19063999999</v>
      </c>
      <c r="N21" s="479">
        <v>-291131.29187999998</v>
      </c>
      <c r="O21" s="434">
        <f t="shared" si="5"/>
        <v>-2296049.65912</v>
      </c>
    </row>
    <row r="22" spans="1:16">
      <c r="A22" t="s">
        <v>460</v>
      </c>
      <c r="B22" s="394" t="s">
        <v>67</v>
      </c>
      <c r="C22" s="433">
        <v>0</v>
      </c>
      <c r="D22" s="433">
        <v>0</v>
      </c>
      <c r="E22" s="433">
        <v>0</v>
      </c>
      <c r="F22" s="433">
        <v>0</v>
      </c>
      <c r="G22" s="433">
        <v>0</v>
      </c>
      <c r="H22" s="433">
        <v>0</v>
      </c>
      <c r="I22" s="479">
        <v>0</v>
      </c>
      <c r="J22" s="479">
        <v>0</v>
      </c>
      <c r="K22" s="479">
        <v>0</v>
      </c>
      <c r="L22" s="479">
        <v>0</v>
      </c>
      <c r="M22" s="479">
        <v>0</v>
      </c>
      <c r="N22" s="479">
        <v>0</v>
      </c>
      <c r="O22" s="401">
        <f t="shared" ref="O22" si="6">SUM(F22:N22)</f>
        <v>0</v>
      </c>
    </row>
    <row r="23" spans="1:16" ht="16.2" thickBot="1">
      <c r="A23" s="398" t="s">
        <v>460</v>
      </c>
      <c r="B23" s="399">
        <v>54</v>
      </c>
      <c r="C23" s="409">
        <v>0</v>
      </c>
      <c r="D23" s="409">
        <v>0</v>
      </c>
      <c r="E23" s="409">
        <v>0</v>
      </c>
      <c r="F23" s="409">
        <v>0</v>
      </c>
      <c r="G23" s="409">
        <v>0</v>
      </c>
      <c r="H23" s="409">
        <v>0</v>
      </c>
      <c r="I23" s="480">
        <v>0</v>
      </c>
      <c r="J23" s="480">
        <v>0</v>
      </c>
      <c r="K23" s="480">
        <v>0</v>
      </c>
      <c r="L23" s="480">
        <v>0</v>
      </c>
      <c r="M23" s="480">
        <v>0</v>
      </c>
      <c r="N23" s="480">
        <v>0</v>
      </c>
      <c r="O23" s="403">
        <f>SUM(F23:N23)</f>
        <v>0</v>
      </c>
    </row>
    <row r="24" spans="1:16" ht="16.2" thickTop="1">
      <c r="A24" t="s">
        <v>301</v>
      </c>
      <c r="B24" s="394"/>
      <c r="C24" s="436">
        <f t="shared" ref="C24:H24" si="7">SUM(C19:C23)</f>
        <v>-209263.10375999997</v>
      </c>
      <c r="D24" s="436">
        <f t="shared" si="7"/>
        <v>-211656.09941</v>
      </c>
      <c r="E24" s="436">
        <f t="shared" si="7"/>
        <v>-231673.11525</v>
      </c>
      <c r="F24" s="436">
        <f t="shared" si="7"/>
        <v>-207793.59078999999</v>
      </c>
      <c r="G24" s="436">
        <f t="shared" si="7"/>
        <v>-210841.47578000001</v>
      </c>
      <c r="H24" s="436">
        <f t="shared" si="7"/>
        <v>-232171.29528999998</v>
      </c>
      <c r="I24" s="481">
        <f t="shared" ref="I24:J24" si="8">SUM(I19:I23)</f>
        <v>-223064.15586794814</v>
      </c>
      <c r="J24" s="481">
        <f t="shared" si="8"/>
        <v>-337381.37034457055</v>
      </c>
      <c r="K24" s="481">
        <f t="shared" ref="K24:L24" si="9">SUM(K19:K23)</f>
        <v>-433461.29836547427</v>
      </c>
      <c r="L24" s="481">
        <f t="shared" si="9"/>
        <v>-399010.34961999999</v>
      </c>
      <c r="M24" s="481">
        <f t="shared" ref="M24:O24" si="10">SUM(M19:M23)</f>
        <v>-372239.15239</v>
      </c>
      <c r="N24" s="481">
        <f t="shared" si="10"/>
        <v>-409819.58422999998</v>
      </c>
      <c r="O24" s="436">
        <f t="shared" si="10"/>
        <v>-3478374.5910979928</v>
      </c>
    </row>
    <row r="25" spans="1:16">
      <c r="B25" s="394"/>
      <c r="C25" s="400"/>
      <c r="D25" s="400"/>
      <c r="E25" s="400"/>
      <c r="F25" s="400"/>
      <c r="G25" s="400"/>
      <c r="H25" s="400"/>
      <c r="I25" s="482"/>
      <c r="J25" s="482"/>
      <c r="K25" s="482"/>
      <c r="L25" s="482"/>
      <c r="M25" s="482"/>
      <c r="N25" s="482"/>
      <c r="O25" s="401"/>
    </row>
    <row r="26" spans="1:16">
      <c r="A26" t="s">
        <v>461</v>
      </c>
      <c r="B26" s="394">
        <v>15</v>
      </c>
      <c r="C26" s="433">
        <v>0</v>
      </c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79">
        <v>0</v>
      </c>
      <c r="J26" s="479">
        <v>0</v>
      </c>
      <c r="K26" s="479">
        <v>0</v>
      </c>
      <c r="L26" s="479">
        <v>0</v>
      </c>
      <c r="M26" s="479">
        <v>0</v>
      </c>
      <c r="N26" s="479">
        <v>0</v>
      </c>
      <c r="O26" s="401">
        <f>SUM(F26:N26)</f>
        <v>0</v>
      </c>
    </row>
    <row r="27" spans="1:16">
      <c r="A27" t="s">
        <v>461</v>
      </c>
      <c r="B27" s="394">
        <v>24</v>
      </c>
      <c r="C27" s="433">
        <v>-2582.1557400000002</v>
      </c>
      <c r="D27" s="433">
        <v>-2606.71261</v>
      </c>
      <c r="E27" s="433">
        <v>-2574.3362000000002</v>
      </c>
      <c r="F27" s="433">
        <v>-2351.5729000000001</v>
      </c>
      <c r="G27" s="433">
        <v>-2426.13166</v>
      </c>
      <c r="H27" s="433">
        <v>-2734.4954299999999</v>
      </c>
      <c r="I27" s="479">
        <v>-2628.1389899999999</v>
      </c>
      <c r="J27" s="479">
        <v>-3355.2258200000001</v>
      </c>
      <c r="K27" s="479">
        <v>-4100.8753699999997</v>
      </c>
      <c r="L27" s="479">
        <v>-3600.7039500000001</v>
      </c>
      <c r="M27" s="479">
        <v>-3464.8413500000001</v>
      </c>
      <c r="N27" s="479">
        <v>-3707.0731500000002</v>
      </c>
      <c r="O27" s="434">
        <f t="shared" ref="O27:O28" si="11">SUM(C27:N27)</f>
        <v>-36132.263169999991</v>
      </c>
    </row>
    <row r="28" spans="1:16">
      <c r="A28" t="s">
        <v>461</v>
      </c>
      <c r="B28" s="394" t="s">
        <v>410</v>
      </c>
      <c r="C28" s="433">
        <v>-15500.916399999998</v>
      </c>
      <c r="D28" s="433">
        <v>-14182.328</v>
      </c>
      <c r="E28" s="433">
        <v>-16983.407199999998</v>
      </c>
      <c r="F28" s="433">
        <v>-17625.737999999998</v>
      </c>
      <c r="G28" s="433">
        <v>-15634.416399999998</v>
      </c>
      <c r="H28" s="433">
        <v>-15360.403199999999</v>
      </c>
      <c r="I28" s="479">
        <v>-13625.9712</v>
      </c>
      <c r="J28" s="479">
        <v>-26050.696879999996</v>
      </c>
      <c r="K28" s="479">
        <v>-36623.434879999993</v>
      </c>
      <c r="L28" s="479">
        <v>-34809.75</v>
      </c>
      <c r="M28" s="479">
        <v>-33205.561199999996</v>
      </c>
      <c r="N28" s="479">
        <v>-30717.629999999997</v>
      </c>
      <c r="O28" s="434">
        <f t="shared" si="11"/>
        <v>-270320.25335999997</v>
      </c>
    </row>
    <row r="29" spans="1:16">
      <c r="A29" t="s">
        <v>461</v>
      </c>
      <c r="B29" s="394">
        <v>47</v>
      </c>
      <c r="C29" s="433">
        <v>0</v>
      </c>
      <c r="D29" s="433">
        <v>0</v>
      </c>
      <c r="E29" s="433">
        <v>0</v>
      </c>
      <c r="F29" s="433">
        <v>0</v>
      </c>
      <c r="G29" s="433">
        <v>0</v>
      </c>
      <c r="H29" s="433">
        <v>0</v>
      </c>
      <c r="I29" s="479">
        <v>0</v>
      </c>
      <c r="J29" s="479">
        <v>0</v>
      </c>
      <c r="K29" s="479">
        <v>0</v>
      </c>
      <c r="L29" s="479">
        <v>0</v>
      </c>
      <c r="M29" s="479">
        <v>0</v>
      </c>
      <c r="N29" s="479">
        <v>0</v>
      </c>
      <c r="O29" s="401">
        <f t="shared" ref="O29:O30" si="12">SUM(F29:N29)</f>
        <v>0</v>
      </c>
    </row>
    <row r="30" spans="1:16">
      <c r="A30" t="s">
        <v>461</v>
      </c>
      <c r="B30" s="394" t="s">
        <v>67</v>
      </c>
      <c r="C30" s="433">
        <v>0</v>
      </c>
      <c r="D30" s="433">
        <v>0</v>
      </c>
      <c r="E30" s="433">
        <v>0</v>
      </c>
      <c r="F30" s="433">
        <v>0</v>
      </c>
      <c r="G30" s="433">
        <v>0</v>
      </c>
      <c r="H30" s="433">
        <v>0</v>
      </c>
      <c r="I30" s="479">
        <v>0</v>
      </c>
      <c r="J30" s="479">
        <v>0</v>
      </c>
      <c r="K30" s="479">
        <v>0</v>
      </c>
      <c r="L30" s="479">
        <v>0</v>
      </c>
      <c r="M30" s="479">
        <v>0</v>
      </c>
      <c r="N30" s="479">
        <v>0</v>
      </c>
      <c r="O30" s="401">
        <f t="shared" si="12"/>
        <v>0</v>
      </c>
    </row>
    <row r="31" spans="1:16" ht="16.2" thickBot="1">
      <c r="A31" s="398" t="s">
        <v>461</v>
      </c>
      <c r="B31" s="399" t="s">
        <v>411</v>
      </c>
      <c r="C31" s="409">
        <v>0</v>
      </c>
      <c r="D31" s="409">
        <v>0</v>
      </c>
      <c r="E31" s="409">
        <v>0</v>
      </c>
      <c r="F31" s="409">
        <v>0</v>
      </c>
      <c r="G31" s="409">
        <v>0</v>
      </c>
      <c r="H31" s="409">
        <v>0</v>
      </c>
      <c r="I31" s="480">
        <v>0</v>
      </c>
      <c r="J31" s="480">
        <v>0</v>
      </c>
      <c r="K31" s="480">
        <v>0</v>
      </c>
      <c r="L31" s="480">
        <v>0</v>
      </c>
      <c r="M31" s="480">
        <v>0</v>
      </c>
      <c r="N31" s="480">
        <v>0</v>
      </c>
      <c r="O31" s="403">
        <f>SUM(F31:N31)</f>
        <v>0</v>
      </c>
      <c r="P31" s="408" t="s">
        <v>29</v>
      </c>
    </row>
    <row r="32" spans="1:16" ht="16.2" thickTop="1">
      <c r="A32" t="s">
        <v>302</v>
      </c>
      <c r="B32" s="394"/>
      <c r="C32" s="400">
        <f t="shared" ref="C32:H32" si="13">SUM(C26:C31)</f>
        <v>-18083.072139999997</v>
      </c>
      <c r="D32" s="400">
        <f t="shared" si="13"/>
        <v>-16789.04061</v>
      </c>
      <c r="E32" s="400">
        <f t="shared" si="13"/>
        <v>-19557.743399999999</v>
      </c>
      <c r="F32" s="400">
        <f t="shared" si="13"/>
        <v>-19977.310899999997</v>
      </c>
      <c r="G32" s="400">
        <f t="shared" si="13"/>
        <v>-18060.548059999997</v>
      </c>
      <c r="H32" s="400">
        <f t="shared" si="13"/>
        <v>-18094.89863</v>
      </c>
      <c r="I32" s="482">
        <f t="shared" ref="I32:J32" si="14">SUM(I26:I31)</f>
        <v>-16254.110189999999</v>
      </c>
      <c r="J32" s="482">
        <f t="shared" si="14"/>
        <v>-29405.922699999996</v>
      </c>
      <c r="K32" s="482">
        <f t="shared" ref="K32:L32" si="15">SUM(K26:K31)</f>
        <v>-40724.310249999995</v>
      </c>
      <c r="L32" s="482">
        <f t="shared" si="15"/>
        <v>-38410.453950000003</v>
      </c>
      <c r="M32" s="482">
        <f t="shared" ref="M32:O32" si="16">SUM(M26:M31)</f>
        <v>-36670.402549999999</v>
      </c>
      <c r="N32" s="482">
        <f t="shared" si="16"/>
        <v>-34424.703150000001</v>
      </c>
      <c r="O32" s="400">
        <f t="shared" si="16"/>
        <v>-306452.51652999996</v>
      </c>
    </row>
    <row r="33" spans="1:15">
      <c r="B33" s="394"/>
      <c r="C33" s="400"/>
      <c r="D33" s="400"/>
      <c r="E33" s="400"/>
      <c r="F33" s="400"/>
      <c r="G33" s="400"/>
      <c r="H33" s="400"/>
      <c r="I33" s="482"/>
      <c r="J33" s="482"/>
      <c r="K33" s="482"/>
      <c r="L33" s="482"/>
      <c r="M33" s="482"/>
      <c r="N33" s="482"/>
      <c r="O33" s="401"/>
    </row>
    <row r="34" spans="1:15" ht="16.2" thickBot="1">
      <c r="A34" s="398" t="s">
        <v>433</v>
      </c>
      <c r="B34" s="399">
        <v>40</v>
      </c>
      <c r="C34" s="409">
        <v>-106583.5768</v>
      </c>
      <c r="D34" s="409">
        <v>-107463.1786</v>
      </c>
      <c r="E34" s="409">
        <v>-92102.304839999997</v>
      </c>
      <c r="F34" s="409">
        <v>-44200.83496</v>
      </c>
      <c r="G34" s="409">
        <v>-22508.84116</v>
      </c>
      <c r="H34" s="409">
        <v>-5360.2732400000004</v>
      </c>
      <c r="I34" s="480">
        <v>-1938.2808</v>
      </c>
      <c r="J34" s="480">
        <v>-1908.146</v>
      </c>
      <c r="K34" s="480">
        <v>-10261.144200000001</v>
      </c>
      <c r="L34" s="480">
        <v>-31896.114879999997</v>
      </c>
      <c r="M34" s="480">
        <v>-63942.220719999998</v>
      </c>
      <c r="N34" s="480">
        <v>-80296.817439999999</v>
      </c>
      <c r="O34" s="435">
        <f t="shared" ref="O34" si="17">SUM(C34:N34)</f>
        <v>-568461.73363999999</v>
      </c>
    </row>
    <row r="35" spans="1:15" ht="16.2" thickTop="1">
      <c r="A35" t="s">
        <v>303</v>
      </c>
      <c r="B35" s="394"/>
      <c r="C35" s="436">
        <f t="shared" ref="C35:H35" si="18">SUM(C34)</f>
        <v>-106583.5768</v>
      </c>
      <c r="D35" s="436">
        <f t="shared" si="18"/>
        <v>-107463.1786</v>
      </c>
      <c r="E35" s="436">
        <f t="shared" si="18"/>
        <v>-92102.304839999997</v>
      </c>
      <c r="F35" s="436">
        <f t="shared" si="18"/>
        <v>-44200.83496</v>
      </c>
      <c r="G35" s="436">
        <f t="shared" si="18"/>
        <v>-22508.84116</v>
      </c>
      <c r="H35" s="436">
        <f t="shared" si="18"/>
        <v>-5360.2732400000004</v>
      </c>
      <c r="I35" s="436">
        <f t="shared" ref="I35:J35" si="19">SUM(I34)</f>
        <v>-1938.2808</v>
      </c>
      <c r="J35" s="436">
        <f t="shared" si="19"/>
        <v>-1908.146</v>
      </c>
      <c r="K35" s="436">
        <f t="shared" ref="K35:L35" si="20">SUM(K34)</f>
        <v>-10261.144200000001</v>
      </c>
      <c r="L35" s="436">
        <f t="shared" si="20"/>
        <v>-31896.114879999997</v>
      </c>
      <c r="M35" s="436">
        <f t="shared" ref="M35:O35" si="21">SUM(M34)</f>
        <v>-63942.220719999998</v>
      </c>
      <c r="N35" s="436">
        <f t="shared" si="21"/>
        <v>-80296.817439999999</v>
      </c>
      <c r="O35" s="436">
        <f t="shared" si="21"/>
        <v>-568461.73363999999</v>
      </c>
    </row>
    <row r="36" spans="1:15">
      <c r="B36" s="394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1"/>
    </row>
    <row r="37" spans="1:15">
      <c r="A37" t="s">
        <v>462</v>
      </c>
      <c r="B37" s="394" t="s">
        <v>412</v>
      </c>
      <c r="C37" s="400">
        <v>0</v>
      </c>
      <c r="D37" s="400">
        <v>0</v>
      </c>
      <c r="E37" s="400">
        <v>0</v>
      </c>
      <c r="F37" s="400">
        <v>0</v>
      </c>
      <c r="G37" s="400">
        <v>0</v>
      </c>
      <c r="H37" s="400">
        <v>0</v>
      </c>
      <c r="I37" s="400">
        <v>0</v>
      </c>
      <c r="J37" s="400">
        <v>0</v>
      </c>
      <c r="K37" s="400">
        <v>0</v>
      </c>
      <c r="L37" s="400">
        <v>0</v>
      </c>
      <c r="M37" s="400">
        <v>0</v>
      </c>
      <c r="N37" s="400">
        <v>0</v>
      </c>
      <c r="O37" s="401">
        <f>SUM(F37:N37)</f>
        <v>0</v>
      </c>
    </row>
    <row r="38" spans="1:15">
      <c r="A38" t="s">
        <v>462</v>
      </c>
      <c r="B38" s="394" t="s">
        <v>413</v>
      </c>
      <c r="C38" s="400">
        <v>0</v>
      </c>
      <c r="D38" s="400">
        <v>0</v>
      </c>
      <c r="E38" s="400">
        <v>0</v>
      </c>
      <c r="F38" s="400">
        <v>0</v>
      </c>
      <c r="G38" s="400">
        <v>0</v>
      </c>
      <c r="H38" s="400">
        <v>0</v>
      </c>
      <c r="I38" s="400">
        <v>0</v>
      </c>
      <c r="J38" s="400">
        <v>0</v>
      </c>
      <c r="K38" s="400">
        <v>0</v>
      </c>
      <c r="L38" s="400">
        <v>0</v>
      </c>
      <c r="M38" s="400">
        <v>0</v>
      </c>
      <c r="N38" s="400">
        <v>0</v>
      </c>
      <c r="O38" s="401">
        <f t="shared" ref="O38:O39" si="22">SUM(F38:N38)</f>
        <v>0</v>
      </c>
    </row>
    <row r="39" spans="1:15">
      <c r="A39" t="s">
        <v>462</v>
      </c>
      <c r="B39" s="394" t="s">
        <v>414</v>
      </c>
      <c r="C39" s="400">
        <v>0</v>
      </c>
      <c r="D39" s="400">
        <v>0</v>
      </c>
      <c r="E39" s="400">
        <v>0</v>
      </c>
      <c r="F39" s="400">
        <v>0</v>
      </c>
      <c r="G39" s="400">
        <v>0</v>
      </c>
      <c r="H39" s="400">
        <v>0</v>
      </c>
      <c r="I39" s="400">
        <v>0</v>
      </c>
      <c r="J39" s="400">
        <v>0</v>
      </c>
      <c r="K39" s="400">
        <v>0</v>
      </c>
      <c r="L39" s="400">
        <v>0</v>
      </c>
      <c r="M39" s="400">
        <v>0</v>
      </c>
      <c r="N39" s="400">
        <v>0</v>
      </c>
      <c r="O39" s="401">
        <f t="shared" si="22"/>
        <v>0</v>
      </c>
    </row>
    <row r="40" spans="1:15" ht="16.2" thickBot="1">
      <c r="A40" s="398" t="s">
        <v>462</v>
      </c>
      <c r="B40" s="399">
        <v>57</v>
      </c>
      <c r="C40" s="402">
        <v>0</v>
      </c>
      <c r="D40" s="402">
        <v>0</v>
      </c>
      <c r="E40" s="402">
        <v>0</v>
      </c>
      <c r="F40" s="402">
        <v>0</v>
      </c>
      <c r="G40" s="402">
        <v>0</v>
      </c>
      <c r="H40" s="402">
        <v>0</v>
      </c>
      <c r="I40" s="402">
        <v>0</v>
      </c>
      <c r="J40" s="402">
        <v>0</v>
      </c>
      <c r="K40" s="402">
        <v>0</v>
      </c>
      <c r="L40" s="402">
        <v>0</v>
      </c>
      <c r="M40" s="402">
        <v>0</v>
      </c>
      <c r="N40" s="402">
        <v>0</v>
      </c>
      <c r="O40" s="403">
        <f>SUM(F40:N40)</f>
        <v>0</v>
      </c>
    </row>
    <row r="41" spans="1:15" ht="16.2" thickTop="1">
      <c r="A41" t="s">
        <v>304</v>
      </c>
      <c r="C41" s="400">
        <f t="shared" ref="C41:H41" si="23">SUM(C37:C40)</f>
        <v>0</v>
      </c>
      <c r="D41" s="400">
        <f t="shared" si="23"/>
        <v>0</v>
      </c>
      <c r="E41" s="400">
        <f t="shared" si="23"/>
        <v>0</v>
      </c>
      <c r="F41" s="400">
        <f t="shared" si="23"/>
        <v>0</v>
      </c>
      <c r="G41" s="400">
        <f t="shared" si="23"/>
        <v>0</v>
      </c>
      <c r="H41" s="400">
        <f t="shared" si="23"/>
        <v>0</v>
      </c>
      <c r="I41" s="400">
        <f t="shared" ref="I41:J41" si="24">SUM(I37:I40)</f>
        <v>0</v>
      </c>
      <c r="J41" s="400">
        <f t="shared" si="24"/>
        <v>0</v>
      </c>
      <c r="K41" s="400">
        <f t="shared" ref="K41:L41" si="25">SUM(K37:K40)</f>
        <v>0</v>
      </c>
      <c r="L41" s="400">
        <f t="shared" si="25"/>
        <v>0</v>
      </c>
      <c r="M41" s="400">
        <f t="shared" ref="M41:N41" si="26">SUM(M37:M40)</f>
        <v>0</v>
      </c>
      <c r="N41" s="400">
        <f t="shared" si="26"/>
        <v>0</v>
      </c>
      <c r="O41" s="401">
        <f t="shared" ref="O41" si="27">SUM(F41:H41)</f>
        <v>0</v>
      </c>
    </row>
    <row r="42" spans="1:15"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1"/>
    </row>
    <row r="43" spans="1:15">
      <c r="A43" t="s">
        <v>8</v>
      </c>
      <c r="C43" s="436">
        <f t="shared" ref="C43" si="28">SUM(C17,C24,C32,C35,C41)</f>
        <v>-337467.54044999997</v>
      </c>
      <c r="D43" s="436">
        <f t="shared" ref="D43:E43" si="29">SUM(D17,D24,D32,D35,D41)</f>
        <v>-339547.80530000001</v>
      </c>
      <c r="E43" s="436">
        <f t="shared" si="29"/>
        <v>-346686.27413000003</v>
      </c>
      <c r="F43" s="436">
        <f t="shared" ref="F43:O43" si="30">SUM(F17,F24,F32,F35,F41)</f>
        <v>-274724.48100999999</v>
      </c>
      <c r="G43" s="436">
        <f t="shared" si="30"/>
        <v>-254660.32994000003</v>
      </c>
      <c r="H43" s="436">
        <f t="shared" si="30"/>
        <v>-260102.40283000001</v>
      </c>
      <c r="I43" s="436">
        <f t="shared" si="30"/>
        <v>-245676.51890794816</v>
      </c>
      <c r="J43" s="436">
        <f t="shared" si="30"/>
        <v>-627715.7887045705</v>
      </c>
      <c r="K43" s="436">
        <f t="shared" si="30"/>
        <v>-921869.35183547426</v>
      </c>
      <c r="L43" s="436">
        <f t="shared" si="30"/>
        <v>-845009.69347000006</v>
      </c>
      <c r="M43" s="436">
        <f t="shared" si="30"/>
        <v>-762183.09285999998</v>
      </c>
      <c r="N43" s="436">
        <f t="shared" si="30"/>
        <v>-827136.00769</v>
      </c>
      <c r="O43" s="436">
        <f t="shared" si="30"/>
        <v>-6042779.2871279931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R99"/>
  <sheetViews>
    <sheetView workbookViewId="0"/>
  </sheetViews>
  <sheetFormatPr defaultColWidth="9" defaultRowHeight="15.6"/>
  <cols>
    <col min="1" max="1" width="9" style="30"/>
    <col min="2" max="2" width="40.3984375" style="1" customWidth="1"/>
    <col min="3" max="14" width="12" style="1" customWidth="1"/>
    <col min="15" max="15" width="14.59765625" style="1" customWidth="1"/>
    <col min="16" max="16" width="9" style="1"/>
    <col min="17" max="17" width="2.19921875" style="1" customWidth="1"/>
    <col min="18" max="18" width="10.5" style="1" bestFit="1" customWidth="1"/>
    <col min="19" max="16384" width="9" style="1"/>
  </cols>
  <sheetData>
    <row r="1" spans="1:18"/>
    <row r="2" spans="1:18">
      <c r="A2" s="48" t="e">
        <f>#REF!</f>
        <v>#REF!</v>
      </c>
      <c r="B2" s="48"/>
      <c r="C2" s="1" t="s">
        <v>161</v>
      </c>
    </row>
    <row r="3" spans="1:18">
      <c r="A3" s="48" t="e">
        <f>#REF!</f>
        <v>#REF!</v>
      </c>
      <c r="B3" s="48"/>
    </row>
    <row r="4" spans="1:18">
      <c r="A4" s="48" t="e">
        <f>#REF!</f>
        <v>#REF!</v>
      </c>
      <c r="B4" s="48"/>
    </row>
    <row r="5" spans="1:18">
      <c r="B5" s="33" t="s">
        <v>215</v>
      </c>
      <c r="C5" s="34"/>
      <c r="D5" s="34"/>
      <c r="E5" s="34"/>
      <c r="F5" s="34"/>
      <c r="G5" s="49"/>
      <c r="H5" s="34"/>
      <c r="I5" s="34"/>
      <c r="J5" s="34"/>
      <c r="K5" s="34"/>
      <c r="L5" s="34"/>
      <c r="M5" s="34"/>
      <c r="N5" s="34"/>
      <c r="O5" s="36"/>
      <c r="P5" s="35" t="s">
        <v>68</v>
      </c>
    </row>
    <row r="6" spans="1:18">
      <c r="B6" s="1" t="s">
        <v>94</v>
      </c>
      <c r="G6" s="35"/>
      <c r="O6" s="47"/>
      <c r="P6" s="35" t="s">
        <v>216</v>
      </c>
      <c r="R6" s="13" t="s">
        <v>9</v>
      </c>
    </row>
    <row r="7" spans="1:18">
      <c r="C7" s="1">
        <v>200707</v>
      </c>
      <c r="D7" s="1">
        <v>200708</v>
      </c>
      <c r="E7" s="1">
        <f>D7+1</f>
        <v>200709</v>
      </c>
      <c r="F7" s="1">
        <f>E7+1</f>
        <v>200710</v>
      </c>
      <c r="G7" s="1">
        <f>F7+1</f>
        <v>200711</v>
      </c>
      <c r="H7" s="1">
        <f>G7+1</f>
        <v>200712</v>
      </c>
      <c r="I7" s="1">
        <v>200801</v>
      </c>
      <c r="J7" s="1">
        <f>I7+1</f>
        <v>200802</v>
      </c>
      <c r="K7" s="1">
        <f>J7+1</f>
        <v>200803</v>
      </c>
      <c r="L7" s="1">
        <f>K7+1</f>
        <v>200804</v>
      </c>
      <c r="M7" s="1">
        <f>L7+1</f>
        <v>200805</v>
      </c>
      <c r="N7" s="1">
        <f>M7+1</f>
        <v>200806</v>
      </c>
      <c r="O7" s="47" t="s">
        <v>113</v>
      </c>
      <c r="P7" s="61">
        <v>39260</v>
      </c>
      <c r="R7" s="13" t="s">
        <v>1</v>
      </c>
    </row>
    <row r="8" spans="1:18">
      <c r="A8" s="30">
        <v>24</v>
      </c>
      <c r="B8" s="1" t="s">
        <v>189</v>
      </c>
      <c r="C8" s="1">
        <v>4169692</v>
      </c>
      <c r="D8" s="1">
        <v>3723998</v>
      </c>
      <c r="E8" s="1">
        <v>3198923</v>
      </c>
      <c r="F8" s="1">
        <v>2755668</v>
      </c>
      <c r="G8" s="39">
        <v>3046052</v>
      </c>
      <c r="H8" s="1">
        <v>3335761</v>
      </c>
      <c r="I8" s="38">
        <v>3808717</v>
      </c>
      <c r="J8" s="38">
        <v>3873681</v>
      </c>
      <c r="K8" s="38">
        <v>3604333</v>
      </c>
      <c r="L8" s="38">
        <v>3283809</v>
      </c>
      <c r="M8" s="38">
        <v>3142167</v>
      </c>
      <c r="N8" s="38">
        <v>3774631</v>
      </c>
      <c r="O8" s="39">
        <f t="shared" ref="O8:O31" si="0">SUM(C8:N8)</f>
        <v>41717432</v>
      </c>
      <c r="P8" s="43">
        <v>1.24E-3</v>
      </c>
      <c r="R8" s="50">
        <f t="shared" ref="R8:R15" si="1">P8*O8</f>
        <v>51729.615680000003</v>
      </c>
    </row>
    <row r="9" spans="1:18">
      <c r="A9" s="30" t="s">
        <v>137</v>
      </c>
      <c r="B9" s="1" t="s">
        <v>198</v>
      </c>
      <c r="C9" s="1">
        <v>21238</v>
      </c>
      <c r="D9" s="1">
        <v>21238</v>
      </c>
      <c r="E9" s="1">
        <v>20942</v>
      </c>
      <c r="F9" s="1">
        <v>18280</v>
      </c>
      <c r="G9" s="39">
        <v>31065</v>
      </c>
      <c r="H9" s="1">
        <v>18280</v>
      </c>
      <c r="I9" s="9">
        <v>18281</v>
      </c>
      <c r="J9" s="9">
        <v>5495</v>
      </c>
      <c r="K9" s="9">
        <v>18280</v>
      </c>
      <c r="L9" s="9">
        <v>18280</v>
      </c>
      <c r="M9" s="9">
        <v>18280</v>
      </c>
      <c r="N9" s="9">
        <v>18280</v>
      </c>
      <c r="O9" s="39">
        <f t="shared" si="0"/>
        <v>227939</v>
      </c>
      <c r="P9" s="43">
        <v>1.24E-3</v>
      </c>
      <c r="R9" s="50">
        <f t="shared" si="1"/>
        <v>282.64436000000001</v>
      </c>
    </row>
    <row r="10" spans="1:18">
      <c r="A10" s="30" t="s">
        <v>144</v>
      </c>
      <c r="B10" s="1" t="s">
        <v>190</v>
      </c>
      <c r="C10" s="1">
        <v>1590</v>
      </c>
      <c r="D10" s="1">
        <v>2919</v>
      </c>
      <c r="E10" s="1">
        <v>11084</v>
      </c>
      <c r="F10" s="1">
        <v>174819</v>
      </c>
      <c r="G10" s="39">
        <v>139933</v>
      </c>
      <c r="H10" s="1">
        <v>22495</v>
      </c>
      <c r="I10" s="9">
        <v>14785</v>
      </c>
      <c r="J10" s="9">
        <v>13030</v>
      </c>
      <c r="K10" s="9">
        <v>-3559</v>
      </c>
      <c r="L10" s="9">
        <v>11843</v>
      </c>
      <c r="M10" s="9">
        <v>31064</v>
      </c>
      <c r="N10" s="9">
        <v>-15272</v>
      </c>
      <c r="O10" s="39">
        <f t="shared" si="0"/>
        <v>404731</v>
      </c>
      <c r="P10" s="43">
        <v>1.24E-3</v>
      </c>
      <c r="R10" s="50">
        <f t="shared" si="1"/>
        <v>501.86644000000001</v>
      </c>
    </row>
    <row r="11" spans="1:18">
      <c r="A11" s="30">
        <v>24</v>
      </c>
      <c r="B11" s="1" t="s">
        <v>95</v>
      </c>
      <c r="C11" s="39">
        <v>42970072</v>
      </c>
      <c r="D11" s="39">
        <v>42492319</v>
      </c>
      <c r="E11" s="39">
        <v>36262938</v>
      </c>
      <c r="F11" s="39">
        <v>33230542</v>
      </c>
      <c r="G11" s="39">
        <v>34869575</v>
      </c>
      <c r="H11" s="39">
        <v>36341153</v>
      </c>
      <c r="I11" s="9">
        <v>40445704</v>
      </c>
      <c r="J11" s="9">
        <v>44523686</v>
      </c>
      <c r="K11" s="9">
        <v>39679186</v>
      </c>
      <c r="L11" s="9">
        <v>35221083</v>
      </c>
      <c r="M11" s="9">
        <v>35809463</v>
      </c>
      <c r="N11" s="9">
        <v>43110158</v>
      </c>
      <c r="O11" s="39">
        <f t="shared" si="0"/>
        <v>464955879</v>
      </c>
      <c r="P11" s="43">
        <v>1.24E-3</v>
      </c>
      <c r="R11" s="50">
        <f t="shared" si="1"/>
        <v>576545.28995999997</v>
      </c>
    </row>
    <row r="12" spans="1:18">
      <c r="A12" s="30" t="s">
        <v>137</v>
      </c>
      <c r="B12" s="1" t="s">
        <v>96</v>
      </c>
      <c r="C12" s="39">
        <v>101764</v>
      </c>
      <c r="D12" s="39">
        <v>100304</v>
      </c>
      <c r="E12" s="39">
        <v>101677</v>
      </c>
      <c r="F12" s="39">
        <v>100074</v>
      </c>
      <c r="G12" s="39">
        <v>101098</v>
      </c>
      <c r="H12" s="39">
        <v>101728</v>
      </c>
      <c r="I12" s="9">
        <v>100888</v>
      </c>
      <c r="J12" s="9">
        <v>100882</v>
      </c>
      <c r="K12" s="9">
        <v>100000</v>
      </c>
      <c r="L12" s="9">
        <v>100094</v>
      </c>
      <c r="M12" s="9">
        <v>101670</v>
      </c>
      <c r="N12" s="9">
        <v>100935</v>
      </c>
      <c r="O12" s="39">
        <f t="shared" si="0"/>
        <v>1211114</v>
      </c>
      <c r="P12" s="43">
        <v>1.24E-3</v>
      </c>
      <c r="R12" s="50">
        <f t="shared" si="1"/>
        <v>1501.7813599999999</v>
      </c>
    </row>
    <row r="13" spans="1:18">
      <c r="A13" s="30">
        <v>36</v>
      </c>
      <c r="B13" s="1" t="s">
        <v>199</v>
      </c>
      <c r="C13" s="1">
        <v>7139320</v>
      </c>
      <c r="D13" s="1">
        <v>6651020</v>
      </c>
      <c r="E13" s="1">
        <v>5949180</v>
      </c>
      <c r="F13" s="1">
        <v>5427928</v>
      </c>
      <c r="G13" s="39">
        <v>5820260</v>
      </c>
      <c r="H13" s="1">
        <v>10710241</v>
      </c>
      <c r="I13" s="9">
        <v>6874968</v>
      </c>
      <c r="J13" s="9">
        <v>6866625</v>
      </c>
      <c r="K13" s="9">
        <v>7519899</v>
      </c>
      <c r="L13" s="9">
        <v>8709680</v>
      </c>
      <c r="M13" s="9">
        <v>6276100</v>
      </c>
      <c r="N13" s="9">
        <v>8286800</v>
      </c>
      <c r="O13" s="39">
        <f t="shared" si="0"/>
        <v>86232021</v>
      </c>
      <c r="P13" s="43">
        <v>1.0200000000000001E-3</v>
      </c>
      <c r="R13" s="50">
        <f t="shared" si="1"/>
        <v>87956.661420000004</v>
      </c>
    </row>
    <row r="14" spans="1:18">
      <c r="A14" s="30">
        <v>36</v>
      </c>
      <c r="B14" s="1" t="s">
        <v>97</v>
      </c>
      <c r="C14" s="39">
        <v>59368941</v>
      </c>
      <c r="D14" s="39">
        <v>56815580</v>
      </c>
      <c r="E14" s="39">
        <v>52729103</v>
      </c>
      <c r="F14" s="39">
        <v>48314509</v>
      </c>
      <c r="G14" s="39">
        <v>49936076</v>
      </c>
      <c r="H14" s="39">
        <v>46891727</v>
      </c>
      <c r="I14" s="9">
        <v>55644603</v>
      </c>
      <c r="J14" s="9">
        <v>59342604</v>
      </c>
      <c r="K14" s="9">
        <v>59603339</v>
      </c>
      <c r="L14" s="9">
        <v>65055503</v>
      </c>
      <c r="M14" s="9">
        <v>59222854</v>
      </c>
      <c r="N14" s="9">
        <v>61989884</v>
      </c>
      <c r="O14" s="39">
        <f t="shared" si="0"/>
        <v>674914723</v>
      </c>
      <c r="P14" s="43">
        <v>1.0200000000000001E-3</v>
      </c>
      <c r="R14" s="50">
        <f t="shared" si="1"/>
        <v>688413.01746</v>
      </c>
    </row>
    <row r="15" spans="1:18">
      <c r="A15" s="30" t="s">
        <v>143</v>
      </c>
      <c r="B15" s="1" t="s">
        <v>98</v>
      </c>
      <c r="C15" s="39">
        <v>14031760</v>
      </c>
      <c r="D15" s="39">
        <v>12105060</v>
      </c>
      <c r="E15" s="39">
        <v>12596320</v>
      </c>
      <c r="F15" s="39">
        <v>11333660</v>
      </c>
      <c r="G15" s="39">
        <v>11389980</v>
      </c>
      <c r="H15" s="39">
        <v>11786660</v>
      </c>
      <c r="I15" s="9">
        <v>12614402</v>
      </c>
      <c r="J15" s="9">
        <v>13075400</v>
      </c>
      <c r="K15" s="9">
        <v>13838880</v>
      </c>
      <c r="L15" s="9">
        <v>14709860</v>
      </c>
      <c r="M15" s="9">
        <v>12447520</v>
      </c>
      <c r="N15" s="9">
        <v>13113320</v>
      </c>
      <c r="O15" s="39">
        <f t="shared" si="0"/>
        <v>153042822</v>
      </c>
      <c r="P15" s="43">
        <v>8.3000000000000001E-4</v>
      </c>
      <c r="R15" s="50">
        <f t="shared" si="1"/>
        <v>127025.54226</v>
      </c>
    </row>
    <row r="16" spans="1:18">
      <c r="B16" s="1" t="s">
        <v>99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39">
        <f t="shared" si="0"/>
        <v>0</v>
      </c>
    </row>
    <row r="17" spans="1:18">
      <c r="B17" s="1" t="s">
        <v>100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9">
        <f t="shared" si="0"/>
        <v>0</v>
      </c>
    </row>
    <row r="18" spans="1:18">
      <c r="B18" s="1" t="s">
        <v>101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39">
        <f t="shared" si="0"/>
        <v>0</v>
      </c>
    </row>
    <row r="19" spans="1:18">
      <c r="B19" s="1" t="s">
        <v>102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9">
        <f t="shared" si="0"/>
        <v>0</v>
      </c>
    </row>
    <row r="20" spans="1:18">
      <c r="B20" s="1" t="s">
        <v>103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9">
        <f t="shared" si="0"/>
        <v>0</v>
      </c>
    </row>
    <row r="21" spans="1:18">
      <c r="A21" s="30" t="s">
        <v>29</v>
      </c>
      <c r="B21" s="1" t="s">
        <v>104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9">
        <f t="shared" si="0"/>
        <v>0</v>
      </c>
    </row>
    <row r="22" spans="1:18">
      <c r="A22" s="30" t="s">
        <v>29</v>
      </c>
      <c r="B22" s="1" t="s">
        <v>170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9">
        <f t="shared" si="0"/>
        <v>0</v>
      </c>
    </row>
    <row r="23" spans="1:18">
      <c r="B23" s="31" t="s">
        <v>211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9">
        <f t="shared" si="0"/>
        <v>0</v>
      </c>
    </row>
    <row r="24" spans="1:18">
      <c r="A24" s="30">
        <v>135</v>
      </c>
      <c r="B24" s="1" t="s">
        <v>185</v>
      </c>
      <c r="C24" s="39">
        <v>2307</v>
      </c>
      <c r="D24" s="39">
        <v>1428</v>
      </c>
      <c r="E24" s="1">
        <v>140</v>
      </c>
      <c r="F24" s="1">
        <v>0</v>
      </c>
      <c r="G24" s="1">
        <v>0</v>
      </c>
      <c r="H24" s="1">
        <v>0</v>
      </c>
      <c r="I24" s="9">
        <v>0</v>
      </c>
      <c r="J24" s="9">
        <v>0</v>
      </c>
      <c r="K24" s="9">
        <v>0</v>
      </c>
      <c r="L24" s="9">
        <v>18</v>
      </c>
      <c r="M24" s="9">
        <v>0</v>
      </c>
      <c r="N24" s="9">
        <v>1232</v>
      </c>
      <c r="O24" s="39">
        <f t="shared" si="0"/>
        <v>5125</v>
      </c>
      <c r="P24" s="43">
        <v>1.24E-3</v>
      </c>
      <c r="R24" s="50">
        <f>P24*O24</f>
        <v>6.3550000000000004</v>
      </c>
    </row>
    <row r="25" spans="1:18">
      <c r="A25" s="30" t="s">
        <v>139</v>
      </c>
      <c r="B25" s="1" t="s">
        <v>105</v>
      </c>
      <c r="C25" s="39">
        <v>135621</v>
      </c>
      <c r="D25" s="39">
        <v>152479</v>
      </c>
      <c r="E25" s="39">
        <v>143101</v>
      </c>
      <c r="F25" s="39">
        <v>144390</v>
      </c>
      <c r="G25" s="39">
        <v>147368</v>
      </c>
      <c r="H25" s="39">
        <v>125859</v>
      </c>
      <c r="I25" s="9">
        <v>142775</v>
      </c>
      <c r="J25" s="9">
        <v>145842</v>
      </c>
      <c r="K25" s="9">
        <v>135813</v>
      </c>
      <c r="L25" s="9">
        <v>146542</v>
      </c>
      <c r="M25" s="9">
        <v>137092</v>
      </c>
      <c r="N25" s="9">
        <v>143598</v>
      </c>
      <c r="O25" s="39">
        <f t="shared" si="0"/>
        <v>1700480</v>
      </c>
      <c r="P25" s="43">
        <v>1.09E-3</v>
      </c>
      <c r="R25" s="50">
        <f>P25*O25</f>
        <v>1853.5232000000001</v>
      </c>
    </row>
    <row r="26" spans="1:18">
      <c r="A26" s="30" t="s">
        <v>139</v>
      </c>
      <c r="B26" s="1" t="s">
        <v>197</v>
      </c>
      <c r="C26" s="1">
        <v>56080</v>
      </c>
      <c r="D26" s="1">
        <v>54964</v>
      </c>
      <c r="E26" s="1">
        <v>55214</v>
      </c>
      <c r="F26" s="1">
        <v>54647</v>
      </c>
      <c r="G26" s="39">
        <v>54911</v>
      </c>
      <c r="H26" s="1">
        <v>55184</v>
      </c>
      <c r="I26" s="9">
        <v>53677</v>
      </c>
      <c r="J26" s="9">
        <v>53325</v>
      </c>
      <c r="K26" s="9">
        <v>52348</v>
      </c>
      <c r="L26" s="9">
        <v>55316</v>
      </c>
      <c r="M26" s="9">
        <v>51552</v>
      </c>
      <c r="N26" s="9">
        <v>52753</v>
      </c>
      <c r="O26" s="39">
        <f t="shared" si="0"/>
        <v>649971</v>
      </c>
      <c r="P26" s="43">
        <v>1.09E-3</v>
      </c>
      <c r="R26" s="50">
        <f>P26*O26</f>
        <v>708.46839</v>
      </c>
    </row>
    <row r="27" spans="1:18">
      <c r="A27" s="30">
        <v>54</v>
      </c>
      <c r="B27" s="1" t="s">
        <v>106</v>
      </c>
      <c r="C27" s="39">
        <v>13222</v>
      </c>
      <c r="D27" s="39">
        <v>2552</v>
      </c>
      <c r="E27" s="39">
        <v>15473</v>
      </c>
      <c r="F27" s="39">
        <v>20107</v>
      </c>
      <c r="G27" s="39">
        <v>16713</v>
      </c>
      <c r="H27" s="39">
        <v>13439</v>
      </c>
      <c r="I27" s="9">
        <v>23259</v>
      </c>
      <c r="J27" s="9">
        <v>16201</v>
      </c>
      <c r="K27" s="9">
        <v>14873</v>
      </c>
      <c r="L27" s="9">
        <v>38831</v>
      </c>
      <c r="M27" s="9">
        <v>31315</v>
      </c>
      <c r="N27" s="9">
        <v>21266</v>
      </c>
      <c r="O27" s="39">
        <f t="shared" si="0"/>
        <v>227251</v>
      </c>
      <c r="P27" s="43">
        <v>1.48E-3</v>
      </c>
      <c r="R27" s="50">
        <f>P27*O27</f>
        <v>336.33148</v>
      </c>
    </row>
    <row r="28" spans="1:18">
      <c r="B28" s="1" t="s">
        <v>107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39">
        <f t="shared" si="0"/>
        <v>0</v>
      </c>
    </row>
    <row r="29" spans="1:18">
      <c r="B29" s="1" t="s">
        <v>108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9">
        <f t="shared" si="0"/>
        <v>0</v>
      </c>
    </row>
    <row r="30" spans="1:18">
      <c r="B30" s="1" t="s">
        <v>191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9">
        <f t="shared" si="0"/>
        <v>0</v>
      </c>
    </row>
    <row r="31" spans="1:18">
      <c r="B31" s="1" t="s">
        <v>194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39">
        <f t="shared" si="0"/>
        <v>0</v>
      </c>
    </row>
    <row r="32" spans="1:18">
      <c r="A32" s="30" t="s">
        <v>29</v>
      </c>
      <c r="B32" s="1" t="s">
        <v>111</v>
      </c>
    </row>
    <row r="33" spans="1:18">
      <c r="A33" s="30" t="s">
        <v>29</v>
      </c>
      <c r="C33" s="39">
        <f t="shared" ref="C33:O33" si="2">SUM(C8:C31)</f>
        <v>128011607</v>
      </c>
      <c r="D33" s="39">
        <f t="shared" si="2"/>
        <v>122123861</v>
      </c>
      <c r="E33" s="39">
        <f t="shared" si="2"/>
        <v>111084095</v>
      </c>
      <c r="F33" s="39">
        <f t="shared" si="2"/>
        <v>101574624</v>
      </c>
      <c r="G33" s="39">
        <f t="shared" si="2"/>
        <v>105553031</v>
      </c>
      <c r="H33" s="39">
        <f t="shared" si="2"/>
        <v>109402527</v>
      </c>
      <c r="I33" s="39">
        <f t="shared" si="2"/>
        <v>119742059</v>
      </c>
      <c r="J33" s="39">
        <f t="shared" si="2"/>
        <v>128016771</v>
      </c>
      <c r="K33" s="39">
        <f t="shared" si="2"/>
        <v>124563392</v>
      </c>
      <c r="L33" s="39">
        <f t="shared" si="2"/>
        <v>127350859</v>
      </c>
      <c r="M33" s="39">
        <f t="shared" si="2"/>
        <v>117269077</v>
      </c>
      <c r="N33" s="39">
        <f t="shared" si="2"/>
        <v>130597585</v>
      </c>
      <c r="O33" s="39">
        <f t="shared" si="2"/>
        <v>1425289488</v>
      </c>
    </row>
    <row r="34" spans="1:18">
      <c r="A34" s="30" t="s">
        <v>29</v>
      </c>
      <c r="B34" s="1" t="s">
        <v>114</v>
      </c>
    </row>
    <row r="35" spans="1:18">
      <c r="A35" s="30" t="s">
        <v>29</v>
      </c>
      <c r="C35" s="1">
        <v>200707</v>
      </c>
      <c r="D35" s="1">
        <v>200708</v>
      </c>
      <c r="E35" s="1">
        <f>D35+1</f>
        <v>200709</v>
      </c>
      <c r="F35" s="1">
        <f>E35+1</f>
        <v>200710</v>
      </c>
      <c r="G35" s="1">
        <f>F35+1</f>
        <v>200711</v>
      </c>
      <c r="H35" s="1">
        <f>G35+1</f>
        <v>200712</v>
      </c>
      <c r="I35" s="1">
        <v>200801</v>
      </c>
      <c r="J35" s="1">
        <f>I35+1</f>
        <v>200802</v>
      </c>
      <c r="K35" s="1">
        <f>J35+1</f>
        <v>200803</v>
      </c>
      <c r="L35" s="1">
        <f>K35+1</f>
        <v>200804</v>
      </c>
      <c r="M35" s="1">
        <f>L35+1</f>
        <v>200805</v>
      </c>
      <c r="N35" s="1">
        <f>M35+1</f>
        <v>200806</v>
      </c>
      <c r="O35" s="1" t="s">
        <v>113</v>
      </c>
      <c r="P35" s="43"/>
    </row>
    <row r="36" spans="1:18">
      <c r="A36" s="30">
        <v>24</v>
      </c>
      <c r="B36" s="1" t="s">
        <v>189</v>
      </c>
      <c r="C36" s="41">
        <v>245856</v>
      </c>
      <c r="D36" s="38">
        <v>237043</v>
      </c>
      <c r="E36" s="38">
        <v>190545</v>
      </c>
      <c r="F36" s="38">
        <v>164203</v>
      </c>
      <c r="G36" s="38">
        <v>178325</v>
      </c>
      <c r="H36" s="38">
        <v>215598</v>
      </c>
      <c r="I36" s="38">
        <v>293514</v>
      </c>
      <c r="J36" s="38">
        <v>307172</v>
      </c>
      <c r="K36" s="38">
        <v>526995</v>
      </c>
      <c r="L36" s="38">
        <v>447110</v>
      </c>
      <c r="M36" s="38">
        <v>227293</v>
      </c>
      <c r="N36" s="38">
        <v>220660</v>
      </c>
      <c r="O36" s="39">
        <f t="shared" ref="O36:O48" si="3">SUM(C36:N36)</f>
        <v>3254314</v>
      </c>
      <c r="P36" s="43">
        <v>1.24E-3</v>
      </c>
      <c r="R36" s="50">
        <f t="shared" ref="R36:R44" si="4">P36*O36</f>
        <v>4035.3493600000002</v>
      </c>
    </row>
    <row r="37" spans="1:18">
      <c r="A37" s="30" t="s">
        <v>144</v>
      </c>
      <c r="B37" s="1" t="s">
        <v>190</v>
      </c>
      <c r="C37" s="42">
        <v>96</v>
      </c>
      <c r="D37" s="9">
        <v>-84</v>
      </c>
      <c r="E37" s="9">
        <v>545</v>
      </c>
      <c r="F37" s="9">
        <v>1302</v>
      </c>
      <c r="G37" s="9">
        <v>150</v>
      </c>
      <c r="H37" s="9">
        <v>557</v>
      </c>
      <c r="I37" s="9">
        <v>1396</v>
      </c>
      <c r="J37" s="9">
        <v>33</v>
      </c>
      <c r="K37" s="9">
        <v>1826</v>
      </c>
      <c r="L37" s="9">
        <v>1074</v>
      </c>
      <c r="M37" s="9">
        <v>0</v>
      </c>
      <c r="N37" s="9">
        <v>34</v>
      </c>
      <c r="O37" s="39">
        <f t="shared" si="3"/>
        <v>6929</v>
      </c>
      <c r="P37" s="43">
        <v>1.24E-3</v>
      </c>
      <c r="R37" s="50">
        <f t="shared" si="4"/>
        <v>8.5919600000000003</v>
      </c>
    </row>
    <row r="38" spans="1:18">
      <c r="A38" s="30">
        <v>24</v>
      </c>
      <c r="B38" s="1" t="s">
        <v>95</v>
      </c>
      <c r="C38" s="42">
        <v>1909641</v>
      </c>
      <c r="D38" s="9">
        <v>1806944</v>
      </c>
      <c r="E38" s="9">
        <v>1549411</v>
      </c>
      <c r="F38" s="9">
        <v>1277233</v>
      </c>
      <c r="G38" s="9">
        <v>1348630</v>
      </c>
      <c r="H38" s="9">
        <v>1329979</v>
      </c>
      <c r="I38" s="9">
        <v>1795617</v>
      </c>
      <c r="J38" s="9">
        <v>1427677</v>
      </c>
      <c r="K38" s="9">
        <v>1355114</v>
      </c>
      <c r="L38" s="9">
        <v>1254624</v>
      </c>
      <c r="M38" s="9">
        <v>1247407</v>
      </c>
      <c r="N38" s="9">
        <v>1703611</v>
      </c>
      <c r="O38" s="39">
        <f t="shared" si="3"/>
        <v>18005888</v>
      </c>
      <c r="P38" s="43">
        <v>1.24E-3</v>
      </c>
      <c r="R38" s="50">
        <f t="shared" si="4"/>
        <v>22327.30112</v>
      </c>
    </row>
    <row r="39" spans="1:18">
      <c r="A39" s="30" t="s">
        <v>137</v>
      </c>
      <c r="B39" s="1" t="s">
        <v>96</v>
      </c>
      <c r="C39" s="42">
        <v>2776</v>
      </c>
      <c r="D39" s="9">
        <v>2776</v>
      </c>
      <c r="E39" s="9">
        <v>2776</v>
      </c>
      <c r="F39" s="9">
        <v>2776</v>
      </c>
      <c r="G39" s="9">
        <v>2776</v>
      </c>
      <c r="H39" s="9">
        <v>2776</v>
      </c>
      <c r="I39" s="9">
        <v>2776</v>
      </c>
      <c r="J39" s="9">
        <v>2776</v>
      </c>
      <c r="K39" s="9">
        <v>2776</v>
      </c>
      <c r="L39" s="9">
        <v>2776</v>
      </c>
      <c r="M39" s="9">
        <v>2776</v>
      </c>
      <c r="N39" s="9">
        <v>2776</v>
      </c>
      <c r="O39" s="39">
        <f t="shared" si="3"/>
        <v>33312</v>
      </c>
      <c r="P39" s="43">
        <v>1.24E-3</v>
      </c>
      <c r="R39" s="50">
        <f t="shared" si="4"/>
        <v>41.30688</v>
      </c>
    </row>
    <row r="40" spans="1:18">
      <c r="A40" s="30">
        <v>36</v>
      </c>
      <c r="B40" s="1" t="s">
        <v>199</v>
      </c>
      <c r="C40" s="42">
        <v>100640</v>
      </c>
      <c r="D40" s="9">
        <v>95384</v>
      </c>
      <c r="E40" s="9">
        <v>73480</v>
      </c>
      <c r="F40" s="9">
        <v>80320</v>
      </c>
      <c r="G40" s="9">
        <v>87200</v>
      </c>
      <c r="H40" s="9">
        <v>113520</v>
      </c>
      <c r="I40" s="9">
        <v>168842</v>
      </c>
      <c r="J40" s="9">
        <v>199560</v>
      </c>
      <c r="K40" s="9">
        <v>987400</v>
      </c>
      <c r="L40" s="9">
        <v>1570360</v>
      </c>
      <c r="M40" s="9">
        <v>249680</v>
      </c>
      <c r="N40" s="9">
        <v>149720</v>
      </c>
      <c r="O40" s="39">
        <f t="shared" si="3"/>
        <v>3876106</v>
      </c>
      <c r="P40" s="43">
        <v>1.0200000000000001E-3</v>
      </c>
      <c r="R40" s="50">
        <f t="shared" si="4"/>
        <v>3953.6281200000003</v>
      </c>
    </row>
    <row r="41" spans="1:18">
      <c r="A41" s="30" t="s">
        <v>143</v>
      </c>
      <c r="B41" s="1" t="s">
        <v>186</v>
      </c>
      <c r="C41" s="42"/>
      <c r="D41" s="9"/>
      <c r="E41" s="9"/>
      <c r="F41" s="9">
        <v>54000</v>
      </c>
      <c r="G41" s="9">
        <v>-54000</v>
      </c>
      <c r="H41" s="9"/>
      <c r="I41" s="9"/>
      <c r="J41" s="9"/>
      <c r="K41" s="9"/>
      <c r="L41" s="9"/>
      <c r="M41" s="9"/>
      <c r="N41" s="9"/>
      <c r="O41" s="39">
        <f t="shared" si="3"/>
        <v>0</v>
      </c>
      <c r="P41" s="43">
        <v>8.3000000000000001E-4</v>
      </c>
      <c r="R41" s="50">
        <f t="shared" si="4"/>
        <v>0</v>
      </c>
    </row>
    <row r="42" spans="1:18">
      <c r="A42" s="30">
        <v>36</v>
      </c>
      <c r="B42" s="1" t="s">
        <v>97</v>
      </c>
      <c r="C42" s="42">
        <v>10318300</v>
      </c>
      <c r="D42" s="9">
        <v>12442180</v>
      </c>
      <c r="E42" s="9">
        <v>11211240</v>
      </c>
      <c r="F42" s="9">
        <v>9636920</v>
      </c>
      <c r="G42" s="9">
        <v>10839840</v>
      </c>
      <c r="H42" s="9">
        <v>9171000</v>
      </c>
      <c r="I42" s="9">
        <v>10177875</v>
      </c>
      <c r="J42" s="9">
        <v>10771855</v>
      </c>
      <c r="K42" s="9">
        <v>11930134</v>
      </c>
      <c r="L42" s="9">
        <v>13859241</v>
      </c>
      <c r="M42" s="9">
        <v>14520180</v>
      </c>
      <c r="N42" s="9">
        <v>11750660</v>
      </c>
      <c r="O42" s="39">
        <f t="shared" si="3"/>
        <v>136629425</v>
      </c>
      <c r="P42" s="43">
        <v>1.0200000000000001E-3</v>
      </c>
      <c r="R42" s="50">
        <f t="shared" si="4"/>
        <v>139362.0135</v>
      </c>
    </row>
    <row r="43" spans="1:18">
      <c r="A43" s="30" t="s">
        <v>142</v>
      </c>
      <c r="B43" s="1" t="s">
        <v>115</v>
      </c>
      <c r="C43" s="40">
        <v>2948000</v>
      </c>
      <c r="D43" s="9">
        <v>2612000</v>
      </c>
      <c r="E43" s="9">
        <v>2349000</v>
      </c>
      <c r="F43" s="9">
        <v>2241000</v>
      </c>
      <c r="G43" s="9">
        <v>1942000</v>
      </c>
      <c r="H43" s="9">
        <v>1761000</v>
      </c>
      <c r="I43" s="9">
        <v>2096000</v>
      </c>
      <c r="J43" s="9">
        <v>2221000</v>
      </c>
      <c r="K43" s="9">
        <v>1602000</v>
      </c>
      <c r="L43" s="9">
        <v>1544000</v>
      </c>
      <c r="M43" s="9">
        <v>1868000</v>
      </c>
      <c r="N43" s="9">
        <v>2647000</v>
      </c>
      <c r="O43" s="39">
        <f t="shared" si="3"/>
        <v>25831000</v>
      </c>
      <c r="P43" s="43">
        <v>8.3000000000000001E-4</v>
      </c>
      <c r="R43" s="50">
        <f t="shared" si="4"/>
        <v>21439.73</v>
      </c>
    </row>
    <row r="44" spans="1:18">
      <c r="A44" s="30" t="s">
        <v>67</v>
      </c>
      <c r="B44" s="1" t="s">
        <v>98</v>
      </c>
      <c r="C44" s="40">
        <v>49783800</v>
      </c>
      <c r="D44" s="9">
        <v>59340000</v>
      </c>
      <c r="E44" s="9">
        <v>57320600</v>
      </c>
      <c r="F44" s="9">
        <v>54656650</v>
      </c>
      <c r="G44" s="9">
        <v>55667450</v>
      </c>
      <c r="H44" s="9">
        <v>40957550</v>
      </c>
      <c r="I44" s="9">
        <v>56388555</v>
      </c>
      <c r="J44" s="9">
        <v>61600850</v>
      </c>
      <c r="K44" s="9">
        <v>60175601</v>
      </c>
      <c r="L44" s="9">
        <v>57164750</v>
      </c>
      <c r="M44" s="9">
        <v>58007500</v>
      </c>
      <c r="N44" s="9">
        <v>63661250</v>
      </c>
      <c r="O44" s="39">
        <f t="shared" si="3"/>
        <v>674724556</v>
      </c>
      <c r="P44" s="43">
        <v>8.3000000000000001E-4</v>
      </c>
      <c r="R44" s="50">
        <f t="shared" si="4"/>
        <v>560021.38147999998</v>
      </c>
    </row>
    <row r="45" spans="1:18">
      <c r="B45" s="1" t="s">
        <v>99</v>
      </c>
      <c r="C45" s="40"/>
      <c r="D45" s="9"/>
      <c r="E45" s="9"/>
      <c r="F45" s="9"/>
      <c r="G45" s="9"/>
      <c r="H45" s="9"/>
      <c r="I45" s="9">
        <v>0</v>
      </c>
      <c r="J45" s="9">
        <v>0</v>
      </c>
      <c r="K45" s="9">
        <v>0</v>
      </c>
      <c r="L45" s="9"/>
      <c r="M45" s="9"/>
      <c r="N45" s="9"/>
      <c r="O45" s="39">
        <f t="shared" si="3"/>
        <v>0</v>
      </c>
    </row>
    <row r="46" spans="1:18">
      <c r="A46" s="30" t="s">
        <v>139</v>
      </c>
      <c r="B46" s="1" t="s">
        <v>105</v>
      </c>
      <c r="C46" s="40">
        <v>10756</v>
      </c>
      <c r="D46" s="9">
        <v>11243</v>
      </c>
      <c r="E46" s="9">
        <v>11348</v>
      </c>
      <c r="F46" s="9">
        <v>10494</v>
      </c>
      <c r="G46" s="9">
        <v>10714</v>
      </c>
      <c r="H46" s="9">
        <v>10392</v>
      </c>
      <c r="I46" s="9">
        <v>10322</v>
      </c>
      <c r="J46" s="9">
        <v>10317</v>
      </c>
      <c r="K46" s="9">
        <v>9746</v>
      </c>
      <c r="L46" s="9">
        <v>10468</v>
      </c>
      <c r="M46" s="9">
        <v>10361</v>
      </c>
      <c r="N46" s="9">
        <v>10770</v>
      </c>
      <c r="O46" s="39">
        <f t="shared" si="3"/>
        <v>126931</v>
      </c>
      <c r="P46" s="43">
        <v>1.09E-3</v>
      </c>
      <c r="R46" s="50">
        <f>P46*O46</f>
        <v>138.35479000000001</v>
      </c>
    </row>
    <row r="47" spans="1:18">
      <c r="A47" s="30" t="s">
        <v>139</v>
      </c>
      <c r="B47" s="1" t="s">
        <v>197</v>
      </c>
      <c r="C47" s="40">
        <v>2684</v>
      </c>
      <c r="D47" s="9">
        <v>2684</v>
      </c>
      <c r="E47" s="9">
        <v>2684</v>
      </c>
      <c r="F47" s="9">
        <v>2684</v>
      </c>
      <c r="G47" s="9">
        <v>2608</v>
      </c>
      <c r="H47" s="9">
        <v>2760</v>
      </c>
      <c r="I47" s="9">
        <v>2686</v>
      </c>
      <c r="J47" s="9">
        <v>2685</v>
      </c>
      <c r="K47" s="9">
        <v>2684</v>
      </c>
      <c r="L47" s="9">
        <v>2684</v>
      </c>
      <c r="M47" s="9">
        <v>2684</v>
      </c>
      <c r="N47" s="9">
        <v>2684</v>
      </c>
      <c r="O47" s="39">
        <f t="shared" si="3"/>
        <v>32211</v>
      </c>
      <c r="P47" s="43">
        <v>1.09E-3</v>
      </c>
      <c r="R47" s="50">
        <f>P47*O47</f>
        <v>35.109990000000003</v>
      </c>
    </row>
    <row r="48" spans="1:18">
      <c r="A48" s="30">
        <v>47</v>
      </c>
      <c r="B48" s="1" t="s">
        <v>116</v>
      </c>
      <c r="C48" s="40">
        <v>0</v>
      </c>
      <c r="D48" s="9">
        <v>420000</v>
      </c>
      <c r="E48" s="9">
        <v>0</v>
      </c>
      <c r="F48" s="9">
        <v>140000</v>
      </c>
      <c r="G48" s="9">
        <v>0</v>
      </c>
      <c r="H48" s="9">
        <v>140000</v>
      </c>
      <c r="I48" s="9">
        <v>140000</v>
      </c>
      <c r="J48" s="9">
        <v>140000</v>
      </c>
      <c r="K48" s="9">
        <v>140000</v>
      </c>
      <c r="L48" s="9">
        <v>140000</v>
      </c>
      <c r="M48" s="9">
        <v>140000</v>
      </c>
      <c r="N48" s="9">
        <v>140000</v>
      </c>
      <c r="O48" s="39">
        <f t="shared" si="3"/>
        <v>1540000</v>
      </c>
      <c r="P48" s="43">
        <v>8.3000000000000001E-4</v>
      </c>
      <c r="R48" s="50">
        <f>P48*O48</f>
        <v>1278.2</v>
      </c>
    </row>
    <row r="49" spans="1:18">
      <c r="A49" s="30" t="s">
        <v>29</v>
      </c>
      <c r="B49" s="1" t="s">
        <v>107</v>
      </c>
      <c r="C49" s="40"/>
      <c r="D49" s="9"/>
      <c r="E49" s="9"/>
      <c r="F49" s="9"/>
      <c r="G49" s="9"/>
      <c r="H49" s="9">
        <v>0</v>
      </c>
      <c r="I49" s="9"/>
      <c r="J49" s="9">
        <v>0</v>
      </c>
      <c r="K49" s="9"/>
      <c r="L49" s="9">
        <v>0</v>
      </c>
      <c r="M49" s="9"/>
      <c r="N49" s="9"/>
      <c r="O49" s="1">
        <v>0</v>
      </c>
    </row>
    <row r="50" spans="1:18">
      <c r="B50" s="1" t="s">
        <v>108</v>
      </c>
      <c r="C50" s="40"/>
      <c r="D50" s="9"/>
      <c r="E50" s="9"/>
      <c r="F50" s="9"/>
      <c r="G50" s="9"/>
      <c r="H50" s="9">
        <v>0</v>
      </c>
      <c r="I50" s="9"/>
      <c r="J50" s="9">
        <v>0</v>
      </c>
      <c r="K50" s="9"/>
      <c r="L50" s="9"/>
      <c r="M50" s="9"/>
      <c r="N50" s="9"/>
      <c r="O50" s="1">
        <v>0</v>
      </c>
    </row>
    <row r="51" spans="1:18">
      <c r="B51" s="1" t="s">
        <v>191</v>
      </c>
      <c r="C51" s="40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/>
      <c r="J51" s="9"/>
      <c r="K51" s="9"/>
      <c r="L51" s="9"/>
      <c r="M51" s="9"/>
      <c r="N51" s="9"/>
      <c r="O51" s="1">
        <v>0</v>
      </c>
    </row>
    <row r="52" spans="1:18">
      <c r="B52" s="1" t="s">
        <v>194</v>
      </c>
      <c r="C52" s="40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  <c r="J52" s="9"/>
      <c r="K52" s="9"/>
      <c r="L52" s="9"/>
      <c r="M52" s="9"/>
      <c r="N52" s="9"/>
      <c r="O52" s="1">
        <v>0</v>
      </c>
    </row>
    <row r="53" spans="1:18">
      <c r="B53" s="1" t="s">
        <v>111</v>
      </c>
    </row>
    <row r="54" spans="1:18">
      <c r="C54" s="39">
        <f t="shared" ref="C54:O54" si="5">SUM(C36:C52)</f>
        <v>65322549</v>
      </c>
      <c r="D54" s="39">
        <f t="shared" si="5"/>
        <v>76970170</v>
      </c>
      <c r="E54" s="39">
        <f t="shared" si="5"/>
        <v>72711629</v>
      </c>
      <c r="F54" s="39">
        <f t="shared" si="5"/>
        <v>68267582</v>
      </c>
      <c r="G54" s="39">
        <f t="shared" si="5"/>
        <v>70025693</v>
      </c>
      <c r="H54" s="39">
        <f t="shared" si="5"/>
        <v>53705132</v>
      </c>
      <c r="I54" s="39">
        <f t="shared" si="5"/>
        <v>71077583</v>
      </c>
      <c r="J54" s="39">
        <f t="shared" si="5"/>
        <v>76683925</v>
      </c>
      <c r="K54" s="39">
        <f t="shared" si="5"/>
        <v>76734276</v>
      </c>
      <c r="L54" s="39">
        <f t="shared" si="5"/>
        <v>75997087</v>
      </c>
      <c r="M54" s="39">
        <f t="shared" si="5"/>
        <v>76275881</v>
      </c>
      <c r="N54" s="39">
        <f t="shared" si="5"/>
        <v>80289165</v>
      </c>
      <c r="O54" s="39">
        <f t="shared" si="5"/>
        <v>864060672</v>
      </c>
    </row>
    <row r="55" spans="1:18">
      <c r="B55" s="1" t="s">
        <v>117</v>
      </c>
    </row>
    <row r="56" spans="1:18">
      <c r="C56" s="1">
        <v>200707</v>
      </c>
      <c r="D56" s="1">
        <v>200708</v>
      </c>
      <c r="E56" s="1">
        <f>D56+1</f>
        <v>200709</v>
      </c>
      <c r="F56" s="1">
        <f>E56+1</f>
        <v>200710</v>
      </c>
      <c r="G56" s="1">
        <f>F56+1</f>
        <v>200711</v>
      </c>
      <c r="H56" s="1">
        <f>G56+1</f>
        <v>200712</v>
      </c>
      <c r="I56" s="1">
        <v>200801</v>
      </c>
      <c r="J56" s="1">
        <f>I56+1</f>
        <v>200802</v>
      </c>
      <c r="K56" s="1">
        <f>J56+1</f>
        <v>200803</v>
      </c>
      <c r="L56" s="1">
        <f>K56+1</f>
        <v>200804</v>
      </c>
      <c r="M56" s="1">
        <f>L56+1</f>
        <v>200805</v>
      </c>
      <c r="N56" s="1">
        <f>M56+1</f>
        <v>200806</v>
      </c>
      <c r="O56" s="1" t="s">
        <v>113</v>
      </c>
    </row>
    <row r="57" spans="1:18">
      <c r="A57" s="30">
        <v>40</v>
      </c>
      <c r="B57" s="1" t="s">
        <v>118</v>
      </c>
      <c r="C57" s="37">
        <v>124730</v>
      </c>
      <c r="D57" s="38">
        <v>162249</v>
      </c>
      <c r="E57" s="38">
        <v>1299080</v>
      </c>
      <c r="F57" s="38">
        <v>7016538</v>
      </c>
      <c r="G57" s="38">
        <v>14528558</v>
      </c>
      <c r="H57" s="38">
        <v>22434860</v>
      </c>
      <c r="I57" s="38">
        <v>27592080</v>
      </c>
      <c r="J57" s="38">
        <v>27861032</v>
      </c>
      <c r="K57" s="38">
        <v>22999788</v>
      </c>
      <c r="L57" s="38">
        <v>15185882</v>
      </c>
      <c r="M57" s="38">
        <v>4628381</v>
      </c>
      <c r="N57" s="38">
        <v>95256</v>
      </c>
      <c r="O57" s="39">
        <f t="shared" ref="O57:O68" si="6">SUM(C57:N57)</f>
        <v>143928434</v>
      </c>
      <c r="P57" s="43">
        <v>1.1299999999999999E-3</v>
      </c>
      <c r="R57" s="50">
        <f>P57*O57</f>
        <v>162639.13042</v>
      </c>
    </row>
    <row r="58" spans="1:18">
      <c r="A58" s="30" t="s">
        <v>145</v>
      </c>
      <c r="B58" s="1" t="s">
        <v>119</v>
      </c>
      <c r="C58" s="40">
        <v>102459</v>
      </c>
      <c r="D58" s="9">
        <v>42286</v>
      </c>
      <c r="E58" s="9">
        <v>64181</v>
      </c>
      <c r="F58" s="9">
        <v>1216993</v>
      </c>
      <c r="G58" s="9">
        <v>2153761</v>
      </c>
      <c r="H58" s="9">
        <v>2795376</v>
      </c>
      <c r="I58" s="9">
        <v>3573149</v>
      </c>
      <c r="J58" s="9">
        <v>4095509</v>
      </c>
      <c r="K58" s="9">
        <v>3017180</v>
      </c>
      <c r="L58" s="9">
        <v>2319141</v>
      </c>
      <c r="M58" s="9">
        <v>828689</v>
      </c>
      <c r="N58" s="9">
        <v>45789</v>
      </c>
      <c r="O58" s="39">
        <f t="shared" si="6"/>
        <v>20254513</v>
      </c>
      <c r="P58" s="43">
        <v>1.1299999999999999E-3</v>
      </c>
      <c r="R58" s="50">
        <f>P58*O58</f>
        <v>22887.599689999999</v>
      </c>
    </row>
    <row r="59" spans="1:18">
      <c r="B59" s="1" t="s">
        <v>99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39">
        <f t="shared" si="6"/>
        <v>0</v>
      </c>
    </row>
    <row r="60" spans="1:18">
      <c r="B60" s="1" t="s">
        <v>100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39">
        <f t="shared" si="6"/>
        <v>0</v>
      </c>
    </row>
    <row r="61" spans="1:18">
      <c r="A61" s="30" t="s">
        <v>29</v>
      </c>
      <c r="B61" s="1" t="s">
        <v>101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39">
        <f t="shared" si="6"/>
        <v>0</v>
      </c>
    </row>
    <row r="62" spans="1:18">
      <c r="A62" s="30" t="s">
        <v>29</v>
      </c>
      <c r="B62" s="1" t="s">
        <v>102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39">
        <f t="shared" si="6"/>
        <v>0</v>
      </c>
    </row>
    <row r="63" spans="1:18">
      <c r="A63" s="30" t="s">
        <v>29</v>
      </c>
      <c r="B63" s="1" t="s">
        <v>103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39">
        <f t="shared" si="6"/>
        <v>0</v>
      </c>
    </row>
    <row r="64" spans="1:18">
      <c r="B64" s="31" t="s">
        <v>212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39">
        <f t="shared" si="6"/>
        <v>0</v>
      </c>
    </row>
    <row r="65" spans="1:18">
      <c r="B65" s="31" t="s">
        <v>213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39">
        <f t="shared" si="6"/>
        <v>0</v>
      </c>
    </row>
    <row r="66" spans="1:18">
      <c r="A66" s="30" t="s">
        <v>29</v>
      </c>
      <c r="B66" s="1" t="s">
        <v>107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39">
        <f t="shared" si="6"/>
        <v>0</v>
      </c>
    </row>
    <row r="67" spans="1:18">
      <c r="A67" s="30" t="s">
        <v>29</v>
      </c>
      <c r="B67" s="1" t="s">
        <v>108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39">
        <f t="shared" si="6"/>
        <v>0</v>
      </c>
    </row>
    <row r="68" spans="1:18">
      <c r="A68" s="30" t="s">
        <v>29</v>
      </c>
      <c r="B68" s="1" t="s">
        <v>120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39">
        <f t="shared" si="6"/>
        <v>0</v>
      </c>
    </row>
    <row r="69" spans="1:18">
      <c r="C69" s="39">
        <f>SUM(C57:C68)</f>
        <v>227189</v>
      </c>
      <c r="D69" s="39">
        <v>197601</v>
      </c>
      <c r="E69" s="39">
        <v>775917</v>
      </c>
      <c r="F69" s="39">
        <v>9268537</v>
      </c>
      <c r="G69" s="39">
        <f>SUM(C69:F69)</f>
        <v>10469244</v>
      </c>
      <c r="H69" s="39">
        <v>13670831</v>
      </c>
      <c r="I69" s="39">
        <v>27350041</v>
      </c>
      <c r="J69" s="39">
        <v>33739633</v>
      </c>
      <c r="K69" s="39">
        <v>28176106</v>
      </c>
      <c r="L69" s="39">
        <v>17440142</v>
      </c>
      <c r="M69" s="39">
        <v>6008504</v>
      </c>
      <c r="N69" s="39">
        <v>295653</v>
      </c>
      <c r="O69" s="39">
        <f>SUM(O57:O68)</f>
        <v>164182947</v>
      </c>
    </row>
    <row r="70" spans="1:18">
      <c r="B70" s="1" t="s">
        <v>124</v>
      </c>
    </row>
    <row r="71" spans="1:18">
      <c r="C71" s="1">
        <v>200707</v>
      </c>
      <c r="D71" s="1">
        <v>200708</v>
      </c>
      <c r="E71" s="1">
        <f>D71+1</f>
        <v>200709</v>
      </c>
      <c r="F71" s="1">
        <f>E71+1</f>
        <v>200710</v>
      </c>
      <c r="G71" s="1">
        <f>F71+1</f>
        <v>200711</v>
      </c>
      <c r="H71" s="1">
        <f>G71+1</f>
        <v>200712</v>
      </c>
      <c r="I71" s="1">
        <v>200801</v>
      </c>
      <c r="J71" s="1">
        <f>I71+1</f>
        <v>200802</v>
      </c>
      <c r="K71" s="1">
        <f>J71+1</f>
        <v>200803</v>
      </c>
      <c r="L71" s="1">
        <f>K71+1</f>
        <v>200804</v>
      </c>
      <c r="M71" s="1">
        <f>L71+1</f>
        <v>200805</v>
      </c>
      <c r="N71" s="1">
        <f>M71+1</f>
        <v>200806</v>
      </c>
      <c r="O71" s="1" t="s">
        <v>113</v>
      </c>
    </row>
    <row r="72" spans="1:18">
      <c r="B72" s="1" t="s">
        <v>125</v>
      </c>
      <c r="C72" s="37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9">
        <f t="shared" ref="O72:O77" si="7">SUM(C72:N72)</f>
        <v>0</v>
      </c>
    </row>
    <row r="73" spans="1:18">
      <c r="A73" s="30">
        <v>52</v>
      </c>
      <c r="B73" s="1" t="s">
        <v>126</v>
      </c>
      <c r="C73" s="40">
        <v>39116</v>
      </c>
      <c r="D73" s="9">
        <v>39034</v>
      </c>
      <c r="E73" s="9">
        <v>37272</v>
      </c>
      <c r="F73" s="9">
        <v>37252</v>
      </c>
      <c r="G73" s="9">
        <v>37208</v>
      </c>
      <c r="H73" s="9">
        <v>37208</v>
      </c>
      <c r="I73" s="9">
        <v>37678</v>
      </c>
      <c r="J73" s="9">
        <v>37814</v>
      </c>
      <c r="K73" s="9">
        <v>37522</v>
      </c>
      <c r="L73" s="9">
        <v>37522</v>
      </c>
      <c r="M73" s="9">
        <v>37522</v>
      </c>
      <c r="N73" s="9">
        <v>37478</v>
      </c>
      <c r="O73" s="9">
        <f t="shared" si="7"/>
        <v>452626</v>
      </c>
      <c r="P73" s="43">
        <v>1.09E-3</v>
      </c>
      <c r="R73" s="50">
        <f>P73*O73</f>
        <v>493.36234000000002</v>
      </c>
    </row>
    <row r="74" spans="1:18">
      <c r="A74" s="30" t="s">
        <v>146</v>
      </c>
      <c r="B74" s="1" t="s">
        <v>127</v>
      </c>
      <c r="C74" s="40">
        <v>276471</v>
      </c>
      <c r="D74" s="9">
        <v>290547</v>
      </c>
      <c r="E74" s="9">
        <v>288752</v>
      </c>
      <c r="F74" s="9">
        <v>285340</v>
      </c>
      <c r="G74" s="9">
        <v>286822</v>
      </c>
      <c r="H74" s="9">
        <v>286785</v>
      </c>
      <c r="I74" s="9">
        <v>289392</v>
      </c>
      <c r="J74" s="9">
        <v>288158</v>
      </c>
      <c r="K74" s="9">
        <v>278871</v>
      </c>
      <c r="L74" s="9">
        <v>296043</v>
      </c>
      <c r="M74" s="9">
        <v>274250</v>
      </c>
      <c r="N74" s="9">
        <v>291719</v>
      </c>
      <c r="O74" s="9">
        <f t="shared" si="7"/>
        <v>3433150</v>
      </c>
      <c r="P74" s="43">
        <v>1.09E-3</v>
      </c>
      <c r="R74" s="50">
        <f>P74*O74</f>
        <v>3742.1334999999999</v>
      </c>
    </row>
    <row r="75" spans="1:18">
      <c r="A75" s="30" t="s">
        <v>147</v>
      </c>
      <c r="B75" s="1" t="s">
        <v>128</v>
      </c>
      <c r="C75" s="40">
        <v>107921</v>
      </c>
      <c r="D75" s="9">
        <v>113134</v>
      </c>
      <c r="E75" s="9">
        <v>93288</v>
      </c>
      <c r="F75" s="9">
        <v>78692</v>
      </c>
      <c r="G75" s="9">
        <v>73504</v>
      </c>
      <c r="H75" s="9">
        <v>67123</v>
      </c>
      <c r="I75" s="9">
        <v>59224</v>
      </c>
      <c r="J75" s="9">
        <v>66326</v>
      </c>
      <c r="K75" s="9">
        <v>68501</v>
      </c>
      <c r="L75" s="9">
        <v>91363</v>
      </c>
      <c r="M75" s="9">
        <v>83603</v>
      </c>
      <c r="N75" s="9">
        <v>115636</v>
      </c>
      <c r="O75" s="9">
        <f t="shared" si="7"/>
        <v>1018315</v>
      </c>
      <c r="P75" s="43">
        <v>1.09E-3</v>
      </c>
      <c r="R75" s="50">
        <f>P75*O75</f>
        <v>1109.96335</v>
      </c>
    </row>
    <row r="76" spans="1:18">
      <c r="A76" s="30">
        <v>51</v>
      </c>
      <c r="B76" s="1" t="s">
        <v>129</v>
      </c>
      <c r="C76" s="40">
        <v>261534</v>
      </c>
      <c r="D76" s="9">
        <v>236821</v>
      </c>
      <c r="E76" s="9">
        <v>217887</v>
      </c>
      <c r="F76" s="9">
        <v>244442</v>
      </c>
      <c r="G76" s="9">
        <v>270529</v>
      </c>
      <c r="H76" s="9">
        <v>244741</v>
      </c>
      <c r="I76" s="9">
        <v>245152</v>
      </c>
      <c r="J76" s="9">
        <v>248212</v>
      </c>
      <c r="K76" s="9">
        <v>221114</v>
      </c>
      <c r="L76" s="9">
        <v>247975</v>
      </c>
      <c r="M76" s="9">
        <v>246781</v>
      </c>
      <c r="N76" s="9">
        <v>248442</v>
      </c>
      <c r="O76" s="9">
        <f t="shared" si="7"/>
        <v>2933630</v>
      </c>
      <c r="P76" s="43">
        <v>1.09E-3</v>
      </c>
      <c r="R76" s="50">
        <f>P76*O76</f>
        <v>3197.6567</v>
      </c>
    </row>
    <row r="77" spans="1:18">
      <c r="A77" s="30">
        <v>57</v>
      </c>
      <c r="B77" s="1" t="s">
        <v>130</v>
      </c>
      <c r="C77" s="40">
        <v>177159</v>
      </c>
      <c r="D77" s="9">
        <v>174004</v>
      </c>
      <c r="E77" s="9">
        <v>171585</v>
      </c>
      <c r="F77" s="9">
        <v>171220</v>
      </c>
      <c r="G77" s="9">
        <v>172424</v>
      </c>
      <c r="H77" s="9">
        <v>170016</v>
      </c>
      <c r="I77" s="9">
        <v>173034</v>
      </c>
      <c r="J77" s="9">
        <v>170420</v>
      </c>
      <c r="K77" s="9">
        <v>168890</v>
      </c>
      <c r="L77" s="9">
        <v>170578</v>
      </c>
      <c r="M77" s="9">
        <v>169577</v>
      </c>
      <c r="N77" s="9">
        <v>170320</v>
      </c>
      <c r="O77" s="9">
        <f t="shared" si="7"/>
        <v>2059227</v>
      </c>
      <c r="P77" s="43">
        <v>1.09E-3</v>
      </c>
      <c r="R77" s="50">
        <f>P77*O77</f>
        <v>2244.5574300000003</v>
      </c>
    </row>
    <row r="78" spans="1:18">
      <c r="B78" s="1" t="s">
        <v>107</v>
      </c>
      <c r="C78" s="40"/>
      <c r="D78" s="9"/>
      <c r="E78" s="9"/>
      <c r="F78" s="9"/>
      <c r="G78" s="9"/>
      <c r="H78" s="9"/>
      <c r="I78" s="9"/>
      <c r="J78" s="9"/>
      <c r="K78" s="9"/>
      <c r="L78" s="9">
        <v>0</v>
      </c>
      <c r="M78" s="9"/>
      <c r="N78" s="9"/>
      <c r="O78" s="39"/>
      <c r="P78" s="43"/>
      <c r="R78" s="50"/>
    </row>
    <row r="79" spans="1:18">
      <c r="B79" s="1" t="s">
        <v>108</v>
      </c>
      <c r="C79" s="40"/>
      <c r="D79" s="9">
        <v>0</v>
      </c>
      <c r="E79" s="9"/>
      <c r="F79" s="9"/>
      <c r="G79" s="9"/>
      <c r="H79" s="9"/>
      <c r="I79" s="9"/>
      <c r="J79" s="9"/>
      <c r="K79" s="9"/>
      <c r="L79" s="9">
        <v>0</v>
      </c>
      <c r="M79" s="9"/>
      <c r="N79" s="9"/>
      <c r="O79" s="39"/>
      <c r="P79" s="43"/>
      <c r="R79" s="50"/>
    </row>
    <row r="80" spans="1:18">
      <c r="A80" s="30" t="s">
        <v>29</v>
      </c>
      <c r="B80" s="1" t="s">
        <v>111</v>
      </c>
      <c r="C80" s="40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8">
      <c r="A81" s="30" t="s">
        <v>29</v>
      </c>
      <c r="C81" s="39">
        <f t="shared" ref="C81:O81" si="8">SUM(C72:C80)</f>
        <v>862201</v>
      </c>
      <c r="D81" s="39">
        <f t="shared" si="8"/>
        <v>853540</v>
      </c>
      <c r="E81" s="39">
        <f t="shared" si="8"/>
        <v>808784</v>
      </c>
      <c r="F81" s="39">
        <f t="shared" si="8"/>
        <v>816946</v>
      </c>
      <c r="G81" s="39">
        <f t="shared" si="8"/>
        <v>840487</v>
      </c>
      <c r="H81" s="39">
        <f t="shared" si="8"/>
        <v>805873</v>
      </c>
      <c r="I81" s="39">
        <f t="shared" si="8"/>
        <v>804480</v>
      </c>
      <c r="J81" s="39">
        <f t="shared" si="8"/>
        <v>810930</v>
      </c>
      <c r="K81" s="39">
        <f t="shared" si="8"/>
        <v>774898</v>
      </c>
      <c r="L81" s="39">
        <f t="shared" si="8"/>
        <v>843481</v>
      </c>
      <c r="M81" s="39">
        <f t="shared" si="8"/>
        <v>811733</v>
      </c>
      <c r="N81" s="39">
        <f t="shared" si="8"/>
        <v>863595</v>
      </c>
      <c r="O81" s="39">
        <f t="shared" si="8"/>
        <v>9896948</v>
      </c>
    </row>
    <row r="82" spans="1:18">
      <c r="A82" s="30" t="s">
        <v>29</v>
      </c>
      <c r="B82" s="1" t="s">
        <v>131</v>
      </c>
    </row>
    <row r="83" spans="1:18">
      <c r="A83" s="30" t="s">
        <v>29</v>
      </c>
      <c r="C83" s="1">
        <v>200707</v>
      </c>
      <c r="D83" s="1">
        <v>200708</v>
      </c>
      <c r="E83" s="1">
        <f>D83+1</f>
        <v>200709</v>
      </c>
      <c r="F83" s="1">
        <f>E83+1</f>
        <v>200710</v>
      </c>
      <c r="G83" s="1">
        <f>F83+1</f>
        <v>200711</v>
      </c>
      <c r="H83" s="1">
        <f>G83+1</f>
        <v>200712</v>
      </c>
      <c r="I83" s="1">
        <v>200801</v>
      </c>
      <c r="J83" s="1">
        <f>I83+1</f>
        <v>200802</v>
      </c>
      <c r="K83" s="1">
        <f>J83+1</f>
        <v>200803</v>
      </c>
      <c r="L83" s="1">
        <f>K83+1</f>
        <v>200804</v>
      </c>
      <c r="M83" s="1">
        <f>L83+1</f>
        <v>200805</v>
      </c>
      <c r="N83" s="1">
        <f>M83+1</f>
        <v>200806</v>
      </c>
      <c r="O83" s="1" t="s">
        <v>113</v>
      </c>
    </row>
    <row r="84" spans="1:18">
      <c r="B84" s="51" t="s">
        <v>214</v>
      </c>
      <c r="C84" s="37"/>
      <c r="D84" s="38"/>
      <c r="E84" s="38"/>
      <c r="F84" s="38"/>
      <c r="G84" s="38"/>
      <c r="H84" s="38"/>
      <c r="I84" s="38"/>
      <c r="J84" s="38">
        <v>0</v>
      </c>
      <c r="K84" s="38"/>
      <c r="L84" s="38"/>
      <c r="M84" s="38">
        <v>0</v>
      </c>
      <c r="N84" s="38"/>
      <c r="O84" s="9">
        <f t="shared" ref="O84:O95" si="9">SUM(C84:N84)</f>
        <v>0</v>
      </c>
    </row>
    <row r="85" spans="1:18">
      <c r="A85" s="30" t="s">
        <v>29</v>
      </c>
      <c r="B85" s="1" t="s">
        <v>102</v>
      </c>
      <c r="C85" s="40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f t="shared" si="9"/>
        <v>0</v>
      </c>
    </row>
    <row r="86" spans="1:18">
      <c r="A86" s="30" t="s">
        <v>148</v>
      </c>
      <c r="B86" s="1" t="s">
        <v>200</v>
      </c>
      <c r="C86" s="40">
        <v>96033</v>
      </c>
      <c r="D86" s="9">
        <v>102581</v>
      </c>
      <c r="E86" s="9">
        <v>98161</v>
      </c>
      <c r="F86" s="9">
        <v>96801</v>
      </c>
      <c r="G86" s="9">
        <v>101713</v>
      </c>
      <c r="H86" s="9">
        <v>97522</v>
      </c>
      <c r="I86" s="9">
        <v>98076</v>
      </c>
      <c r="J86" s="9">
        <v>97431</v>
      </c>
      <c r="K86" s="9">
        <v>94196</v>
      </c>
      <c r="L86" s="9">
        <v>97685</v>
      </c>
      <c r="M86" s="9">
        <v>96036</v>
      </c>
      <c r="N86" s="9">
        <v>96187</v>
      </c>
      <c r="O86" s="9">
        <f t="shared" si="9"/>
        <v>1172422</v>
      </c>
      <c r="P86" s="43">
        <v>1.09E-3</v>
      </c>
      <c r="R86" s="50">
        <f>P86*O86</f>
        <v>1277.9399800000001</v>
      </c>
    </row>
    <row r="87" spans="1:18">
      <c r="A87" s="30">
        <v>16</v>
      </c>
      <c r="B87" s="1" t="s">
        <v>132</v>
      </c>
      <c r="C87" s="40">
        <v>208728854</v>
      </c>
      <c r="D87" s="9">
        <v>192294557</v>
      </c>
      <c r="E87" s="9">
        <v>139201527</v>
      </c>
      <c r="F87" s="9">
        <v>110523128</v>
      </c>
      <c r="G87" s="9">
        <v>97501475</v>
      </c>
      <c r="H87" s="9">
        <v>94591910</v>
      </c>
      <c r="I87" s="9">
        <v>114063547</v>
      </c>
      <c r="J87" s="9">
        <v>121993355</v>
      </c>
      <c r="K87" s="9">
        <v>102349329</v>
      </c>
      <c r="L87" s="9">
        <v>93719602</v>
      </c>
      <c r="M87" s="9">
        <v>122711460</v>
      </c>
      <c r="N87" s="9">
        <v>181663338</v>
      </c>
      <c r="O87" s="9">
        <f t="shared" si="9"/>
        <v>1579342082</v>
      </c>
      <c r="P87" s="43">
        <v>1.2199999999999999E-3</v>
      </c>
      <c r="R87" s="50">
        <f>P87*O87</f>
        <v>1926797.3400399999</v>
      </c>
    </row>
    <row r="88" spans="1:18">
      <c r="A88" s="30">
        <v>17</v>
      </c>
      <c r="B88" s="1" t="s">
        <v>133</v>
      </c>
      <c r="C88" s="40">
        <v>6943483</v>
      </c>
      <c r="D88" s="9">
        <v>6819158</v>
      </c>
      <c r="E88" s="9">
        <v>5017558</v>
      </c>
      <c r="F88" s="9">
        <v>3565575</v>
      </c>
      <c r="G88" s="9">
        <v>2801635</v>
      </c>
      <c r="H88" s="9">
        <v>2210918</v>
      </c>
      <c r="I88" s="9">
        <v>2418611</v>
      </c>
      <c r="J88" s="9">
        <v>2445134</v>
      </c>
      <c r="K88" s="9">
        <v>1554422</v>
      </c>
      <c r="L88" s="9">
        <v>1767989</v>
      </c>
      <c r="M88" s="9">
        <v>3674873</v>
      </c>
      <c r="N88" s="9">
        <v>6622568</v>
      </c>
      <c r="O88" s="9">
        <f t="shared" si="9"/>
        <v>45841924</v>
      </c>
      <c r="P88" s="43">
        <v>1.2199999999999999E-3</v>
      </c>
      <c r="R88" s="50">
        <f>P88*O88</f>
        <v>55927.147279999997</v>
      </c>
    </row>
    <row r="89" spans="1:18">
      <c r="A89" s="30">
        <v>18</v>
      </c>
      <c r="B89" s="1" t="s">
        <v>135</v>
      </c>
      <c r="C89" s="40">
        <v>277527</v>
      </c>
      <c r="D89" s="9">
        <v>282459</v>
      </c>
      <c r="E89" s="9">
        <v>220886</v>
      </c>
      <c r="F89" s="9">
        <v>205763</v>
      </c>
      <c r="G89" s="9">
        <v>191937</v>
      </c>
      <c r="H89" s="9">
        <v>205945</v>
      </c>
      <c r="I89" s="9">
        <v>247950</v>
      </c>
      <c r="J89" s="9">
        <v>250179</v>
      </c>
      <c r="K89" s="9">
        <v>213978</v>
      </c>
      <c r="L89" s="9">
        <v>188874</v>
      </c>
      <c r="M89" s="9">
        <v>201556</v>
      </c>
      <c r="N89" s="9">
        <v>257499</v>
      </c>
      <c r="O89" s="9">
        <f t="shared" si="9"/>
        <v>2744553</v>
      </c>
      <c r="P89" s="43">
        <v>1.2199999999999999E-3</v>
      </c>
      <c r="R89" s="50">
        <f>P89*O89</f>
        <v>3348.35466</v>
      </c>
    </row>
    <row r="90" spans="1:18">
      <c r="A90" s="30" t="s">
        <v>149</v>
      </c>
      <c r="B90" s="1" t="s">
        <v>136</v>
      </c>
      <c r="C90" s="40">
        <v>79539</v>
      </c>
      <c r="D90" s="9">
        <v>71861</v>
      </c>
      <c r="E90" s="9">
        <v>65956</v>
      </c>
      <c r="F90" s="9">
        <v>53835</v>
      </c>
      <c r="G90" s="9">
        <v>58265</v>
      </c>
      <c r="H90" s="9">
        <v>42371</v>
      </c>
      <c r="I90" s="9">
        <v>68542</v>
      </c>
      <c r="J90" s="9">
        <v>68348</v>
      </c>
      <c r="K90" s="9">
        <v>54179</v>
      </c>
      <c r="L90" s="9">
        <v>40639</v>
      </c>
      <c r="M90" s="9">
        <v>47570</v>
      </c>
      <c r="N90" s="9">
        <v>58886</v>
      </c>
      <c r="O90" s="9">
        <f t="shared" si="9"/>
        <v>709991</v>
      </c>
      <c r="P90" s="43">
        <v>1.2199999999999999E-3</v>
      </c>
      <c r="R90" s="50">
        <f>P90*O90</f>
        <v>866.18901999999991</v>
      </c>
    </row>
    <row r="91" spans="1:18">
      <c r="B91" s="1" t="s">
        <v>107</v>
      </c>
      <c r="C91" s="40">
        <v>0</v>
      </c>
      <c r="D91" s="9">
        <v>0</v>
      </c>
      <c r="E91" s="9">
        <v>0</v>
      </c>
      <c r="F91" s="9"/>
      <c r="G91" s="9"/>
      <c r="H91" s="9"/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f t="shared" si="9"/>
        <v>0</v>
      </c>
    </row>
    <row r="92" spans="1:18">
      <c r="B92" s="1" t="s">
        <v>108</v>
      </c>
      <c r="C92" s="40"/>
      <c r="D92" s="9"/>
      <c r="E92" s="9">
        <v>0</v>
      </c>
      <c r="F92" s="9">
        <v>0</v>
      </c>
      <c r="G92" s="9"/>
      <c r="H92" s="9"/>
      <c r="I92" s="9"/>
      <c r="J92" s="9"/>
      <c r="K92" s="9">
        <v>0</v>
      </c>
      <c r="L92" s="9">
        <v>0</v>
      </c>
      <c r="M92" s="9"/>
      <c r="N92" s="9"/>
      <c r="O92" s="9">
        <f t="shared" si="9"/>
        <v>0</v>
      </c>
    </row>
    <row r="93" spans="1:18">
      <c r="B93" s="1" t="s">
        <v>187</v>
      </c>
      <c r="C93" s="40">
        <v>0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f t="shared" si="9"/>
        <v>0</v>
      </c>
    </row>
    <row r="94" spans="1:18">
      <c r="B94" s="1" t="s">
        <v>191</v>
      </c>
      <c r="C94" s="40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/>
      <c r="J94" s="9"/>
      <c r="K94" s="9"/>
      <c r="L94" s="9"/>
      <c r="M94" s="9"/>
      <c r="N94" s="9"/>
      <c r="O94" s="9">
        <f t="shared" si="9"/>
        <v>0</v>
      </c>
    </row>
    <row r="95" spans="1:18">
      <c r="B95" s="1" t="s">
        <v>194</v>
      </c>
      <c r="C95" s="40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/>
      <c r="J95" s="9"/>
      <c r="K95" s="9"/>
      <c r="L95" s="9"/>
      <c r="M95" s="9"/>
      <c r="N95" s="9"/>
      <c r="O95" s="9">
        <f t="shared" si="9"/>
        <v>0</v>
      </c>
    </row>
    <row r="96" spans="1:18">
      <c r="B96" s="1" t="s">
        <v>111</v>
      </c>
    </row>
    <row r="97" spans="3:18">
      <c r="C97" s="39">
        <f t="shared" ref="C97:O97" si="10">SUM(C84:C95)</f>
        <v>216125436</v>
      </c>
      <c r="D97" s="39">
        <f t="shared" si="10"/>
        <v>199570616</v>
      </c>
      <c r="E97" s="39">
        <f t="shared" si="10"/>
        <v>144604088</v>
      </c>
      <c r="F97" s="39">
        <f t="shared" si="10"/>
        <v>114445102</v>
      </c>
      <c r="G97" s="39">
        <f t="shared" si="10"/>
        <v>100655025</v>
      </c>
      <c r="H97" s="39">
        <f t="shared" si="10"/>
        <v>97148666</v>
      </c>
      <c r="I97" s="39">
        <f t="shared" si="10"/>
        <v>116896726</v>
      </c>
      <c r="J97" s="39">
        <f t="shared" si="10"/>
        <v>124854447</v>
      </c>
      <c r="K97" s="39">
        <f t="shared" si="10"/>
        <v>104266104</v>
      </c>
      <c r="L97" s="39">
        <f t="shared" si="10"/>
        <v>95814789</v>
      </c>
      <c r="M97" s="39">
        <f t="shared" si="10"/>
        <v>126731495</v>
      </c>
      <c r="N97" s="39">
        <f t="shared" si="10"/>
        <v>188698478</v>
      </c>
      <c r="O97" s="39">
        <f t="shared" si="10"/>
        <v>1629810972</v>
      </c>
      <c r="R97" s="50">
        <f>SUM(R8:R96)</f>
        <v>4474033.4386200001</v>
      </c>
    </row>
    <row r="99" spans="3:18">
      <c r="O99" s="39">
        <f>O97+O81+O69+O54+O33</f>
        <v>4093241027</v>
      </c>
    </row>
  </sheetData>
  <phoneticPr fontId="2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54"/>
  <sheetViews>
    <sheetView zoomScale="85" zoomScaleNormal="85" workbookViewId="0">
      <selection activeCell="H9" sqref="H9"/>
    </sheetView>
  </sheetViews>
  <sheetFormatPr defaultColWidth="9" defaultRowHeight="15.6"/>
  <cols>
    <col min="1" max="1" width="9" style="66"/>
    <col min="2" max="2" width="40.3984375" style="2" customWidth="1"/>
    <col min="3" max="3" width="14.59765625" style="2" customWidth="1"/>
    <col min="4" max="4" width="10.5" style="2" bestFit="1" customWidth="1"/>
    <col min="5" max="5" width="2.19921875" style="2" customWidth="1"/>
    <col min="6" max="6" width="14.3984375" style="2" bestFit="1" customWidth="1"/>
    <col min="7" max="7" width="9" style="2"/>
    <col min="8" max="8" width="12.3984375" style="2" bestFit="1" customWidth="1"/>
    <col min="9" max="16384" width="9" style="2"/>
  </cols>
  <sheetData>
    <row r="2" spans="1:8">
      <c r="A2" s="48" t="e">
        <f>#REF!</f>
        <v>#REF!</v>
      </c>
      <c r="B2" s="48"/>
    </row>
    <row r="3" spans="1:8">
      <c r="A3" s="48" t="e">
        <f>#REF!</f>
        <v>#REF!</v>
      </c>
      <c r="B3" s="48"/>
    </row>
    <row r="4" spans="1:8">
      <c r="A4" s="48" t="e">
        <f>#REF!</f>
        <v>#REF!</v>
      </c>
      <c r="B4" s="48"/>
      <c r="F4" s="83"/>
    </row>
    <row r="5" spans="1:8">
      <c r="A5" s="215"/>
      <c r="B5" s="262"/>
      <c r="C5" s="4"/>
      <c r="D5" s="4"/>
    </row>
    <row r="6" spans="1:8">
      <c r="A6" s="215"/>
      <c r="B6" s="4" t="s">
        <v>94</v>
      </c>
      <c r="C6" s="4"/>
      <c r="D6" s="263"/>
      <c r="F6" s="195" t="s">
        <v>9</v>
      </c>
      <c r="H6" s="2" t="s">
        <v>282</v>
      </c>
    </row>
    <row r="7" spans="1:8">
      <c r="A7" s="215"/>
      <c r="B7" s="4"/>
      <c r="C7" s="4" t="s">
        <v>202</v>
      </c>
      <c r="D7" s="263" t="s">
        <v>261</v>
      </c>
      <c r="F7" s="195" t="s">
        <v>1</v>
      </c>
      <c r="H7" s="208" t="s">
        <v>216</v>
      </c>
    </row>
    <row r="8" spans="1:8">
      <c r="A8" s="215">
        <v>24</v>
      </c>
      <c r="B8" s="217" t="s">
        <v>48</v>
      </c>
      <c r="C8" s="17" t="e">
        <f>SUMIF(#REF!,'Hydro Deferral'!A8,#REF!)</f>
        <v>#REF!</v>
      </c>
      <c r="D8" s="264">
        <v>5.5000000000000003E-4</v>
      </c>
      <c r="F8" s="158" t="e">
        <f>C8*D8*$H$8/366</f>
        <v>#REF!</v>
      </c>
      <c r="H8" s="271">
        <v>351</v>
      </c>
    </row>
    <row r="9" spans="1:8">
      <c r="A9" s="215" t="s">
        <v>137</v>
      </c>
      <c r="B9" s="217" t="s">
        <v>49</v>
      </c>
      <c r="C9" s="17" t="e">
        <f>SUMIF(#REF!,'Hydro Deferral'!A9,#REF!)</f>
        <v>#REF!</v>
      </c>
      <c r="D9" s="264">
        <v>5.5000000000000003E-4</v>
      </c>
      <c r="F9" s="158" t="e">
        <f t="shared" ref="F9:F14" si="0">C9*D9*$H$8/366</f>
        <v>#REF!</v>
      </c>
      <c r="H9" s="216"/>
    </row>
    <row r="10" spans="1:8">
      <c r="A10" s="215" t="s">
        <v>144</v>
      </c>
      <c r="B10" s="217" t="s">
        <v>54</v>
      </c>
      <c r="C10" s="17" t="e">
        <f>SUMIF(#REF!,'Hydro Deferral'!A10,#REF!)</f>
        <v>#REF!</v>
      </c>
      <c r="D10" s="264">
        <v>5.5000000000000003E-4</v>
      </c>
      <c r="F10" s="158" t="e">
        <f t="shared" si="0"/>
        <v>#REF!</v>
      </c>
      <c r="H10" s="216"/>
    </row>
    <row r="11" spans="1:8">
      <c r="A11" s="215">
        <v>36</v>
      </c>
      <c r="B11" s="217" t="s">
        <v>50</v>
      </c>
      <c r="C11" s="17" t="e">
        <f>SUMIF(#REF!,'Hydro Deferral'!A11,#REF!)</f>
        <v>#REF!</v>
      </c>
      <c r="D11" s="264">
        <v>4.6000000000000001E-4</v>
      </c>
      <c r="F11" s="158" t="e">
        <f t="shared" si="0"/>
        <v>#REF!</v>
      </c>
      <c r="H11" s="216"/>
    </row>
    <row r="12" spans="1:8">
      <c r="A12" s="215" t="s">
        <v>143</v>
      </c>
      <c r="B12" s="217" t="s">
        <v>51</v>
      </c>
      <c r="C12" s="17" t="e">
        <f>SUMIF(#REF!,'Hydro Deferral'!A12,#REF!)</f>
        <v>#REF!</v>
      </c>
      <c r="D12" s="264">
        <v>3.8000000000000002E-4</v>
      </c>
      <c r="F12" s="158" t="e">
        <f t="shared" si="0"/>
        <v>#REF!</v>
      </c>
      <c r="H12" s="216"/>
    </row>
    <row r="13" spans="1:8">
      <c r="A13" s="215" t="s">
        <v>139</v>
      </c>
      <c r="B13" s="217" t="s">
        <v>52</v>
      </c>
      <c r="C13" s="17" t="e">
        <f>SUMIF(#REF!,'Hydro Deferral'!A13,#REF!)</f>
        <v>#REF!</v>
      </c>
      <c r="D13" s="264">
        <v>1.06E-3</v>
      </c>
      <c r="F13" s="158" t="e">
        <f t="shared" si="0"/>
        <v>#REF!</v>
      </c>
      <c r="H13" s="216"/>
    </row>
    <row r="14" spans="1:8">
      <c r="A14" s="215">
        <v>54</v>
      </c>
      <c r="B14" s="217" t="s">
        <v>53</v>
      </c>
      <c r="C14" s="17" t="e">
        <f>SUMIF(#REF!,'Hydro Deferral'!A14,#REF!)</f>
        <v>#REF!</v>
      </c>
      <c r="D14" s="264">
        <v>6.7000000000000002E-4</v>
      </c>
      <c r="F14" s="158" t="e">
        <f t="shared" si="0"/>
        <v>#REF!</v>
      </c>
      <c r="H14" s="216"/>
    </row>
    <row r="15" spans="1:8">
      <c r="A15" s="215" t="s">
        <v>29</v>
      </c>
      <c r="B15" s="4"/>
      <c r="C15" s="17" t="e">
        <f>SUM(C8:C14)</f>
        <v>#REF!</v>
      </c>
      <c r="D15" s="4"/>
    </row>
    <row r="16" spans="1:8">
      <c r="A16" s="215" t="s">
        <v>29</v>
      </c>
      <c r="B16" s="4" t="s">
        <v>114</v>
      </c>
      <c r="C16" s="4"/>
      <c r="D16" s="4"/>
    </row>
    <row r="17" spans="1:8">
      <c r="A17" s="215" t="s">
        <v>29</v>
      </c>
      <c r="B17" s="4"/>
      <c r="C17" s="4" t="s">
        <v>202</v>
      </c>
      <c r="D17" s="264"/>
      <c r="H17" s="216"/>
    </row>
    <row r="18" spans="1:8">
      <c r="A18" s="215">
        <v>24</v>
      </c>
      <c r="B18" s="217" t="s">
        <v>48</v>
      </c>
      <c r="C18" s="17" t="e">
        <f>SUMIF(#REF!,'Hydro Deferral'!A18,#REF!)</f>
        <v>#REF!</v>
      </c>
      <c r="D18" s="264">
        <v>5.5000000000000003E-4</v>
      </c>
      <c r="F18" s="158" t="e">
        <f t="shared" ref="F18:F25" si="1">C18*D18*$H$8/366</f>
        <v>#REF!</v>
      </c>
      <c r="H18" s="216"/>
    </row>
    <row r="19" spans="1:8">
      <c r="A19" s="215" t="s">
        <v>137</v>
      </c>
      <c r="B19" s="217" t="s">
        <v>49</v>
      </c>
      <c r="C19" s="17" t="e">
        <f>SUMIF(#REF!,'Hydro Deferral'!A19,#REF!)</f>
        <v>#REF!</v>
      </c>
      <c r="D19" s="264">
        <v>5.5000000000000003E-4</v>
      </c>
      <c r="F19" s="158" t="e">
        <f t="shared" si="1"/>
        <v>#REF!</v>
      </c>
      <c r="H19" s="216"/>
    </row>
    <row r="20" spans="1:8">
      <c r="A20" s="215" t="s">
        <v>144</v>
      </c>
      <c r="B20" s="217" t="s">
        <v>54</v>
      </c>
      <c r="C20" s="17" t="e">
        <f>SUMIF(#REF!,'Hydro Deferral'!A20,#REF!)</f>
        <v>#REF!</v>
      </c>
      <c r="D20" s="264">
        <v>5.5000000000000003E-4</v>
      </c>
      <c r="F20" s="158" t="e">
        <f t="shared" si="1"/>
        <v>#REF!</v>
      </c>
      <c r="H20" s="216"/>
    </row>
    <row r="21" spans="1:8">
      <c r="A21" s="215">
        <v>36</v>
      </c>
      <c r="B21" s="217" t="s">
        <v>50</v>
      </c>
      <c r="C21" s="17" t="e">
        <f>SUMIF(#REF!,'Hydro Deferral'!A21,#REF!)</f>
        <v>#REF!</v>
      </c>
      <c r="D21" s="264">
        <v>4.6000000000000001E-4</v>
      </c>
      <c r="F21" s="158" t="e">
        <f t="shared" si="1"/>
        <v>#REF!</v>
      </c>
      <c r="H21" s="216"/>
    </row>
    <row r="22" spans="1:8">
      <c r="A22" s="215">
        <v>47</v>
      </c>
      <c r="B22" s="217" t="s">
        <v>153</v>
      </c>
      <c r="C22" s="17" t="e">
        <f>SUMIF(#REF!,'Hydro Deferral'!A22,#REF!)</f>
        <v>#REF!</v>
      </c>
      <c r="D22" s="264">
        <v>3.8000000000000002E-4</v>
      </c>
      <c r="F22" s="158" t="e">
        <f t="shared" si="1"/>
        <v>#REF!</v>
      </c>
      <c r="H22" s="216"/>
    </row>
    <row r="23" spans="1:8">
      <c r="A23" s="215" t="s">
        <v>142</v>
      </c>
      <c r="B23" s="217" t="s">
        <v>57</v>
      </c>
      <c r="C23" s="17" t="e">
        <f>SUMIF(#REF!,'Hydro Deferral'!A23,#REF!)</f>
        <v>#REF!</v>
      </c>
      <c r="D23" s="264">
        <v>3.8000000000000002E-4</v>
      </c>
      <c r="F23" s="158" t="e">
        <f t="shared" si="1"/>
        <v>#REF!</v>
      </c>
      <c r="H23" s="216"/>
    </row>
    <row r="24" spans="1:8">
      <c r="A24" s="215" t="s">
        <v>143</v>
      </c>
      <c r="B24" s="217" t="s">
        <v>51</v>
      </c>
      <c r="C24" s="17" t="e">
        <f>SUMIF(#REF!,'Hydro Deferral'!A24,#REF!)</f>
        <v>#REF!</v>
      </c>
      <c r="D24" s="264">
        <v>3.8000000000000002E-4</v>
      </c>
      <c r="F24" s="158" t="e">
        <f t="shared" si="1"/>
        <v>#REF!</v>
      </c>
      <c r="H24" s="216"/>
    </row>
    <row r="25" spans="1:8">
      <c r="A25" s="215" t="s">
        <v>139</v>
      </c>
      <c r="B25" s="217" t="s">
        <v>52</v>
      </c>
      <c r="C25" s="17" t="e">
        <f>SUMIF(#REF!,'Hydro Deferral'!A25,#REF!)</f>
        <v>#REF!</v>
      </c>
      <c r="D25" s="264">
        <v>1.06E-3</v>
      </c>
      <c r="F25" s="158" t="e">
        <f t="shared" si="1"/>
        <v>#REF!</v>
      </c>
      <c r="H25" s="216"/>
    </row>
    <row r="26" spans="1:8">
      <c r="A26" s="215"/>
      <c r="B26" s="4"/>
      <c r="C26" s="17" t="e">
        <f>SUM(C18:C25)</f>
        <v>#REF!</v>
      </c>
      <c r="D26" s="4"/>
    </row>
    <row r="27" spans="1:8">
      <c r="A27" s="215"/>
      <c r="B27" s="4" t="s">
        <v>117</v>
      </c>
      <c r="C27" s="4"/>
      <c r="D27" s="4"/>
    </row>
    <row r="28" spans="1:8">
      <c r="A28" s="215"/>
      <c r="B28" s="4"/>
      <c r="C28" s="4" t="s">
        <v>202</v>
      </c>
      <c r="D28" s="4"/>
    </row>
    <row r="29" spans="1:8">
      <c r="A29" s="215">
        <v>40</v>
      </c>
      <c r="B29" s="217" t="s">
        <v>55</v>
      </c>
      <c r="C29" s="17" t="e">
        <f>SUMIF(#REF!,'Hydro Deferral'!A29,#REF!)</f>
        <v>#REF!</v>
      </c>
      <c r="D29" s="264">
        <v>5.1000000000000004E-4</v>
      </c>
      <c r="F29" s="158" t="e">
        <f>C29*D29*$H$8/366</f>
        <v>#REF!</v>
      </c>
      <c r="H29" s="216"/>
    </row>
    <row r="30" spans="1:8">
      <c r="A30" s="215" t="s">
        <v>145</v>
      </c>
      <c r="B30" s="217" t="s">
        <v>56</v>
      </c>
      <c r="C30" s="17" t="e">
        <f>SUMIF(#REF!,'Hydro Deferral'!A30,#REF!)</f>
        <v>#REF!</v>
      </c>
      <c r="D30" s="264">
        <v>5.1000000000000004E-4</v>
      </c>
      <c r="F30" s="158" t="e">
        <f>C30*D30*$H$8/366</f>
        <v>#REF!</v>
      </c>
      <c r="H30" s="216"/>
    </row>
    <row r="31" spans="1:8">
      <c r="A31" s="215"/>
      <c r="B31" s="4"/>
      <c r="C31" s="17" t="e">
        <f>SUM(C29:C30)</f>
        <v>#REF!</v>
      </c>
      <c r="D31" s="4"/>
    </row>
    <row r="32" spans="1:8">
      <c r="A32" s="215"/>
      <c r="B32" s="4" t="s">
        <v>124</v>
      </c>
      <c r="C32" s="4"/>
      <c r="D32" s="4"/>
    </row>
    <row r="33" spans="1:8">
      <c r="A33" s="215"/>
      <c r="B33" s="4"/>
      <c r="C33" s="4" t="s">
        <v>202</v>
      </c>
      <c r="D33" s="4"/>
    </row>
    <row r="34" spans="1:8">
      <c r="A34" s="215">
        <v>52</v>
      </c>
      <c r="B34" s="217" t="s">
        <v>58</v>
      </c>
      <c r="C34" s="17" t="e">
        <f>SUMIF(#REF!,'Hydro Deferral'!A34,#REF!)</f>
        <v>#REF!</v>
      </c>
      <c r="D34" s="264">
        <v>1.1000000000000001E-3</v>
      </c>
      <c r="F34" s="158" t="e">
        <f>C34*D34*$H$8/366</f>
        <v>#REF!</v>
      </c>
      <c r="H34" s="216"/>
    </row>
    <row r="35" spans="1:8">
      <c r="A35" s="215" t="s">
        <v>232</v>
      </c>
      <c r="B35" s="217" t="s">
        <v>59</v>
      </c>
      <c r="C35" s="17" t="e">
        <f>SUMIF(#REF!,'Hydro Deferral'!A35,#REF!)</f>
        <v>#REF!</v>
      </c>
      <c r="D35" s="264">
        <v>5.1999999999999995E-4</v>
      </c>
      <c r="F35" s="158" t="e">
        <f>C35*D35*$H$8/366</f>
        <v>#REF!</v>
      </c>
      <c r="H35" s="216"/>
    </row>
    <row r="36" spans="1:8">
      <c r="A36" s="215" t="s">
        <v>147</v>
      </c>
      <c r="B36" s="217" t="s">
        <v>60</v>
      </c>
      <c r="C36" s="17" t="e">
        <f>SUMIF(#REF!,'Hydro Deferral'!A36,#REF!)</f>
        <v>#REF!</v>
      </c>
      <c r="D36" s="264">
        <v>5.1999999999999995E-4</v>
      </c>
      <c r="F36" s="158" t="e">
        <f>C36*D36*$H$8/366</f>
        <v>#REF!</v>
      </c>
      <c r="H36" s="216"/>
    </row>
    <row r="37" spans="1:8">
      <c r="A37" s="215">
        <v>51</v>
      </c>
      <c r="B37" s="217" t="s">
        <v>61</v>
      </c>
      <c r="C37" s="17" t="e">
        <f>SUMIF(#REF!,'Hydro Deferral'!A37,#REF!)</f>
        <v>#REF!</v>
      </c>
      <c r="D37" s="264">
        <v>1.5100000000000001E-3</v>
      </c>
      <c r="F37" s="158" t="e">
        <f>C37*D37*$H$8/366</f>
        <v>#REF!</v>
      </c>
      <c r="H37" s="216"/>
    </row>
    <row r="38" spans="1:8">
      <c r="A38" s="215">
        <v>57</v>
      </c>
      <c r="B38" s="217" t="s">
        <v>62</v>
      </c>
      <c r="C38" s="17" t="e">
        <f>SUMIF(#REF!,'Hydro Deferral'!A38,#REF!)</f>
        <v>#REF!</v>
      </c>
      <c r="D38" s="264">
        <v>9.1E-4</v>
      </c>
      <c r="F38" s="158" t="e">
        <f>C38*D38*$H$8/366</f>
        <v>#REF!</v>
      </c>
      <c r="H38" s="216"/>
    </row>
    <row r="39" spans="1:8">
      <c r="A39" s="215"/>
      <c r="B39" s="217" t="s">
        <v>238</v>
      </c>
      <c r="C39" s="17" t="e">
        <f>SUMIF(#REF!,'Hydro Deferral'!A39,#REF!)</f>
        <v>#REF!</v>
      </c>
      <c r="D39" s="264"/>
      <c r="F39" s="158"/>
      <c r="H39" s="216"/>
    </row>
    <row r="40" spans="1:8">
      <c r="A40" s="215" t="s">
        <v>29</v>
      </c>
      <c r="B40" s="4"/>
      <c r="C40" s="17" t="e">
        <f>SUM(C34:C38)</f>
        <v>#REF!</v>
      </c>
      <c r="D40" s="4"/>
    </row>
    <row r="41" spans="1:8">
      <c r="A41" s="215" t="s">
        <v>29</v>
      </c>
      <c r="B41" s="4" t="s">
        <v>131</v>
      </c>
      <c r="C41" s="4"/>
      <c r="D41" s="4"/>
    </row>
    <row r="42" spans="1:8">
      <c r="A42" s="215" t="s">
        <v>29</v>
      </c>
      <c r="B42" s="4"/>
      <c r="C42" s="4" t="s">
        <v>202</v>
      </c>
      <c r="D42" s="4"/>
    </row>
    <row r="43" spans="1:8">
      <c r="A43" s="215" t="s">
        <v>148</v>
      </c>
      <c r="B43" s="4" t="s">
        <v>47</v>
      </c>
      <c r="C43" s="17" t="e">
        <f>SUMIF(#REF!,'Hydro Deferral'!A43,#REF!)</f>
        <v>#REF!</v>
      </c>
      <c r="D43" s="264">
        <v>1.06E-3</v>
      </c>
      <c r="F43" s="158" t="e">
        <f t="shared" ref="F43:F49" si="2">C43*D43*$H$8/366</f>
        <v>#REF!</v>
      </c>
      <c r="H43" s="216"/>
    </row>
    <row r="44" spans="1:8">
      <c r="A44" s="215">
        <v>16</v>
      </c>
      <c r="B44" s="4" t="s">
        <v>45</v>
      </c>
      <c r="C44" s="17" t="e">
        <f>SUMIF(#REF!,'Hydro Deferral'!A44,#REF!)</f>
        <v>#REF!</v>
      </c>
      <c r="D44" s="264">
        <v>5.5000000000000003E-4</v>
      </c>
      <c r="F44" s="158" t="e">
        <f t="shared" si="2"/>
        <v>#REF!</v>
      </c>
      <c r="H44" s="216"/>
    </row>
    <row r="45" spans="1:8">
      <c r="A45" s="215">
        <v>17</v>
      </c>
      <c r="B45" s="4" t="s">
        <v>86</v>
      </c>
      <c r="C45" s="17" t="e">
        <f>SUMIF(#REF!,'Hydro Deferral'!A45,#REF!)</f>
        <v>#REF!</v>
      </c>
      <c r="D45" s="264">
        <v>5.5000000000000003E-4</v>
      </c>
      <c r="F45" s="158" t="e">
        <f t="shared" si="2"/>
        <v>#REF!</v>
      </c>
      <c r="H45" s="216"/>
    </row>
    <row r="46" spans="1:8">
      <c r="A46" s="215">
        <v>18</v>
      </c>
      <c r="B46" s="4" t="s">
        <v>46</v>
      </c>
      <c r="C46" s="17" t="e">
        <f>SUMIF(#REF!,'Hydro Deferral'!A46,#REF!)</f>
        <v>#REF!</v>
      </c>
      <c r="D46" s="264">
        <v>5.5000000000000003E-4</v>
      </c>
      <c r="F46" s="158" t="e">
        <f t="shared" si="2"/>
        <v>#REF!</v>
      </c>
      <c r="H46" s="216"/>
    </row>
    <row r="47" spans="1:8">
      <c r="A47" s="215" t="s">
        <v>149</v>
      </c>
      <c r="B47" s="4" t="s">
        <v>150</v>
      </c>
      <c r="C47" s="17" t="e">
        <f>SUMIF(#REF!,'Hydro Deferral'!A47,#REF!)</f>
        <v>#REF!</v>
      </c>
      <c r="D47" s="264">
        <v>5.5000000000000003E-4</v>
      </c>
      <c r="F47" s="158" t="e">
        <f t="shared" si="2"/>
        <v>#REF!</v>
      </c>
      <c r="H47" s="216"/>
    </row>
    <row r="48" spans="1:8">
      <c r="A48" s="215">
        <v>135</v>
      </c>
      <c r="B48" s="4" t="s">
        <v>218</v>
      </c>
      <c r="C48" s="17" t="e">
        <f>SUMIF(#REF!,'Hydro Deferral'!A48,#REF!)</f>
        <v>#REF!</v>
      </c>
      <c r="D48" s="264">
        <v>5.5000000000000003E-4</v>
      </c>
      <c r="F48" s="158" t="e">
        <f t="shared" si="2"/>
        <v>#REF!</v>
      </c>
      <c r="H48" s="216"/>
    </row>
    <row r="49" spans="1:8">
      <c r="A49" s="66">
        <v>24</v>
      </c>
      <c r="B49" s="4" t="s">
        <v>281</v>
      </c>
      <c r="C49" s="17" t="e">
        <f>SUMIF(#REF!,#REF!,#REF!)</f>
        <v>#REF!</v>
      </c>
      <c r="D49" s="264">
        <v>5.5000000000000003E-4</v>
      </c>
      <c r="F49" s="158" t="e">
        <f t="shared" si="2"/>
        <v>#REF!</v>
      </c>
      <c r="H49" s="216"/>
    </row>
    <row r="50" spans="1:8">
      <c r="A50" s="215"/>
      <c r="B50" s="4"/>
      <c r="C50" s="17" t="e">
        <f>SUM(C43:C49)</f>
        <v>#REF!</v>
      </c>
      <c r="D50" s="4"/>
    </row>
    <row r="51" spans="1:8">
      <c r="A51" s="215"/>
      <c r="B51" s="4"/>
      <c r="C51" s="4"/>
      <c r="D51" s="4"/>
    </row>
    <row r="52" spans="1:8">
      <c r="A52" s="215"/>
      <c r="B52" s="4"/>
      <c r="C52" s="17" t="e">
        <f>C50+C40+C31+C26+C15</f>
        <v>#REF!</v>
      </c>
      <c r="D52" s="4"/>
      <c r="F52" s="218" t="e">
        <f>SUM(F8:F49)</f>
        <v>#REF!</v>
      </c>
    </row>
    <row r="53" spans="1:8">
      <c r="A53" s="215"/>
      <c r="B53" s="4"/>
      <c r="C53" s="4"/>
      <c r="D53" s="4"/>
    </row>
    <row r="54" spans="1:8">
      <c r="B54" s="2" t="s">
        <v>219</v>
      </c>
      <c r="C54" s="83" t="e">
        <f>'Table 2'!F139-'Table 2'!F34-'Table 2'!F63-'Table 2'!F93-'Table 2'!F114-'Table 2'!F134-'Table 2'!F110-C52</f>
        <v>#REF!</v>
      </c>
      <c r="F54" s="158" t="e">
        <f>'Table 3'!#REF!+F52</f>
        <v>#REF!</v>
      </c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R40"/>
  <sheetViews>
    <sheetView view="pageBreakPreview" zoomScale="70" zoomScaleNormal="70" zoomScaleSheetLayoutView="70" workbookViewId="0">
      <selection activeCell="D29" sqref="D29:I29"/>
    </sheetView>
  </sheetViews>
  <sheetFormatPr defaultColWidth="9" defaultRowHeight="15.6"/>
  <cols>
    <col min="1" max="1" width="4.09765625" style="416" customWidth="1"/>
    <col min="2" max="2" width="21.19921875" style="424" bestFit="1" customWidth="1"/>
    <col min="3" max="3" width="16" style="416" customWidth="1"/>
    <col min="4" max="15" width="18.09765625" style="416" customWidth="1"/>
    <col min="16" max="16" width="18.09765625" style="417" customWidth="1"/>
    <col min="17" max="17" width="4.09765625" style="416" customWidth="1"/>
    <col min="18" max="18" width="14.3984375" style="416" bestFit="1" customWidth="1"/>
    <col min="19" max="19" width="4.09765625" style="416" customWidth="1"/>
    <col min="20" max="16384" width="9" style="416"/>
  </cols>
  <sheetData>
    <row r="1" spans="2:18">
      <c r="B1" s="413" t="s">
        <v>421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5"/>
    </row>
    <row r="2" spans="2:18">
      <c r="B2" s="413" t="s">
        <v>422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5"/>
    </row>
    <row r="3" spans="2:18">
      <c r="B3" s="413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5"/>
    </row>
    <row r="5" spans="2:18">
      <c r="B5" s="417" t="s">
        <v>298</v>
      </c>
      <c r="C5" s="417" t="s">
        <v>299</v>
      </c>
      <c r="D5" s="476">
        <v>201907</v>
      </c>
      <c r="E5" s="476">
        <v>201908</v>
      </c>
      <c r="F5" s="476">
        <v>201909</v>
      </c>
      <c r="G5" s="476">
        <v>201910</v>
      </c>
      <c r="H5" s="476">
        <v>201911</v>
      </c>
      <c r="I5" s="476">
        <v>201912</v>
      </c>
      <c r="J5" s="476">
        <v>202001</v>
      </c>
      <c r="K5" s="476">
        <v>202002</v>
      </c>
      <c r="L5" s="476">
        <v>202003</v>
      </c>
      <c r="M5" s="476">
        <v>202004</v>
      </c>
      <c r="N5" s="476">
        <v>202005</v>
      </c>
      <c r="O5" s="476">
        <v>202006</v>
      </c>
      <c r="P5" s="417" t="s">
        <v>423</v>
      </c>
      <c r="R5" s="418" t="s">
        <v>424</v>
      </c>
    </row>
    <row r="6" spans="2:18">
      <c r="B6" s="155" t="s">
        <v>463</v>
      </c>
      <c r="C6" s="419" t="s">
        <v>148</v>
      </c>
      <c r="D6" s="477">
        <v>-234.19</v>
      </c>
      <c r="E6" s="477">
        <v>-233.13</v>
      </c>
      <c r="F6" s="477">
        <v>-231.5</v>
      </c>
      <c r="G6" s="477">
        <v>-228.89000000000001</v>
      </c>
      <c r="H6" s="477">
        <v>-117.75</v>
      </c>
      <c r="I6" s="477">
        <v>0.31999999999999995</v>
      </c>
      <c r="J6" s="477">
        <v>-0.23</v>
      </c>
      <c r="K6" s="477">
        <v>2.83</v>
      </c>
      <c r="L6" s="477">
        <v>0.32</v>
      </c>
      <c r="M6" s="477">
        <v>0</v>
      </c>
      <c r="N6" s="477">
        <v>0</v>
      </c>
      <c r="O6" s="477">
        <v>6.57</v>
      </c>
      <c r="P6" s="421">
        <f>SUM(D6:O6)</f>
        <v>-1035.6500000000003</v>
      </c>
      <c r="Q6" s="420"/>
      <c r="R6" s="420">
        <v>0</v>
      </c>
    </row>
    <row r="7" spans="2:18">
      <c r="B7" s="155" t="s">
        <v>463</v>
      </c>
      <c r="C7" s="422">
        <v>16</v>
      </c>
      <c r="D7" s="477">
        <v>-495034.85000000003</v>
      </c>
      <c r="E7" s="477">
        <v>-559101.04999999993</v>
      </c>
      <c r="F7" s="477">
        <v>-501773.67</v>
      </c>
      <c r="G7" s="477">
        <v>-440621.55000000005</v>
      </c>
      <c r="H7" s="477">
        <v>-330024.63999999996</v>
      </c>
      <c r="I7" s="477">
        <v>3754.91</v>
      </c>
      <c r="J7" s="477">
        <v>7875.66</v>
      </c>
      <c r="K7" s="477">
        <v>4999.1799999999994</v>
      </c>
      <c r="L7" s="477">
        <v>5121.26</v>
      </c>
      <c r="M7" s="477">
        <v>7438.02</v>
      </c>
      <c r="N7" s="477">
        <v>4219.46</v>
      </c>
      <c r="O7" s="477">
        <v>2557.31</v>
      </c>
      <c r="P7" s="421">
        <f>SUM(D7:O7)</f>
        <v>-2290589.9599999995</v>
      </c>
      <c r="Q7" s="420"/>
      <c r="R7" s="420">
        <v>0</v>
      </c>
    </row>
    <row r="8" spans="2:18">
      <c r="B8" s="155" t="s">
        <v>463</v>
      </c>
      <c r="C8" s="422">
        <v>17</v>
      </c>
      <c r="D8" s="477">
        <v>-21937.829999999998</v>
      </c>
      <c r="E8" s="477">
        <v>-23603.440000000002</v>
      </c>
      <c r="F8" s="477">
        <v>-21916.890000000003</v>
      </c>
      <c r="G8" s="477">
        <v>-24018.560000000001</v>
      </c>
      <c r="H8" s="477">
        <v>-19904.820000000003</v>
      </c>
      <c r="I8" s="477">
        <v>325.49</v>
      </c>
      <c r="J8" s="477">
        <v>595.4</v>
      </c>
      <c r="K8" s="477">
        <v>271.01</v>
      </c>
      <c r="L8" s="477">
        <v>415.46</v>
      </c>
      <c r="M8" s="477">
        <v>523.38</v>
      </c>
      <c r="N8" s="477">
        <v>201.24</v>
      </c>
      <c r="O8" s="477">
        <v>190.65</v>
      </c>
      <c r="P8" s="421">
        <f>SUM(D8:O8)</f>
        <v>-108858.91</v>
      </c>
      <c r="Q8" s="420"/>
      <c r="R8" s="420">
        <v>0</v>
      </c>
    </row>
    <row r="9" spans="2:18">
      <c r="B9" s="155" t="s">
        <v>463</v>
      </c>
      <c r="C9" s="422">
        <v>18</v>
      </c>
      <c r="D9" s="477">
        <v>-934.18000000000006</v>
      </c>
      <c r="E9" s="477">
        <v>-1018.46</v>
      </c>
      <c r="F9" s="477">
        <v>-937.01</v>
      </c>
      <c r="G9" s="477">
        <v>-779.13</v>
      </c>
      <c r="H9" s="477">
        <v>-505.08000000000004</v>
      </c>
      <c r="I9" s="477">
        <v>-15.74</v>
      </c>
      <c r="J9" s="477">
        <v>0</v>
      </c>
      <c r="K9" s="477">
        <v>0</v>
      </c>
      <c r="L9" s="477">
        <v>0</v>
      </c>
      <c r="M9" s="477">
        <v>0</v>
      </c>
      <c r="N9" s="477">
        <v>0</v>
      </c>
      <c r="O9" s="477">
        <v>0</v>
      </c>
      <c r="P9" s="421">
        <f>SUM(D9:O9)</f>
        <v>-4189.6000000000004</v>
      </c>
      <c r="Q9" s="420"/>
      <c r="R9" s="420">
        <v>0</v>
      </c>
    </row>
    <row r="10" spans="2:18">
      <c r="B10" s="155" t="s">
        <v>463</v>
      </c>
      <c r="C10" s="422">
        <v>24</v>
      </c>
      <c r="D10" s="477">
        <v>-7805.4400000000005</v>
      </c>
      <c r="E10" s="477">
        <v>-8005.2</v>
      </c>
      <c r="F10" s="477">
        <v>-7310.3499999999995</v>
      </c>
      <c r="G10" s="477">
        <v>-5876.2</v>
      </c>
      <c r="H10" s="477">
        <v>-4283.1900000000005</v>
      </c>
      <c r="I10" s="477">
        <v>-31.44</v>
      </c>
      <c r="J10" s="477">
        <v>25.18</v>
      </c>
      <c r="K10" s="477">
        <v>10.19</v>
      </c>
      <c r="L10" s="477">
        <v>-13.62</v>
      </c>
      <c r="M10" s="477">
        <v>5.25</v>
      </c>
      <c r="N10" s="477">
        <v>-0.91999999999999993</v>
      </c>
      <c r="O10" s="477">
        <v>0</v>
      </c>
      <c r="P10" s="421">
        <f t="shared" ref="P10:P27" si="0">SUM(D10:O10)</f>
        <v>-33285.74</v>
      </c>
      <c r="Q10" s="420"/>
      <c r="R10" s="420">
        <v>0</v>
      </c>
    </row>
    <row r="11" spans="2:18">
      <c r="B11" s="155" t="s">
        <v>463</v>
      </c>
      <c r="C11" s="422">
        <v>36</v>
      </c>
      <c r="D11" s="477">
        <v>-485.44</v>
      </c>
      <c r="E11" s="477">
        <v>-525.34</v>
      </c>
      <c r="F11" s="477">
        <v>-502.95</v>
      </c>
      <c r="G11" s="477">
        <v>-506.59</v>
      </c>
      <c r="H11" s="477">
        <v>-321.27999999999997</v>
      </c>
      <c r="I11" s="477">
        <v>0</v>
      </c>
      <c r="J11" s="477">
        <v>0</v>
      </c>
      <c r="K11" s="477">
        <v>0</v>
      </c>
      <c r="L11" s="477">
        <v>0</v>
      </c>
      <c r="M11" s="477">
        <v>0</v>
      </c>
      <c r="N11" s="477">
        <v>0</v>
      </c>
      <c r="O11" s="477">
        <v>0</v>
      </c>
      <c r="P11" s="421">
        <f t="shared" si="0"/>
        <v>-2341.6</v>
      </c>
      <c r="Q11" s="420"/>
      <c r="R11" s="420">
        <v>0</v>
      </c>
    </row>
    <row r="12" spans="2:18">
      <c r="B12" s="155" t="s">
        <v>460</v>
      </c>
      <c r="C12" s="422" t="s">
        <v>139</v>
      </c>
      <c r="D12" s="477">
        <v>-481.33000000000004</v>
      </c>
      <c r="E12" s="477">
        <v>-476.51000000000005</v>
      </c>
      <c r="F12" s="477">
        <v>-481.01</v>
      </c>
      <c r="G12" s="477">
        <v>-476.28000000000003</v>
      </c>
      <c r="H12" s="477">
        <v>-258.2</v>
      </c>
      <c r="I12" s="477">
        <v>-0.36</v>
      </c>
      <c r="J12" s="477">
        <v>0</v>
      </c>
      <c r="K12" s="477">
        <v>7.59</v>
      </c>
      <c r="L12" s="477">
        <v>2.23</v>
      </c>
      <c r="M12" s="477">
        <v>0</v>
      </c>
      <c r="N12" s="477">
        <v>2.41</v>
      </c>
      <c r="O12" s="477">
        <v>0</v>
      </c>
      <c r="P12" s="421">
        <f t="shared" si="0"/>
        <v>-2161.46</v>
      </c>
      <c r="Q12" s="420"/>
      <c r="R12" s="420">
        <v>0</v>
      </c>
    </row>
    <row r="13" spans="2:18">
      <c r="B13" s="155" t="s">
        <v>460</v>
      </c>
      <c r="C13" s="422">
        <v>24</v>
      </c>
      <c r="D13" s="477">
        <v>-194510.71</v>
      </c>
      <c r="E13" s="477">
        <v>-209798.8</v>
      </c>
      <c r="F13" s="477">
        <v>-207288.11</v>
      </c>
      <c r="G13" s="477">
        <v>-173739.69000000003</v>
      </c>
      <c r="H13" s="477">
        <v>-112965.05000000002</v>
      </c>
      <c r="I13" s="477">
        <v>-2087.04</v>
      </c>
      <c r="J13" s="477">
        <v>14.319999999999993</v>
      </c>
      <c r="K13" s="477">
        <v>378.1</v>
      </c>
      <c r="L13" s="477">
        <v>318.86999999999995</v>
      </c>
      <c r="M13" s="477">
        <v>425.71000000000004</v>
      </c>
      <c r="N13" s="477">
        <v>439.26</v>
      </c>
      <c r="O13" s="477">
        <v>237.06</v>
      </c>
      <c r="P13" s="421">
        <f t="shared" si="0"/>
        <v>-898576.08000000019</v>
      </c>
      <c r="Q13" s="420"/>
      <c r="R13" s="420">
        <v>0</v>
      </c>
    </row>
    <row r="14" spans="2:18">
      <c r="B14" s="155" t="s">
        <v>460</v>
      </c>
      <c r="C14" s="419">
        <v>36</v>
      </c>
      <c r="D14" s="477">
        <v>-292887.96000000002</v>
      </c>
      <c r="E14" s="477">
        <v>-283357.84000000003</v>
      </c>
      <c r="F14" s="477">
        <v>-332405.5</v>
      </c>
      <c r="G14" s="477">
        <v>-310029.27</v>
      </c>
      <c r="H14" s="477">
        <v>-196626.74000000002</v>
      </c>
      <c r="I14" s="477">
        <v>-13414.49</v>
      </c>
      <c r="J14" s="477">
        <v>57.45</v>
      </c>
      <c r="K14" s="477">
        <v>0</v>
      </c>
      <c r="L14" s="477">
        <v>0</v>
      </c>
      <c r="M14" s="477">
        <v>0</v>
      </c>
      <c r="N14" s="477">
        <v>0</v>
      </c>
      <c r="O14" s="477">
        <v>0</v>
      </c>
      <c r="P14" s="421">
        <f t="shared" si="0"/>
        <v>-1428664.35</v>
      </c>
      <c r="Q14" s="420"/>
      <c r="R14" s="420">
        <v>0</v>
      </c>
    </row>
    <row r="15" spans="2:18">
      <c r="B15" s="155" t="s">
        <v>460</v>
      </c>
      <c r="C15" s="419" t="s">
        <v>443</v>
      </c>
      <c r="D15" s="477"/>
      <c r="E15" s="477"/>
      <c r="F15" s="477"/>
      <c r="G15" s="477"/>
      <c r="H15" s="477"/>
      <c r="I15" s="477"/>
      <c r="J15" s="477">
        <v>0</v>
      </c>
      <c r="K15" s="477">
        <v>0</v>
      </c>
      <c r="L15" s="477">
        <v>0</v>
      </c>
      <c r="M15" s="477">
        <v>0</v>
      </c>
      <c r="N15" s="477">
        <v>0</v>
      </c>
      <c r="O15" s="477">
        <v>0</v>
      </c>
      <c r="P15" s="421">
        <f t="shared" ref="P15" si="1">SUM(D15:O15)</f>
        <v>0</v>
      </c>
      <c r="Q15" s="420"/>
      <c r="R15" s="420">
        <v>0</v>
      </c>
    </row>
    <row r="16" spans="2:18">
      <c r="B16" s="155" t="s">
        <v>460</v>
      </c>
      <c r="C16" s="422" t="s">
        <v>67</v>
      </c>
      <c r="D16" s="477">
        <v>-63334.64</v>
      </c>
      <c r="E16" s="477">
        <v>-64308.31</v>
      </c>
      <c r="F16" s="477">
        <v>-69051.78</v>
      </c>
      <c r="G16" s="477">
        <v>-64503.939999999995</v>
      </c>
      <c r="H16" s="477">
        <v>-47017.11</v>
      </c>
      <c r="I16" s="477">
        <v>-1005.56</v>
      </c>
      <c r="J16" s="477">
        <v>0</v>
      </c>
      <c r="K16" s="477">
        <v>0</v>
      </c>
      <c r="L16" s="477">
        <v>0</v>
      </c>
      <c r="M16" s="477">
        <v>0</v>
      </c>
      <c r="N16" s="477">
        <v>0</v>
      </c>
      <c r="O16" s="477">
        <v>0</v>
      </c>
      <c r="P16" s="421">
        <f t="shared" si="0"/>
        <v>-309221.33999999997</v>
      </c>
      <c r="Q16" s="420"/>
      <c r="R16" s="420">
        <v>0</v>
      </c>
    </row>
    <row r="17" spans="2:18">
      <c r="B17" s="155" t="s">
        <v>460</v>
      </c>
      <c r="C17" s="422">
        <v>54</v>
      </c>
      <c r="D17" s="477">
        <v>-85.73</v>
      </c>
      <c r="E17" s="477">
        <v>-66.08</v>
      </c>
      <c r="F17" s="477">
        <v>-55.55</v>
      </c>
      <c r="G17" s="477">
        <v>-84.69</v>
      </c>
      <c r="H17" s="477">
        <v>-67.66</v>
      </c>
      <c r="I17" s="477">
        <v>0</v>
      </c>
      <c r="J17" s="477">
        <v>0</v>
      </c>
      <c r="K17" s="477">
        <v>0</v>
      </c>
      <c r="L17" s="477">
        <v>0</v>
      </c>
      <c r="M17" s="477">
        <v>0</v>
      </c>
      <c r="N17" s="477">
        <v>0</v>
      </c>
      <c r="O17" s="477">
        <v>0</v>
      </c>
      <c r="P17" s="421">
        <f t="shared" si="0"/>
        <v>-359.71000000000004</v>
      </c>
      <c r="Q17" s="420"/>
      <c r="R17" s="420">
        <v>0</v>
      </c>
    </row>
    <row r="18" spans="2:18">
      <c r="B18" s="367" t="s">
        <v>461</v>
      </c>
      <c r="C18" s="422" t="s">
        <v>139</v>
      </c>
      <c r="D18" s="477">
        <v>-34.03</v>
      </c>
      <c r="E18" s="477">
        <v>-27.91</v>
      </c>
      <c r="F18" s="477">
        <v>-30.71</v>
      </c>
      <c r="G18" s="477">
        <v>-31.360000000000003</v>
      </c>
      <c r="H18" s="477">
        <v>-18.850000000000001</v>
      </c>
      <c r="I18" s="477">
        <v>-0.11</v>
      </c>
      <c r="J18" s="477">
        <v>-0.11</v>
      </c>
      <c r="K18" s="477">
        <v>0</v>
      </c>
      <c r="L18" s="477">
        <v>0</v>
      </c>
      <c r="M18" s="477">
        <v>0</v>
      </c>
      <c r="N18" s="477">
        <v>0</v>
      </c>
      <c r="O18" s="477">
        <v>0</v>
      </c>
      <c r="P18" s="421">
        <f t="shared" si="0"/>
        <v>-143.08000000000004</v>
      </c>
      <c r="Q18" s="420"/>
      <c r="R18" s="420">
        <v>0</v>
      </c>
    </row>
    <row r="19" spans="2:18">
      <c r="B19" s="367" t="s">
        <v>461</v>
      </c>
      <c r="C19" s="422">
        <v>24</v>
      </c>
      <c r="D19" s="477">
        <v>-6056.77</v>
      </c>
      <c r="E19" s="477">
        <v>-6078.18</v>
      </c>
      <c r="F19" s="477">
        <v>-6038.42</v>
      </c>
      <c r="G19" s="477">
        <v>-5515.91</v>
      </c>
      <c r="H19" s="477">
        <v>-3470.98</v>
      </c>
      <c r="I19" s="477">
        <v>-45.650000000000006</v>
      </c>
      <c r="J19" s="477">
        <v>0</v>
      </c>
      <c r="K19" s="477">
        <v>0</v>
      </c>
      <c r="L19" s="477">
        <v>0</v>
      </c>
      <c r="M19" s="477">
        <v>0</v>
      </c>
      <c r="N19" s="477">
        <v>0</v>
      </c>
      <c r="O19" s="477">
        <v>0</v>
      </c>
      <c r="P19" s="421">
        <f t="shared" si="0"/>
        <v>-27205.910000000003</v>
      </c>
      <c r="Q19" s="420"/>
      <c r="R19" s="420">
        <v>0</v>
      </c>
    </row>
    <row r="20" spans="2:18">
      <c r="B20" s="367" t="s">
        <v>461</v>
      </c>
      <c r="C20" s="419">
        <v>36</v>
      </c>
      <c r="D20" s="477">
        <v>-35965.64</v>
      </c>
      <c r="E20" s="477">
        <v>-32906.17</v>
      </c>
      <c r="F20" s="477">
        <v>-39405.369999999995</v>
      </c>
      <c r="G20" s="477">
        <v>-40895.74</v>
      </c>
      <c r="H20" s="477">
        <v>-21422.03</v>
      </c>
      <c r="I20" s="477">
        <v>-392.76</v>
      </c>
      <c r="J20" s="477">
        <v>0</v>
      </c>
      <c r="K20" s="477">
        <v>0</v>
      </c>
      <c r="L20" s="477">
        <v>0</v>
      </c>
      <c r="M20" s="477">
        <v>0</v>
      </c>
      <c r="N20" s="477">
        <v>0</v>
      </c>
      <c r="O20" s="477">
        <v>0</v>
      </c>
      <c r="P20" s="421">
        <f t="shared" si="0"/>
        <v>-170987.71</v>
      </c>
      <c r="Q20" s="420"/>
      <c r="R20" s="420">
        <v>0</v>
      </c>
    </row>
    <row r="21" spans="2:18">
      <c r="B21" s="367" t="s">
        <v>461</v>
      </c>
      <c r="C21" s="422">
        <v>47</v>
      </c>
      <c r="D21" s="477">
        <v>-361.92</v>
      </c>
      <c r="E21" s="477">
        <v>-426.01</v>
      </c>
      <c r="F21" s="477">
        <v>-565.5</v>
      </c>
      <c r="G21" s="477">
        <v>-395.85</v>
      </c>
      <c r="H21" s="477">
        <v>-814.32</v>
      </c>
      <c r="I21" s="477">
        <v>0</v>
      </c>
      <c r="J21" s="477">
        <v>0</v>
      </c>
      <c r="K21" s="477">
        <v>0</v>
      </c>
      <c r="L21" s="477">
        <v>0</v>
      </c>
      <c r="M21" s="477">
        <v>0</v>
      </c>
      <c r="N21" s="477">
        <v>0</v>
      </c>
      <c r="O21" s="477">
        <v>0</v>
      </c>
      <c r="P21" s="421">
        <f t="shared" si="0"/>
        <v>-2563.6000000000004</v>
      </c>
      <c r="Q21" s="420"/>
      <c r="R21" s="420">
        <v>0</v>
      </c>
    </row>
    <row r="22" spans="2:18">
      <c r="B22" s="367" t="s">
        <v>461</v>
      </c>
      <c r="C22" s="423" t="s">
        <v>67</v>
      </c>
      <c r="D22" s="477">
        <v>-225432.43</v>
      </c>
      <c r="E22" s="477">
        <v>-214447.96</v>
      </c>
      <c r="F22" s="477">
        <v>-214000.83</v>
      </c>
      <c r="G22" s="477">
        <v>-207979.96</v>
      </c>
      <c r="H22" s="477">
        <v>-169636.59</v>
      </c>
      <c r="I22" s="477">
        <v>-105.51</v>
      </c>
      <c r="J22" s="477">
        <v>0</v>
      </c>
      <c r="K22" s="477">
        <v>0</v>
      </c>
      <c r="L22" s="477">
        <v>0</v>
      </c>
      <c r="M22" s="477">
        <v>0</v>
      </c>
      <c r="N22" s="477">
        <v>0</v>
      </c>
      <c r="O22" s="477">
        <v>0</v>
      </c>
      <c r="P22" s="421">
        <f t="shared" si="0"/>
        <v>-1031603.2799999999</v>
      </c>
      <c r="Q22" s="420"/>
      <c r="R22" s="420">
        <v>0</v>
      </c>
    </row>
    <row r="23" spans="2:18">
      <c r="B23" s="367" t="s">
        <v>433</v>
      </c>
      <c r="C23" s="422">
        <v>40</v>
      </c>
      <c r="D23" s="477">
        <v>-132217.60999999999</v>
      </c>
      <c r="E23" s="477">
        <v>-133308.61000000002</v>
      </c>
      <c r="F23" s="477">
        <v>-114276.54999999999</v>
      </c>
      <c r="G23" s="477">
        <v>-54831.329999999994</v>
      </c>
      <c r="H23" s="477">
        <v>-23805.99</v>
      </c>
      <c r="I23" s="477">
        <v>-1717.2200000000003</v>
      </c>
      <c r="J23" s="477">
        <v>23.589999999999996</v>
      </c>
      <c r="K23" s="477">
        <v>8.1999999999999886</v>
      </c>
      <c r="L23" s="477">
        <v>86.52000000000001</v>
      </c>
      <c r="M23" s="477">
        <v>169.89999999999998</v>
      </c>
      <c r="N23" s="477">
        <v>0.12</v>
      </c>
      <c r="O23" s="477">
        <v>-3.77</v>
      </c>
      <c r="P23" s="421">
        <f t="shared" si="0"/>
        <v>-459872.74999999988</v>
      </c>
      <c r="Q23" s="420"/>
      <c r="R23" s="420">
        <v>0</v>
      </c>
    </row>
    <row r="24" spans="2:18">
      <c r="B24" s="367" t="s">
        <v>462</v>
      </c>
      <c r="C24" s="419">
        <v>51</v>
      </c>
      <c r="D24" s="478">
        <v>-851.54</v>
      </c>
      <c r="E24" s="478">
        <v>-812.67</v>
      </c>
      <c r="F24" s="478">
        <v>-789</v>
      </c>
      <c r="G24" s="478">
        <v>-770.45</v>
      </c>
      <c r="H24" s="478">
        <v>-379.67</v>
      </c>
      <c r="I24" s="478">
        <v>-1.1299999999999999</v>
      </c>
      <c r="J24" s="478">
        <v>0</v>
      </c>
      <c r="K24" s="478">
        <v>0.75</v>
      </c>
      <c r="L24" s="478">
        <v>0</v>
      </c>
      <c r="M24" s="478">
        <v>1.75</v>
      </c>
      <c r="N24" s="478">
        <v>0</v>
      </c>
      <c r="O24" s="478">
        <v>0</v>
      </c>
      <c r="P24" s="421">
        <f t="shared" si="0"/>
        <v>-3601.96</v>
      </c>
      <c r="Q24" s="420"/>
      <c r="R24" s="420">
        <v>0</v>
      </c>
    </row>
    <row r="25" spans="2:18">
      <c r="B25" s="367" t="s">
        <v>462</v>
      </c>
      <c r="C25" s="419">
        <v>52</v>
      </c>
      <c r="D25" s="478">
        <v>-30.28</v>
      </c>
      <c r="E25" s="478">
        <v>-17.98</v>
      </c>
      <c r="F25" s="478">
        <v>-4.33</v>
      </c>
      <c r="G25" s="478">
        <v>-4.33</v>
      </c>
      <c r="H25" s="478">
        <v>-3.11</v>
      </c>
      <c r="I25" s="478">
        <v>0</v>
      </c>
      <c r="J25" s="478">
        <v>0</v>
      </c>
      <c r="K25" s="478">
        <v>0</v>
      </c>
      <c r="L25" s="478">
        <v>0</v>
      </c>
      <c r="M25" s="478">
        <v>0</v>
      </c>
      <c r="N25" s="478">
        <v>0</v>
      </c>
      <c r="O25" s="478">
        <v>0</v>
      </c>
      <c r="P25" s="421">
        <f t="shared" si="0"/>
        <v>-60.03</v>
      </c>
      <c r="Q25" s="420"/>
      <c r="R25" s="420">
        <v>0</v>
      </c>
    </row>
    <row r="26" spans="2:18">
      <c r="B26" s="367" t="s">
        <v>462</v>
      </c>
      <c r="C26" s="419" t="s">
        <v>146</v>
      </c>
      <c r="D26" s="478">
        <v>-864.68</v>
      </c>
      <c r="E26" s="478">
        <v>-880.64</v>
      </c>
      <c r="F26" s="478">
        <v>-881.34</v>
      </c>
      <c r="G26" s="478">
        <v>-911.31000000000006</v>
      </c>
      <c r="H26" s="478">
        <v>-247.63</v>
      </c>
      <c r="I26" s="478">
        <v>-0.33</v>
      </c>
      <c r="J26" s="478">
        <v>0</v>
      </c>
      <c r="K26" s="478">
        <v>0</v>
      </c>
      <c r="L26" s="478">
        <v>0</v>
      </c>
      <c r="M26" s="478">
        <v>0</v>
      </c>
      <c r="N26" s="478">
        <v>0</v>
      </c>
      <c r="O26" s="478">
        <v>0</v>
      </c>
      <c r="P26" s="421">
        <f t="shared" si="0"/>
        <v>-3785.93</v>
      </c>
      <c r="Q26" s="420"/>
      <c r="R26" s="420">
        <v>0</v>
      </c>
    </row>
    <row r="27" spans="2:18">
      <c r="B27" s="367" t="s">
        <v>462</v>
      </c>
      <c r="C27" s="422">
        <v>57</v>
      </c>
      <c r="D27" s="478">
        <v>-356.28</v>
      </c>
      <c r="E27" s="478">
        <v>-284.49</v>
      </c>
      <c r="F27" s="478">
        <v>-247.42</v>
      </c>
      <c r="G27" s="478">
        <v>-227.34</v>
      </c>
      <c r="H27" s="478">
        <v>-128.41999999999999</v>
      </c>
      <c r="I27" s="478">
        <v>0</v>
      </c>
      <c r="J27" s="478">
        <v>0</v>
      </c>
      <c r="K27" s="478">
        <v>0</v>
      </c>
      <c r="L27" s="478">
        <v>0</v>
      </c>
      <c r="M27" s="478">
        <v>0</v>
      </c>
      <c r="N27" s="478">
        <v>0</v>
      </c>
      <c r="O27" s="478">
        <v>0</v>
      </c>
      <c r="P27" s="421">
        <f t="shared" si="0"/>
        <v>-1243.95</v>
      </c>
      <c r="Q27" s="420"/>
      <c r="R27" s="420">
        <v>0</v>
      </c>
    </row>
    <row r="28" spans="2:18"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1"/>
      <c r="Q28" s="420"/>
      <c r="R28" s="420"/>
    </row>
    <row r="29" spans="2:18">
      <c r="C29" s="426" t="s">
        <v>423</v>
      </c>
      <c r="D29" s="427">
        <f t="shared" ref="D29:P29" si="2">SUM(D6:D27)</f>
        <v>-1479903.4799999997</v>
      </c>
      <c r="E29" s="427">
        <f t="shared" si="2"/>
        <v>-1539684.7799999996</v>
      </c>
      <c r="F29" s="427">
        <f t="shared" si="2"/>
        <v>-1518193.79</v>
      </c>
      <c r="G29" s="427">
        <f t="shared" si="2"/>
        <v>-1332428.3700000003</v>
      </c>
      <c r="H29" s="427">
        <f t="shared" si="2"/>
        <v>-932019.11</v>
      </c>
      <c r="I29" s="427">
        <f t="shared" si="2"/>
        <v>-14736.619999999999</v>
      </c>
      <c r="J29" s="427">
        <f t="shared" si="2"/>
        <v>8591.26</v>
      </c>
      <c r="K29" s="427">
        <f t="shared" si="2"/>
        <v>5677.8499999999995</v>
      </c>
      <c r="L29" s="427">
        <f t="shared" si="2"/>
        <v>5931.04</v>
      </c>
      <c r="M29" s="427">
        <f t="shared" si="2"/>
        <v>8564.01</v>
      </c>
      <c r="N29" s="427">
        <f t="shared" si="2"/>
        <v>4861.57</v>
      </c>
      <c r="O29" s="427">
        <f t="shared" si="2"/>
        <v>2987.82</v>
      </c>
      <c r="P29" s="421">
        <f t="shared" si="2"/>
        <v>-6780352.5999999996</v>
      </c>
      <c r="Q29" s="420"/>
      <c r="R29" s="420">
        <v>0</v>
      </c>
    </row>
    <row r="30" spans="2:18"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8"/>
      <c r="R30" s="425"/>
    </row>
    <row r="31" spans="2:18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8"/>
      <c r="R31" s="425"/>
    </row>
    <row r="32" spans="2:18">
      <c r="C32" s="424" t="s">
        <v>424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0</v>
      </c>
      <c r="M32" s="420">
        <v>0</v>
      </c>
      <c r="N32" s="420">
        <v>0</v>
      </c>
      <c r="O32" s="420">
        <v>0</v>
      </c>
      <c r="P32" s="420">
        <v>0</v>
      </c>
      <c r="Q32" s="425"/>
      <c r="R32" s="425"/>
    </row>
    <row r="33" spans="2:18">
      <c r="B33" s="429" t="s">
        <v>430</v>
      </c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8"/>
      <c r="Q33" s="425"/>
      <c r="R33" s="425"/>
    </row>
    <row r="34" spans="2:18">
      <c r="B34" s="418" t="s">
        <v>425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-282977.40999999997</v>
      </c>
      <c r="O34" s="420">
        <v>-902733.19000000018</v>
      </c>
      <c r="P34" s="421">
        <f>SUM(D34:O34)</f>
        <v>-1185710.6000000001</v>
      </c>
      <c r="Q34" s="425"/>
      <c r="R34" s="420">
        <v>0</v>
      </c>
    </row>
    <row r="35" spans="2:18">
      <c r="B35" s="418" t="s">
        <v>426</v>
      </c>
      <c r="D35" s="420">
        <v>0</v>
      </c>
      <c r="E35" s="420">
        <v>0</v>
      </c>
      <c r="F35" s="420">
        <v>0</v>
      </c>
      <c r="G35" s="420">
        <v>0</v>
      </c>
      <c r="H35" s="420">
        <v>0</v>
      </c>
      <c r="I35" s="420">
        <v>0</v>
      </c>
      <c r="J35" s="420">
        <v>0</v>
      </c>
      <c r="K35" s="420">
        <v>0</v>
      </c>
      <c r="L35" s="420">
        <v>0</v>
      </c>
      <c r="M35" s="420">
        <v>0</v>
      </c>
      <c r="N35" s="420">
        <v>-202199.50999999995</v>
      </c>
      <c r="O35" s="420">
        <v>-596454.5</v>
      </c>
      <c r="P35" s="421">
        <f t="shared" ref="P35:P38" si="3">SUM(D35:O35)</f>
        <v>-798654.01</v>
      </c>
      <c r="Q35" s="425"/>
      <c r="R35" s="420">
        <v>0</v>
      </c>
    </row>
    <row r="36" spans="2:18">
      <c r="B36" s="418" t="s">
        <v>427</v>
      </c>
      <c r="D36" s="420">
        <v>0</v>
      </c>
      <c r="E36" s="420">
        <v>0</v>
      </c>
      <c r="F36" s="420">
        <v>0</v>
      </c>
      <c r="G36" s="420">
        <v>0</v>
      </c>
      <c r="H36" s="420">
        <v>0</v>
      </c>
      <c r="I36" s="420">
        <v>0</v>
      </c>
      <c r="J36" s="420">
        <v>0</v>
      </c>
      <c r="K36" s="420">
        <v>0</v>
      </c>
      <c r="L36" s="420">
        <v>0</v>
      </c>
      <c r="M36" s="420">
        <v>0</v>
      </c>
      <c r="N36" s="420">
        <v>-69303.98000000001</v>
      </c>
      <c r="O36" s="420">
        <v>-190002.68000000002</v>
      </c>
      <c r="P36" s="421">
        <f t="shared" si="3"/>
        <v>-259306.66000000003</v>
      </c>
      <c r="Q36" s="425"/>
      <c r="R36" s="420">
        <v>0</v>
      </c>
    </row>
    <row r="37" spans="2:18">
      <c r="B37" s="418" t="s">
        <v>428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0</v>
      </c>
      <c r="J37" s="420">
        <v>0</v>
      </c>
      <c r="K37" s="420">
        <v>0</v>
      </c>
      <c r="L37" s="420">
        <v>0</v>
      </c>
      <c r="M37" s="420">
        <v>0</v>
      </c>
      <c r="N37" s="420">
        <v>-4523.3900000000003</v>
      </c>
      <c r="O37" s="420">
        <v>-5941.92</v>
      </c>
      <c r="P37" s="421">
        <f t="shared" si="3"/>
        <v>-10465.310000000001</v>
      </c>
      <c r="Q37" s="425"/>
      <c r="R37" s="420">
        <v>0</v>
      </c>
    </row>
    <row r="38" spans="2:18">
      <c r="B38" s="418" t="s">
        <v>429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0</v>
      </c>
      <c r="M38" s="420">
        <v>0</v>
      </c>
      <c r="N38" s="420">
        <v>-1210.81</v>
      </c>
      <c r="O38" s="420">
        <v>-2387.59</v>
      </c>
      <c r="P38" s="421">
        <f t="shared" si="3"/>
        <v>-3598.4</v>
      </c>
      <c r="Q38" s="425"/>
      <c r="R38" s="420">
        <v>0</v>
      </c>
    </row>
    <row r="39" spans="2:18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8"/>
      <c r="Q39" s="425"/>
      <c r="R39" s="420"/>
    </row>
    <row r="40" spans="2:18">
      <c r="C40" s="424" t="s">
        <v>424</v>
      </c>
      <c r="D40" s="420">
        <v>0</v>
      </c>
      <c r="E40" s="420">
        <v>0</v>
      </c>
      <c r="F40" s="420">
        <v>0</v>
      </c>
      <c r="G40" s="420">
        <v>0</v>
      </c>
      <c r="H40" s="420">
        <v>0</v>
      </c>
      <c r="I40" s="420">
        <v>0</v>
      </c>
      <c r="J40" s="420">
        <v>0</v>
      </c>
      <c r="K40" s="420">
        <v>0</v>
      </c>
      <c r="L40" s="420">
        <v>0</v>
      </c>
      <c r="M40" s="420">
        <v>0</v>
      </c>
      <c r="N40" s="420">
        <v>0</v>
      </c>
      <c r="O40" s="420">
        <v>0</v>
      </c>
      <c r="P40" s="420">
        <f>SUM(P34:P38)-P29</f>
        <v>4522617.6199999992</v>
      </c>
      <c r="Q40" s="425"/>
      <c r="R40" s="420"/>
    </row>
  </sheetData>
  <conditionalFormatting sqref="C22">
    <cfRule type="cellIs" dxfId="9" priority="2" operator="lessThan">
      <formula>0</formula>
    </cfRule>
  </conditionalFormatting>
  <conditionalFormatting sqref="C22">
    <cfRule type="cellIs" dxfId="8" priority="1" operator="lessThan">
      <formula>0</formula>
    </cfRule>
  </conditionalFormatting>
  <pageMargins left="0.7" right="0.7" top="0.75" bottom="0.75" header="0.3" footer="0.3"/>
  <pageSetup scale="41" orientation="landscape" r:id="rId1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pageSetUpPr fitToPage="1"/>
  </sheetPr>
  <dimension ref="A2:R54"/>
  <sheetViews>
    <sheetView zoomScale="80" zoomScaleNormal="80" workbookViewId="0">
      <pane xSplit="2" ySplit="1" topLeftCell="C32" activePane="bottomRight" state="frozen"/>
      <selection activeCell="K116" sqref="K116"/>
      <selection pane="topRight" activeCell="K116" sqref="K116"/>
      <selection pane="bottomLeft" activeCell="K116" sqref="K116"/>
      <selection pane="bottomRight" activeCell="K116" sqref="K116"/>
    </sheetView>
  </sheetViews>
  <sheetFormatPr defaultColWidth="11" defaultRowHeight="15"/>
  <cols>
    <col min="1" max="1" width="32.09765625" style="367" bestFit="1" customWidth="1"/>
    <col min="2" max="2" width="11" style="368"/>
    <col min="3" max="3" width="16.69921875" style="365" customWidth="1"/>
    <col min="4" max="4" width="15.09765625" style="365" bestFit="1" customWidth="1"/>
    <col min="5" max="5" width="16.19921875" style="365" bestFit="1" customWidth="1"/>
    <col min="6" max="6" width="15.09765625" style="365" bestFit="1" customWidth="1"/>
    <col min="7" max="7" width="16.19921875" style="365" bestFit="1" customWidth="1"/>
    <col min="8" max="8" width="15.09765625" style="365" bestFit="1" customWidth="1"/>
    <col min="9" max="9" width="18.69921875" style="365" bestFit="1" customWidth="1"/>
    <col min="10" max="10" width="15.09765625" style="365" bestFit="1" customWidth="1"/>
    <col min="11" max="11" width="16.19921875" style="365" bestFit="1" customWidth="1"/>
    <col min="12" max="12" width="15.09765625" style="365" bestFit="1" customWidth="1"/>
    <col min="13" max="13" width="16.19921875" style="365" bestFit="1" customWidth="1"/>
    <col min="14" max="14" width="15.09765625" style="365" bestFit="1" customWidth="1"/>
    <col min="15" max="15" width="15.59765625" style="365" bestFit="1" customWidth="1"/>
    <col min="16" max="16384" width="11" style="365"/>
  </cols>
  <sheetData>
    <row r="2" spans="1:15" ht="17.399999999999999">
      <c r="C2" s="275"/>
      <c r="D2" s="275"/>
      <c r="E2" s="275"/>
      <c r="F2" s="275"/>
      <c r="G2" s="275"/>
      <c r="H2" s="275"/>
      <c r="I2" s="275"/>
    </row>
    <row r="3" spans="1:15" ht="17.399999999999999">
      <c r="C3" s="276"/>
      <c r="D3" s="276"/>
      <c r="E3" s="276"/>
      <c r="F3" s="276"/>
      <c r="G3" s="276"/>
      <c r="H3" s="276"/>
      <c r="I3" s="276"/>
    </row>
    <row r="4" spans="1:15" ht="17.399999999999999">
      <c r="C4" s="276"/>
      <c r="D4" s="276"/>
      <c r="E4" s="276"/>
      <c r="F4" s="276"/>
      <c r="G4" s="276"/>
      <c r="H4" s="276"/>
      <c r="I4" s="276"/>
    </row>
    <row r="5" spans="1:15" ht="17.399999999999999">
      <c r="C5" s="275"/>
      <c r="D5" s="275"/>
      <c r="E5" s="275"/>
      <c r="F5" s="275"/>
      <c r="G5" s="275"/>
      <c r="H5" s="275"/>
      <c r="I5" s="275"/>
    </row>
    <row r="6" spans="1:15" ht="17.399999999999999">
      <c r="C6" s="275"/>
      <c r="D6" s="275"/>
      <c r="E6" s="275"/>
      <c r="F6" s="275"/>
      <c r="G6" s="275"/>
      <c r="H6" s="275"/>
      <c r="I6" s="275"/>
    </row>
    <row r="7" spans="1:15" ht="17.399999999999999">
      <c r="C7" s="275"/>
      <c r="D7" s="275"/>
      <c r="E7" s="275"/>
      <c r="F7" s="275"/>
      <c r="G7" s="275"/>
      <c r="H7" s="275"/>
      <c r="I7" s="275"/>
    </row>
    <row r="8" spans="1:15" ht="17.399999999999999">
      <c r="C8" s="475">
        <f>'WA FTAA detail'!R8</f>
        <v>201907</v>
      </c>
      <c r="D8" s="475">
        <f>'WA FTAA detail'!S8</f>
        <v>201908</v>
      </c>
      <c r="E8" s="475">
        <f>'WA FTAA detail'!T8</f>
        <v>201909</v>
      </c>
      <c r="F8" s="475">
        <f>'WA FTAA detail'!U8</f>
        <v>201910</v>
      </c>
      <c r="G8" s="475">
        <f>'WA FTAA detail'!V8</f>
        <v>201911</v>
      </c>
      <c r="H8" s="475">
        <f>'WA FTAA detail'!W8</f>
        <v>201912</v>
      </c>
      <c r="I8" s="475">
        <f>'WA FTAA detail'!X8</f>
        <v>202001</v>
      </c>
      <c r="J8" s="475">
        <f>'WA FTAA detail'!Y8</f>
        <v>202002</v>
      </c>
      <c r="K8" s="475">
        <f>'WA FTAA detail'!Z8</f>
        <v>202003</v>
      </c>
      <c r="L8" s="475">
        <f>'WA FTAA detail'!AA8</f>
        <v>202004</v>
      </c>
      <c r="M8" s="475">
        <f>'WA FTAA detail'!AB8</f>
        <v>202005</v>
      </c>
      <c r="N8" s="475">
        <f>'WA FTAA detail'!AC8</f>
        <v>202006</v>
      </c>
      <c r="O8" s="278"/>
    </row>
    <row r="9" spans="1:15" ht="17.399999999999999">
      <c r="C9" s="303" t="s">
        <v>447</v>
      </c>
      <c r="D9" s="303" t="s">
        <v>447</v>
      </c>
      <c r="E9" s="303" t="s">
        <v>447</v>
      </c>
      <c r="F9" s="303" t="s">
        <v>447</v>
      </c>
      <c r="G9" s="303" t="s">
        <v>447</v>
      </c>
      <c r="H9" s="303" t="s">
        <v>447</v>
      </c>
      <c r="I9" s="303" t="s">
        <v>447</v>
      </c>
      <c r="J9" s="303" t="s">
        <v>447</v>
      </c>
      <c r="K9" s="303" t="s">
        <v>447</v>
      </c>
      <c r="L9" s="303" t="s">
        <v>447</v>
      </c>
      <c r="M9" s="303" t="s">
        <v>447</v>
      </c>
      <c r="N9" s="303" t="s">
        <v>447</v>
      </c>
      <c r="O9" s="303" t="s">
        <v>447</v>
      </c>
    </row>
    <row r="10" spans="1:15" ht="17.399999999999999">
      <c r="A10" s="367" t="s">
        <v>298</v>
      </c>
      <c r="B10" s="368" t="s">
        <v>299</v>
      </c>
      <c r="C10" s="304" t="s">
        <v>297</v>
      </c>
      <c r="D10" s="304" t="s">
        <v>297</v>
      </c>
      <c r="E10" s="304" t="s">
        <v>297</v>
      </c>
      <c r="F10" s="304" t="s">
        <v>297</v>
      </c>
      <c r="G10" s="304" t="s">
        <v>297</v>
      </c>
      <c r="H10" s="304" t="s">
        <v>297</v>
      </c>
      <c r="I10" s="304" t="s">
        <v>297</v>
      </c>
      <c r="J10" s="304" t="s">
        <v>297</v>
      </c>
      <c r="K10" s="304" t="s">
        <v>297</v>
      </c>
      <c r="L10" s="304" t="s">
        <v>297</v>
      </c>
      <c r="M10" s="304" t="s">
        <v>297</v>
      </c>
      <c r="N10" s="304" t="s">
        <v>297</v>
      </c>
      <c r="O10" s="304" t="s">
        <v>450</v>
      </c>
    </row>
    <row r="11" spans="1:15" ht="17.399999999999999"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</row>
    <row r="12" spans="1:15" ht="17.399999999999999">
      <c r="A12" s="367" t="s">
        <v>463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</row>
    <row r="13" spans="1:15" ht="17.399999999999999">
      <c r="A13" s="155" t="s">
        <v>463</v>
      </c>
      <c r="B13" s="368" t="s">
        <v>148</v>
      </c>
      <c r="C13" s="375">
        <f>'WA FTAA detail'!R12</f>
        <v>-232.58006</v>
      </c>
      <c r="D13" s="375">
        <f>'WA FTAA detail'!S12</f>
        <v>-231.06621999999999</v>
      </c>
      <c r="E13" s="375">
        <f>'WA FTAA detail'!T12</f>
        <v>-229.54939999999999</v>
      </c>
      <c r="F13" s="375">
        <f>'WA FTAA detail'!U12</f>
        <v>-228.07728</v>
      </c>
      <c r="G13" s="375">
        <f>'WA FTAA detail'!V12</f>
        <v>-223.55065999999999</v>
      </c>
      <c r="H13" s="375">
        <f>'WA FTAA detail'!W12</f>
        <v>-229.78482</v>
      </c>
      <c r="I13" s="375">
        <f>'WA FTAA detail'!X12</f>
        <v>-228.36037999999999</v>
      </c>
      <c r="J13" s="375">
        <f>'WA FTAA detail'!Y12</f>
        <v>-228.81631999999999</v>
      </c>
      <c r="K13" s="375">
        <f>'WA FTAA detail'!Z12</f>
        <v>-226.22669999999999</v>
      </c>
      <c r="L13" s="375">
        <f>'WA FTAA detail'!AA12</f>
        <v>-227.97</v>
      </c>
      <c r="M13" s="375">
        <f>'WA FTAA detail'!AB12</f>
        <v>-228.0445</v>
      </c>
      <c r="N13" s="375">
        <f>'WA FTAA detail'!AC12</f>
        <v>-223.74436</v>
      </c>
      <c r="O13" s="375">
        <f t="shared" ref="O13:O19" si="0">SUM(C13:N13)</f>
        <v>-2737.7707</v>
      </c>
    </row>
    <row r="14" spans="1:15" ht="17.399999999999999">
      <c r="A14" s="155" t="s">
        <v>463</v>
      </c>
      <c r="B14" s="368">
        <v>16</v>
      </c>
      <c r="C14" s="375">
        <f>'WA FTAA detail'!R13</f>
        <v>-244880.46631999998</v>
      </c>
      <c r="D14" s="375">
        <f>'WA FTAA detail'!S13</f>
        <v>-276854.94128999999</v>
      </c>
      <c r="E14" s="375">
        <f>'WA FTAA detail'!T13</f>
        <v>-250179.48273999998</v>
      </c>
      <c r="F14" s="375">
        <f>'WA FTAA detail'!U13</f>
        <v>-219839.47458999997</v>
      </c>
      <c r="G14" s="375">
        <f>'WA FTAA detail'!V13</f>
        <v>-307361.50453999999</v>
      </c>
      <c r="H14" s="375">
        <f>'WA FTAA detail'!W13</f>
        <v>-440463.30054999999</v>
      </c>
      <c r="I14" s="375">
        <f>'WA FTAA detail'!X13</f>
        <v>-420773.06070999999</v>
      </c>
      <c r="J14" s="375">
        <f>'WA FTAA detail'!Y13</f>
        <v>-357925.87600999995</v>
      </c>
      <c r="K14" s="375">
        <f>'WA FTAA detail'!Z13</f>
        <v>-310732.35707999999</v>
      </c>
      <c r="L14" s="375">
        <f>'WA FTAA detail'!AA13</f>
        <v>-267642.16198999999</v>
      </c>
      <c r="M14" s="375">
        <f>'WA FTAA detail'!AB13</f>
        <v>-206157.38161999997</v>
      </c>
      <c r="N14" s="375">
        <f>'WA FTAA detail'!AC13</f>
        <v>-215904.01447999998</v>
      </c>
      <c r="O14" s="375">
        <f t="shared" si="0"/>
        <v>-3518714.0219199997</v>
      </c>
    </row>
    <row r="15" spans="1:15" ht="17.399999999999999">
      <c r="A15" s="155" t="s">
        <v>463</v>
      </c>
      <c r="B15" s="368">
        <v>17</v>
      </c>
      <c r="C15" s="375">
        <f>'WA FTAA detail'!R14</f>
        <v>-10846.985839999999</v>
      </c>
      <c r="D15" s="375">
        <f>'WA FTAA detail'!S14</f>
        <v>-11768.936159999999</v>
      </c>
      <c r="E15" s="375">
        <f>'WA FTAA detail'!T14</f>
        <v>-10957.243339999999</v>
      </c>
      <c r="F15" s="375">
        <f>'WA FTAA detail'!U14</f>
        <v>-12111.883979999999</v>
      </c>
      <c r="G15" s="375">
        <f>'WA FTAA detail'!V14</f>
        <v>-18455.804099999998</v>
      </c>
      <c r="H15" s="375">
        <f>'WA FTAA detail'!W14</f>
        <v>-24656.064119999999</v>
      </c>
      <c r="I15" s="375">
        <f>'WA FTAA detail'!X14</f>
        <v>-24021.836469999998</v>
      </c>
      <c r="J15" s="375">
        <f>'WA FTAA detail'!Y14</f>
        <v>-20854.168619999997</v>
      </c>
      <c r="K15" s="375">
        <f>'WA FTAA detail'!Z14</f>
        <v>-17870.352439999999</v>
      </c>
      <c r="L15" s="375">
        <f>'WA FTAA detail'!AA14</f>
        <v>-14159.178979999999</v>
      </c>
      <c r="M15" s="375">
        <f>'WA FTAA detail'!AB14</f>
        <v>-10196.594319999998</v>
      </c>
      <c r="N15" s="375">
        <f>'WA FTAA detail'!AC14</f>
        <v>-10281.713109999999</v>
      </c>
      <c r="O15" s="375">
        <f t="shared" si="0"/>
        <v>-186180.76147999999</v>
      </c>
    </row>
    <row r="16" spans="1:15" ht="17.399999999999999">
      <c r="A16" s="155" t="s">
        <v>463</v>
      </c>
      <c r="B16" s="368">
        <v>18</v>
      </c>
      <c r="C16" s="375">
        <f>'WA FTAA detail'!R15</f>
        <v>-459.46890999999994</v>
      </c>
      <c r="D16" s="375">
        <f>'WA FTAA detail'!S15</f>
        <v>-500.90403999999995</v>
      </c>
      <c r="E16" s="375">
        <f>'WA FTAA detail'!T15</f>
        <v>-465.12517999999994</v>
      </c>
      <c r="F16" s="375">
        <f>'WA FTAA detail'!U15</f>
        <v>-383.18276999999995</v>
      </c>
      <c r="G16" s="375">
        <f>'WA FTAA detail'!V15</f>
        <v>-466.56153999999998</v>
      </c>
      <c r="H16" s="375">
        <f>'WA FTAA detail'!W15</f>
        <v>-587.72429</v>
      </c>
      <c r="I16" s="375">
        <f>'WA FTAA detail'!X15</f>
        <v>-591.55136999999991</v>
      </c>
      <c r="J16" s="375">
        <f>'WA FTAA detail'!Y15</f>
        <v>-512.90342999999996</v>
      </c>
      <c r="K16" s="375">
        <f>'WA FTAA detail'!Z15</f>
        <v>-483.24837999999994</v>
      </c>
      <c r="L16" s="375">
        <f>'WA FTAA detail'!AA15</f>
        <v>-448.69379999999995</v>
      </c>
      <c r="M16" s="375">
        <f>'WA FTAA detail'!AB15</f>
        <v>-363.44245999999998</v>
      </c>
      <c r="N16" s="375">
        <f>'WA FTAA detail'!AC15</f>
        <v>-392.04192999999998</v>
      </c>
      <c r="O16" s="375">
        <f t="shared" si="0"/>
        <v>-5654.8481000000002</v>
      </c>
    </row>
    <row r="17" spans="1:18" ht="17.399999999999999">
      <c r="A17" s="155" t="s">
        <v>463</v>
      </c>
      <c r="B17" s="368">
        <v>24</v>
      </c>
      <c r="C17" s="375">
        <f>'WA FTAA detail'!R16</f>
        <v>-3537.6911500000001</v>
      </c>
      <c r="D17" s="375">
        <f>'WA FTAA detail'!S16</f>
        <v>-3627.5044400000002</v>
      </c>
      <c r="E17" s="375">
        <f>'WA FTAA detail'!T16</f>
        <v>-3333.3899200000001</v>
      </c>
      <c r="F17" s="375">
        <f>'WA FTAA detail'!U16</f>
        <v>-2693.6394800000003</v>
      </c>
      <c r="G17" s="375">
        <f>'WA FTAA detail'!V16</f>
        <v>-3161.6722200000004</v>
      </c>
      <c r="H17" s="375">
        <f>'WA FTAA detail'!W16</f>
        <v>-4384.2661100000005</v>
      </c>
      <c r="I17" s="375">
        <f>'WA FTAA detail'!X16</f>
        <v>-4322.11157</v>
      </c>
      <c r="J17" s="375">
        <f>'WA FTAA detail'!Y16</f>
        <v>-3802.93298</v>
      </c>
      <c r="K17" s="375">
        <f>'WA FTAA detail'!Z16</f>
        <v>-3272.53458</v>
      </c>
      <c r="L17" s="375">
        <f>'WA FTAA detail'!AA16</f>
        <v>-3040.8872200000001</v>
      </c>
      <c r="M17" s="375">
        <f>'WA FTAA detail'!AB16</f>
        <v>-2876.2014400000003</v>
      </c>
      <c r="N17" s="375">
        <f>'WA FTAA detail'!AC16</f>
        <v>-3048.7209900000003</v>
      </c>
      <c r="O17" s="375">
        <f t="shared" si="0"/>
        <v>-41101.552100000001</v>
      </c>
    </row>
    <row r="18" spans="1:18" ht="17.399999999999999">
      <c r="A18" s="155" t="s">
        <v>463</v>
      </c>
      <c r="B18" s="368">
        <v>36</v>
      </c>
      <c r="C18" s="376">
        <f>'WA FTAA detail'!R17</f>
        <v>-209.22119999999998</v>
      </c>
      <c r="D18" s="376">
        <f>'WA FTAA detail'!S17</f>
        <v>-226.416</v>
      </c>
      <c r="E18" s="376">
        <f>'WA FTAA detail'!T17</f>
        <v>-216.76839999999999</v>
      </c>
      <c r="F18" s="376">
        <f>'WA FTAA detail'!U17</f>
        <v>-218.3348</v>
      </c>
      <c r="G18" s="376">
        <f>'WA FTAA detail'!V17</f>
        <v>-274.68959999999998</v>
      </c>
      <c r="H18" s="376">
        <f>'WA FTAA detail'!W17</f>
        <v>-350.83799999999997</v>
      </c>
      <c r="I18" s="376">
        <f>'WA FTAA detail'!X17</f>
        <v>-340.58519999999999</v>
      </c>
      <c r="J18" s="376">
        <f>'WA FTAA detail'!Y17</f>
        <v>-257.45920000000001</v>
      </c>
      <c r="K18" s="376">
        <f>'WA FTAA detail'!Z17</f>
        <v>-256.6404</v>
      </c>
      <c r="L18" s="376">
        <f>'WA FTAA detail'!AA17</f>
        <v>-215.13079999999999</v>
      </c>
      <c r="M18" s="376">
        <f>'WA FTAA detail'!AB17</f>
        <v>-155.39399999999998</v>
      </c>
      <c r="N18" s="376">
        <f>'WA FTAA detail'!AC17</f>
        <v>-173.69239999999999</v>
      </c>
      <c r="O18" s="376">
        <f t="shared" si="0"/>
        <v>-2895.1699999999996</v>
      </c>
    </row>
    <row r="19" spans="1:18" ht="17.399999999999999">
      <c r="A19" s="367" t="s">
        <v>300</v>
      </c>
      <c r="C19" s="468">
        <f t="shared" ref="C19" si="1">SUM(C13:C18)</f>
        <v>-260166.41347999999</v>
      </c>
      <c r="D19" s="468">
        <f t="shared" ref="D19:N19" si="2">SUM(D13:D18)</f>
        <v>-293209.76814999996</v>
      </c>
      <c r="E19" s="468">
        <f t="shared" si="2"/>
        <v>-265381.55897999997</v>
      </c>
      <c r="F19" s="468">
        <f t="shared" si="2"/>
        <v>-235474.59289999999</v>
      </c>
      <c r="G19" s="468">
        <f t="shared" si="2"/>
        <v>-329943.78266000003</v>
      </c>
      <c r="H19" s="468">
        <f t="shared" si="2"/>
        <v>-470671.97788999998</v>
      </c>
      <c r="I19" s="468">
        <f t="shared" si="2"/>
        <v>-450277.50569999998</v>
      </c>
      <c r="J19" s="468">
        <f t="shared" si="2"/>
        <v>-383582.15655999992</v>
      </c>
      <c r="K19" s="468">
        <f t="shared" si="2"/>
        <v>-332841.35957999993</v>
      </c>
      <c r="L19" s="468">
        <f t="shared" si="2"/>
        <v>-285734.02278999996</v>
      </c>
      <c r="M19" s="468">
        <f t="shared" si="2"/>
        <v>-219977.05833999996</v>
      </c>
      <c r="N19" s="468">
        <f t="shared" si="2"/>
        <v>-230023.92727000001</v>
      </c>
      <c r="O19" s="468">
        <f t="shared" si="0"/>
        <v>-3757284.1242999998</v>
      </c>
      <c r="Q19" s="365" t="s">
        <v>29</v>
      </c>
    </row>
    <row r="20" spans="1:18" ht="17.399999999999999"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</row>
    <row r="21" spans="1:18" ht="17.399999999999999">
      <c r="A21" s="367" t="s">
        <v>460</v>
      </c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</row>
    <row r="22" spans="1:18" ht="17.399999999999999">
      <c r="A22" s="155" t="s">
        <v>460</v>
      </c>
      <c r="B22" s="368" t="s">
        <v>139</v>
      </c>
      <c r="C22" s="375">
        <f>'WA FTAA detail'!R18</f>
        <v>-480.54288000000003</v>
      </c>
      <c r="D22" s="375">
        <f>'WA FTAA detail'!S18</f>
        <v>-474.95537999999999</v>
      </c>
      <c r="E22" s="375">
        <f>'WA FTAA detail'!T18</f>
        <v>-479.66973999999999</v>
      </c>
      <c r="F22" s="375">
        <f>'WA FTAA detail'!U18</f>
        <v>-475.02690000000001</v>
      </c>
      <c r="G22" s="375">
        <f>'WA FTAA detail'!V18</f>
        <v>-473.39087999999998</v>
      </c>
      <c r="H22" s="375">
        <f>'WA FTAA detail'!W18</f>
        <v>-480.24189999999999</v>
      </c>
      <c r="I22" s="375">
        <f>'WA FTAA detail'!X18</f>
        <v>-474.70208000000002</v>
      </c>
      <c r="J22" s="375">
        <f>'WA FTAA detail'!Y18</f>
        <v>-469.85064</v>
      </c>
      <c r="K22" s="375">
        <f>'WA FTAA detail'!Z18</f>
        <v>-475.06862000000001</v>
      </c>
      <c r="L22" s="375">
        <f>'WA FTAA detail'!AA18</f>
        <v>-470.06222000000002</v>
      </c>
      <c r="M22" s="375">
        <f>'WA FTAA detail'!AB18</f>
        <v>-470.4228</v>
      </c>
      <c r="N22" s="375">
        <f>'WA FTAA detail'!AC18</f>
        <v>-475.00902000000002</v>
      </c>
      <c r="O22" s="375">
        <f t="shared" ref="O22:O27" si="3">SUM(C22:N22)</f>
        <v>-5698.9430600000005</v>
      </c>
    </row>
    <row r="23" spans="1:18" ht="17.399999999999999">
      <c r="A23" s="155" t="s">
        <v>460</v>
      </c>
      <c r="B23" s="368">
        <v>24</v>
      </c>
      <c r="C23" s="375">
        <f>'WA FTAA detail'!R19+'WA FTAA detail'!R21</f>
        <v>-88247.189660000004</v>
      </c>
      <c r="D23" s="375">
        <f>'WA FTAA detail'!S19+'WA FTAA detail'!S21</f>
        <v>-95146.353750000009</v>
      </c>
      <c r="E23" s="375">
        <f>'WA FTAA detail'!T19+'WA FTAA detail'!T21</f>
        <v>-93963.257570000002</v>
      </c>
      <c r="F23" s="375">
        <f>'WA FTAA detail'!U19+'WA FTAA detail'!U21</f>
        <v>-78833.363070000007</v>
      </c>
      <c r="G23" s="375">
        <f>'WA FTAA detail'!V19+'WA FTAA detail'!V21</f>
        <v>-81274.407620000013</v>
      </c>
      <c r="H23" s="375">
        <f>'WA FTAA detail'!W19+'WA FTAA detail'!W21</f>
        <v>-98508.009390000007</v>
      </c>
      <c r="I23" s="375">
        <f>'WA FTAA detail'!X19+'WA FTAA detail'!X21</f>
        <v>-96529.68101</v>
      </c>
      <c r="J23" s="375">
        <f>'WA FTAA detail'!Y19+'WA FTAA detail'!Y21</f>
        <v>-87344.948040000003</v>
      </c>
      <c r="K23" s="375">
        <f>'WA FTAA detail'!Z19+'WA FTAA detail'!Z21</f>
        <v>-80812.761259999999</v>
      </c>
      <c r="L23" s="375">
        <f>'WA FTAA detail'!AA19+'WA FTAA detail'!AA21</f>
        <v>-70415.860480000003</v>
      </c>
      <c r="M23" s="375">
        <f>'WA FTAA detail'!AB19+'WA FTAA detail'!AB21</f>
        <v>-66252.511150000006</v>
      </c>
      <c r="N23" s="375">
        <f>'WA FTAA detail'!AC19+'WA FTAA detail'!AC21</f>
        <v>-71921.562229999996</v>
      </c>
      <c r="O23" s="375">
        <f t="shared" si="3"/>
        <v>-1009249.90523</v>
      </c>
    </row>
    <row r="24" spans="1:18" ht="17.399999999999999">
      <c r="A24" s="155" t="s">
        <v>460</v>
      </c>
      <c r="B24" s="369">
        <v>36</v>
      </c>
      <c r="C24" s="375">
        <f>'WA FTAA detail'!R20</f>
        <v>-126232.49673999999</v>
      </c>
      <c r="D24" s="375">
        <f>'WA FTAA detail'!S20</f>
        <v>-122134.16065999999</v>
      </c>
      <c r="E24" s="375">
        <f>'WA FTAA detail'!T20</f>
        <v>-143264.33596</v>
      </c>
      <c r="F24" s="375">
        <f>'WA FTAA detail'!U20</f>
        <v>-133620.32799999998</v>
      </c>
      <c r="G24" s="375">
        <f>'WA FTAA detail'!V20</f>
        <v>-134371.46664</v>
      </c>
      <c r="H24" s="375">
        <f>'WA FTAA detail'!W20</f>
        <v>-139486.41946</v>
      </c>
      <c r="I24" s="375">
        <f>'WA FTAA detail'!X20</f>
        <v>-132165.38803999999</v>
      </c>
      <c r="J24" s="375">
        <f>'WA FTAA detail'!Y20</f>
        <v>-128431.31116</v>
      </c>
      <c r="K24" s="375">
        <f>'WA FTAA detail'!Z20</f>
        <v>-110319.78623999999</v>
      </c>
      <c r="L24" s="375">
        <f>'WA FTAA detail'!AA20</f>
        <v>-103579.45845999999</v>
      </c>
      <c r="M24" s="375">
        <f>'WA FTAA detail'!AB20</f>
        <v>-96290.744719999988</v>
      </c>
      <c r="N24" s="375">
        <f>'WA FTAA detail'!AC20</f>
        <v>-106628.33323999999</v>
      </c>
      <c r="O24" s="375">
        <f t="shared" si="3"/>
        <v>-1476524.2293200002</v>
      </c>
    </row>
    <row r="25" spans="1:18" ht="17.399999999999999">
      <c r="A25" s="155" t="s">
        <v>460</v>
      </c>
      <c r="B25" s="368" t="s">
        <v>143</v>
      </c>
      <c r="C25" s="375">
        <f>'WA FTAA detail'!R22</f>
        <v>-24863.467199999999</v>
      </c>
      <c r="D25" s="375">
        <f>'WA FTAA detail'!S22</f>
        <v>-25245.691999999999</v>
      </c>
      <c r="E25" s="375">
        <f>'WA FTAA detail'!T22</f>
        <v>-27107.857599999999</v>
      </c>
      <c r="F25" s="375">
        <f>'WA FTAA detail'!U22</f>
        <v>-25322.504000000001</v>
      </c>
      <c r="G25" s="375">
        <f>'WA FTAA detail'!V22</f>
        <v>-28581.878399999998</v>
      </c>
      <c r="H25" s="375">
        <f>'WA FTAA detail'!W22</f>
        <v>-26793.860799999999</v>
      </c>
      <c r="I25" s="375">
        <f>'WA FTAA detail'!X22</f>
        <v>-25085.526399999999</v>
      </c>
      <c r="J25" s="375">
        <f>'WA FTAA detail'!Y22</f>
        <v>-22312.154399999999</v>
      </c>
      <c r="K25" s="375">
        <f>'WA FTAA detail'!Z22</f>
        <v>-20921.309600000001</v>
      </c>
      <c r="L25" s="375">
        <f>'WA FTAA detail'!AA22</f>
        <v>-20725.801599999999</v>
      </c>
      <c r="M25" s="375">
        <f>'WA FTAA detail'!AB22</f>
        <v>-19889.838400000001</v>
      </c>
      <c r="N25" s="375">
        <f>'WA FTAA detail'!AC22</f>
        <v>-23054.1672</v>
      </c>
      <c r="O25" s="375">
        <f t="shared" si="3"/>
        <v>-289904.0576</v>
      </c>
    </row>
    <row r="26" spans="1:18" ht="17.399999999999999">
      <c r="A26" s="155" t="s">
        <v>460</v>
      </c>
      <c r="B26" s="368">
        <v>54</v>
      </c>
      <c r="C26" s="376">
        <f>'WA FTAA detail'!R23</f>
        <v>-85.7346</v>
      </c>
      <c r="D26" s="376">
        <f>'WA FTAA detail'!S23</f>
        <v>-66.069580000000002</v>
      </c>
      <c r="E26" s="376">
        <f>'WA FTAA detail'!T23</f>
        <v>-55.526339999999998</v>
      </c>
      <c r="F26" s="376">
        <f>'WA FTAA detail'!U23</f>
        <v>-84.685640000000006</v>
      </c>
      <c r="G26" s="376">
        <f>'WA FTAA detail'!V23</f>
        <v>-103.24806</v>
      </c>
      <c r="H26" s="376">
        <f>'WA FTAA detail'!W23</f>
        <v>-75.373140000000006</v>
      </c>
      <c r="I26" s="376">
        <f>'WA FTAA detail'!X23</f>
        <v>-63.903120000000001</v>
      </c>
      <c r="J26" s="376">
        <f>'WA FTAA detail'!Y23</f>
        <v>-65.092140000000001</v>
      </c>
      <c r="K26" s="376">
        <f>'WA FTAA detail'!Z23</f>
        <v>-80.379540000000006</v>
      </c>
      <c r="L26" s="376">
        <f>'WA FTAA detail'!AA23</f>
        <v>-40.796199999999999</v>
      </c>
      <c r="M26" s="376">
        <f>'WA FTAA detail'!AB23</f>
        <v>-28.661639999999998</v>
      </c>
      <c r="N26" s="376">
        <f>'WA FTAA detail'!AC23</f>
        <v>-24.719100000000001</v>
      </c>
      <c r="O26" s="376">
        <f t="shared" si="3"/>
        <v>-774.18910000000017</v>
      </c>
    </row>
    <row r="27" spans="1:18" ht="17.399999999999999">
      <c r="A27" s="367" t="s">
        <v>301</v>
      </c>
      <c r="C27" s="468">
        <f t="shared" ref="C27" si="4">SUM(C22:C26)</f>
        <v>-239909.43107999998</v>
      </c>
      <c r="D27" s="468">
        <f t="shared" ref="D27" si="5">SUM(D22:D26)</f>
        <v>-243067.23137000002</v>
      </c>
      <c r="E27" s="468">
        <f t="shared" ref="E27" si="6">SUM(E22:E26)</f>
        <v>-264870.64720999997</v>
      </c>
      <c r="F27" s="468">
        <f t="shared" ref="F27" si="7">SUM(F22:F26)</f>
        <v>-238335.90761000002</v>
      </c>
      <c r="G27" s="468">
        <f t="shared" ref="G27" si="8">SUM(G22:G26)</f>
        <v>-244804.39160000003</v>
      </c>
      <c r="H27" s="468">
        <f t="shared" ref="H27" si="9">SUM(H22:H26)</f>
        <v>-265343.90469</v>
      </c>
      <c r="I27" s="468">
        <f t="shared" ref="I27" si="10">SUM(I22:I26)</f>
        <v>-254319.20065000001</v>
      </c>
      <c r="J27" s="468">
        <f t="shared" ref="J27" si="11">SUM(J22:J26)</f>
        <v>-238623.35637999998</v>
      </c>
      <c r="K27" s="468">
        <f t="shared" ref="K27" si="12">SUM(K22:K26)</f>
        <v>-212609.30525999999</v>
      </c>
      <c r="L27" s="468">
        <f t="shared" ref="L27" si="13">SUM(L22:L26)</f>
        <v>-195231.97896000001</v>
      </c>
      <c r="M27" s="468">
        <f t="shared" ref="M27" si="14">SUM(M22:M26)</f>
        <v>-182932.17871000001</v>
      </c>
      <c r="N27" s="468">
        <f t="shared" ref="N27" si="15">SUM(N22:N26)</f>
        <v>-202103.79078999997</v>
      </c>
      <c r="O27" s="468">
        <f t="shared" si="3"/>
        <v>-2782151.3243100001</v>
      </c>
    </row>
    <row r="28" spans="1:18" ht="17.399999999999999"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</row>
    <row r="29" spans="1:18" ht="17.399999999999999">
      <c r="A29" s="367" t="s">
        <v>461</v>
      </c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</row>
    <row r="30" spans="1:18" ht="17.399999999999999">
      <c r="A30" s="367" t="s">
        <v>461</v>
      </c>
      <c r="B30" s="368" t="s">
        <v>139</v>
      </c>
      <c r="C30" s="375">
        <f>'WA FTAA detail'!R24</f>
        <v>-33.96902</v>
      </c>
      <c r="D30" s="375">
        <f>'WA FTAA detail'!S24</f>
        <v>-27.85406</v>
      </c>
      <c r="E30" s="375">
        <f>'WA FTAA detail'!T24</f>
        <v>-30.658239999999999</v>
      </c>
      <c r="F30" s="375">
        <f>'WA FTAA detail'!U24</f>
        <v>-31.3049</v>
      </c>
      <c r="G30" s="375">
        <f>'WA FTAA detail'!V24</f>
        <v>-29.57948</v>
      </c>
      <c r="H30" s="375">
        <f>'WA FTAA detail'!W24</f>
        <v>-29.892379999999999</v>
      </c>
      <c r="I30" s="375">
        <f>'WA FTAA detail'!X24</f>
        <v>-30.96518</v>
      </c>
      <c r="J30" s="375">
        <f>'WA FTAA detail'!Y24</f>
        <v>-30.571819999999999</v>
      </c>
      <c r="K30" s="375">
        <f>'WA FTAA detail'!Z24</f>
        <v>-31.79064</v>
      </c>
      <c r="L30" s="375">
        <f>'WA FTAA detail'!AA24</f>
        <v>-29.353000000000002</v>
      </c>
      <c r="M30" s="375">
        <f>'WA FTAA detail'!AB24</f>
        <v>-30.34534</v>
      </c>
      <c r="N30" s="375">
        <f>'WA FTAA detail'!AC24</f>
        <v>-31.1112</v>
      </c>
      <c r="O30" s="375">
        <f t="shared" ref="O30:O35" si="16">SUM(C30:N30)</f>
        <v>-367.39526000000006</v>
      </c>
      <c r="R30" s="365" t="s">
        <v>29</v>
      </c>
    </row>
    <row r="31" spans="1:18" ht="17.399999999999999">
      <c r="A31" s="367" t="s">
        <v>461</v>
      </c>
      <c r="B31" s="368">
        <v>24</v>
      </c>
      <c r="C31" s="375">
        <f>'WA FTAA detail'!R25</f>
        <v>-2744.3854200000001</v>
      </c>
      <c r="D31" s="375">
        <f>'WA FTAA detail'!S25</f>
        <v>-2770.48513</v>
      </c>
      <c r="E31" s="375">
        <f>'WA FTAA detail'!T25</f>
        <v>-2736.0746000000004</v>
      </c>
      <c r="F31" s="375">
        <f>'WA FTAA detail'!U25</f>
        <v>-2499.3157000000001</v>
      </c>
      <c r="G31" s="375">
        <f>'WA FTAA detail'!V25</f>
        <v>-2578.5587800000003</v>
      </c>
      <c r="H31" s="375">
        <f>'WA FTAA detail'!W25</f>
        <v>-2906.29619</v>
      </c>
      <c r="I31" s="375">
        <f>'WA FTAA detail'!X25</f>
        <v>-2793.25767</v>
      </c>
      <c r="J31" s="375">
        <f>'WA FTAA detail'!Y25</f>
        <v>-2688.0001400000001</v>
      </c>
      <c r="K31" s="375">
        <f>'WA FTAA detail'!Z25</f>
        <v>-2491.7986100000003</v>
      </c>
      <c r="L31" s="375">
        <f>'WA FTAA detail'!AA25</f>
        <v>-2181.9191100000003</v>
      </c>
      <c r="M31" s="375">
        <f>'WA FTAA detail'!AB25</f>
        <v>-2099.5904300000002</v>
      </c>
      <c r="N31" s="375">
        <f>'WA FTAA detail'!AC25</f>
        <v>-2246.3756700000004</v>
      </c>
      <c r="O31" s="375">
        <f t="shared" si="16"/>
        <v>-30736.05745</v>
      </c>
    </row>
    <row r="32" spans="1:18" ht="17.399999999999999">
      <c r="A32" s="367" t="s">
        <v>461</v>
      </c>
      <c r="B32" s="369">
        <v>36</v>
      </c>
      <c r="C32" s="375">
        <f>'WA FTAA detail'!R26</f>
        <v>-15500.916399999998</v>
      </c>
      <c r="D32" s="375">
        <f>'WA FTAA detail'!S26</f>
        <v>-14182.328</v>
      </c>
      <c r="E32" s="375">
        <f>'WA FTAA detail'!T26</f>
        <v>-16983.407199999998</v>
      </c>
      <c r="F32" s="375">
        <f>'WA FTAA detail'!U26</f>
        <v>-17625.737999999998</v>
      </c>
      <c r="G32" s="375">
        <f>'WA FTAA detail'!V26</f>
        <v>-15634.416399999998</v>
      </c>
      <c r="H32" s="375">
        <f>'WA FTAA detail'!W26</f>
        <v>-15360.403199999999</v>
      </c>
      <c r="I32" s="375">
        <f>'WA FTAA detail'!X26</f>
        <v>-13625.9712</v>
      </c>
      <c r="J32" s="375">
        <f>'WA FTAA detail'!Y26</f>
        <v>-13451.62732</v>
      </c>
      <c r="K32" s="375">
        <f>'WA FTAA detail'!Z26</f>
        <v>-13506.568799999999</v>
      </c>
      <c r="L32" s="375">
        <f>'WA FTAA detail'!AA26</f>
        <v>-12749.25</v>
      </c>
      <c r="M32" s="375">
        <f>'WA FTAA detail'!AB26</f>
        <v>-12161.7076</v>
      </c>
      <c r="N32" s="375">
        <f>'WA FTAA detail'!AC26</f>
        <v>-11250.49</v>
      </c>
      <c r="O32" s="375">
        <f t="shared" si="16"/>
        <v>-172032.82411999998</v>
      </c>
    </row>
    <row r="33" spans="1:15" ht="17.399999999999999">
      <c r="A33" s="367" t="s">
        <v>461</v>
      </c>
      <c r="B33" s="368">
        <v>47</v>
      </c>
      <c r="C33" s="375">
        <f>'WA FTAA detail'!R27</f>
        <v>-142.07999999999998</v>
      </c>
      <c r="D33" s="375">
        <f>'WA FTAA detail'!S27</f>
        <v>-167.24</v>
      </c>
      <c r="E33" s="375">
        <f>'WA FTAA detail'!T27</f>
        <v>-222</v>
      </c>
      <c r="F33" s="375">
        <f>'WA FTAA detail'!U27</f>
        <v>-155.4</v>
      </c>
      <c r="G33" s="375">
        <f>'WA FTAA detail'!V27</f>
        <v>-777</v>
      </c>
      <c r="H33" s="375">
        <f>'WA FTAA detail'!W27</f>
        <v>-424.68599999999998</v>
      </c>
      <c r="I33" s="375">
        <f>'WA FTAA detail'!X27</f>
        <v>0</v>
      </c>
      <c r="J33" s="375">
        <f>'WA FTAA detail'!Y27</f>
        <v>-48.839999999999996</v>
      </c>
      <c r="K33" s="375">
        <f>'WA FTAA detail'!Z27</f>
        <v>-105.08</v>
      </c>
      <c r="L33" s="375">
        <f>'WA FTAA detail'!AA27</f>
        <v>-211.64</v>
      </c>
      <c r="M33" s="375">
        <f>'WA FTAA detail'!AB27</f>
        <v>-143.56</v>
      </c>
      <c r="N33" s="375">
        <f>'WA FTAA detail'!AC27</f>
        <v>-174.64</v>
      </c>
      <c r="O33" s="375">
        <f t="shared" si="16"/>
        <v>-2572.1659999999993</v>
      </c>
    </row>
    <row r="34" spans="1:15" ht="17.399999999999999">
      <c r="A34" s="367" t="s">
        <v>461</v>
      </c>
      <c r="B34" s="368" t="s">
        <v>143</v>
      </c>
      <c r="C34" s="376">
        <f>'WA FTAA detail'!R28</f>
        <v>-88498.672000000006</v>
      </c>
      <c r="D34" s="376">
        <f>'WA FTAA detail'!S28</f>
        <v>-84186.47</v>
      </c>
      <c r="E34" s="376">
        <f>'WA FTAA detail'!T28</f>
        <v>-84010.941999999995</v>
      </c>
      <c r="F34" s="376">
        <f>'WA FTAA detail'!U28</f>
        <v>-81647.308000000005</v>
      </c>
      <c r="G34" s="376">
        <f>'WA FTAA detail'!V28</f>
        <v>-85724.042000000001</v>
      </c>
      <c r="H34" s="376">
        <f>'WA FTAA detail'!W28</f>
        <v>-81790.127999999997</v>
      </c>
      <c r="I34" s="376">
        <f>'WA FTAA detail'!X28</f>
        <v>-83834.081999999995</v>
      </c>
      <c r="J34" s="376">
        <f>'WA FTAA detail'!Y28</f>
        <v>-84579.631999999998</v>
      </c>
      <c r="K34" s="376">
        <f>'WA FTAA detail'!Z28</f>
        <v>-85382.161999999997</v>
      </c>
      <c r="L34" s="376">
        <f>'WA FTAA detail'!AA28</f>
        <v>-83411.097999999998</v>
      </c>
      <c r="M34" s="376">
        <f>'WA FTAA detail'!AB28</f>
        <v>-78792.165999999997</v>
      </c>
      <c r="N34" s="376">
        <f>'WA FTAA detail'!AC28</f>
        <v>-89095.038</v>
      </c>
      <c r="O34" s="376">
        <f t="shared" si="16"/>
        <v>-1010951.74</v>
      </c>
    </row>
    <row r="35" spans="1:15" ht="17.399999999999999">
      <c r="A35" s="367" t="s">
        <v>302</v>
      </c>
      <c r="C35" s="468">
        <f t="shared" ref="C35" si="17">SUM(C30:C34)</f>
        <v>-106920.02284000001</v>
      </c>
      <c r="D35" s="468">
        <f t="shared" ref="D35:N35" si="18">SUM(D30:D34)</f>
        <v>-101334.37719</v>
      </c>
      <c r="E35" s="468">
        <f t="shared" si="18"/>
        <v>-103983.08203999999</v>
      </c>
      <c r="F35" s="468">
        <f t="shared" si="18"/>
        <v>-101959.06660000001</v>
      </c>
      <c r="G35" s="468">
        <f t="shared" si="18"/>
        <v>-104743.59666</v>
      </c>
      <c r="H35" s="468">
        <f t="shared" si="18"/>
        <v>-100511.40577</v>
      </c>
      <c r="I35" s="468">
        <f t="shared" si="18"/>
        <v>-100284.27604999999</v>
      </c>
      <c r="J35" s="468">
        <f t="shared" si="18"/>
        <v>-100798.67128</v>
      </c>
      <c r="K35" s="468">
        <f t="shared" si="18"/>
        <v>-101517.40005</v>
      </c>
      <c r="L35" s="468">
        <f t="shared" si="18"/>
        <v>-98583.260110000003</v>
      </c>
      <c r="M35" s="468">
        <f t="shared" si="18"/>
        <v>-93227.36937</v>
      </c>
      <c r="N35" s="468">
        <f t="shared" si="18"/>
        <v>-102797.65487</v>
      </c>
      <c r="O35" s="468">
        <f t="shared" si="16"/>
        <v>-1216660.1828300001</v>
      </c>
    </row>
    <row r="36" spans="1:15" ht="17.399999999999999"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</row>
    <row r="37" spans="1:15" ht="17.399999999999999">
      <c r="A37" s="367" t="s">
        <v>433</v>
      </c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</row>
    <row r="38" spans="1:15" ht="17.399999999999999">
      <c r="A38" s="367" t="s">
        <v>433</v>
      </c>
      <c r="B38" s="368">
        <v>40</v>
      </c>
      <c r="C38" s="376">
        <f>'WA FTAA detail'!R29</f>
        <v>-68807.119200000001</v>
      </c>
      <c r="D38" s="376">
        <f>'WA FTAA detail'!S29</f>
        <v>-69374.963400000008</v>
      </c>
      <c r="E38" s="376">
        <f>'WA FTAA detail'!T29</f>
        <v>-59458.449960000005</v>
      </c>
      <c r="F38" s="376">
        <f>'WA FTAA detail'!U29</f>
        <v>-28534.716240000002</v>
      </c>
      <c r="G38" s="376">
        <f>'WA FTAA detail'!V29</f>
        <v>-14531.02404</v>
      </c>
      <c r="H38" s="376">
        <f>'WA FTAA detail'!W29</f>
        <v>-3460.42956</v>
      </c>
      <c r="I38" s="376">
        <f>'WA FTAA detail'!X29</f>
        <v>-1251.2952</v>
      </c>
      <c r="J38" s="376">
        <f>'WA FTAA detail'!Y29</f>
        <v>-1091.03484</v>
      </c>
      <c r="K38" s="376">
        <f>'WA FTAA detail'!Z29</f>
        <v>-5319.7263600000006</v>
      </c>
      <c r="L38" s="376">
        <f>'WA FTAA detail'!AA29</f>
        <v>-16598.99856</v>
      </c>
      <c r="M38" s="376">
        <f>'WA FTAA detail'!AB29</f>
        <v>-33276.053640000006</v>
      </c>
      <c r="N38" s="376">
        <f>'WA FTAA detail'!AC29</f>
        <v>-41787.119280000006</v>
      </c>
      <c r="O38" s="376">
        <f>SUM(C38:N38)</f>
        <v>-343490.93027999997</v>
      </c>
    </row>
    <row r="39" spans="1:15" ht="17.399999999999999">
      <c r="A39" s="367" t="s">
        <v>303</v>
      </c>
      <c r="C39" s="468">
        <f t="shared" ref="C39" si="19">C38</f>
        <v>-68807.119200000001</v>
      </c>
      <c r="D39" s="468">
        <f t="shared" ref="D39:N39" si="20">D38</f>
        <v>-69374.963400000008</v>
      </c>
      <c r="E39" s="468">
        <f t="shared" si="20"/>
        <v>-59458.449960000005</v>
      </c>
      <c r="F39" s="468">
        <f t="shared" si="20"/>
        <v>-28534.716240000002</v>
      </c>
      <c r="G39" s="468">
        <f t="shared" si="20"/>
        <v>-14531.02404</v>
      </c>
      <c r="H39" s="468">
        <f t="shared" si="20"/>
        <v>-3460.42956</v>
      </c>
      <c r="I39" s="468">
        <f t="shared" si="20"/>
        <v>-1251.2952</v>
      </c>
      <c r="J39" s="468">
        <f t="shared" si="20"/>
        <v>-1091.03484</v>
      </c>
      <c r="K39" s="468">
        <f t="shared" si="20"/>
        <v>-5319.7263600000006</v>
      </c>
      <c r="L39" s="468">
        <f t="shared" si="20"/>
        <v>-16598.99856</v>
      </c>
      <c r="M39" s="468">
        <f t="shared" si="20"/>
        <v>-33276.053640000006</v>
      </c>
      <c r="N39" s="468">
        <f t="shared" si="20"/>
        <v>-41787.119280000006</v>
      </c>
      <c r="O39" s="468">
        <f>SUM(C39:N39)</f>
        <v>-343490.93027999997</v>
      </c>
    </row>
    <row r="40" spans="1:15" ht="17.399999999999999"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</row>
    <row r="41" spans="1:15" ht="17.399999999999999">
      <c r="A41" s="367" t="s">
        <v>462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</row>
    <row r="42" spans="1:15" ht="17.399999999999999">
      <c r="A42" s="367" t="s">
        <v>462</v>
      </c>
      <c r="B42" s="369">
        <v>51</v>
      </c>
      <c r="C42" s="375">
        <f>'WA FTAA detail'!R30</f>
        <v>-851.72274000000004</v>
      </c>
      <c r="D42" s="375">
        <f>'WA FTAA detail'!S30</f>
        <v>-812.80989999999997</v>
      </c>
      <c r="E42" s="375">
        <f>'WA FTAA detail'!T30</f>
        <v>-789.10698000000002</v>
      </c>
      <c r="F42" s="375">
        <f>'WA FTAA detail'!U30</f>
        <v>-770.62501999999995</v>
      </c>
      <c r="G42" s="375">
        <f>'WA FTAA detail'!V30</f>
        <v>-647.37519999999995</v>
      </c>
      <c r="H42" s="375">
        <f>'WA FTAA detail'!W30</f>
        <v>-618.21292000000005</v>
      </c>
      <c r="I42" s="375">
        <f>'WA FTAA detail'!X30</f>
        <v>-626.6046</v>
      </c>
      <c r="J42" s="375">
        <f>'WA FTAA detail'!Y30</f>
        <v>-636.18529999999998</v>
      </c>
      <c r="K42" s="375">
        <f>'WA FTAA detail'!Z30</f>
        <v>-616.64544000000001</v>
      </c>
      <c r="L42" s="375">
        <f>'WA FTAA detail'!AA30</f>
        <v>-598.71478000000002</v>
      </c>
      <c r="M42" s="375">
        <f>'WA FTAA detail'!AB30</f>
        <v>-600.52959999999996</v>
      </c>
      <c r="N42" s="375">
        <f>'WA FTAA detail'!AC30</f>
        <v>-630.22529999999995</v>
      </c>
      <c r="O42" s="375">
        <f>SUM(C42:N42)</f>
        <v>-8198.7577799999999</v>
      </c>
    </row>
    <row r="43" spans="1:15" ht="17.399999999999999">
      <c r="A43" s="367" t="s">
        <v>462</v>
      </c>
      <c r="B43" s="369">
        <v>52</v>
      </c>
      <c r="C43" s="375">
        <f>'WA FTAA detail'!R31</f>
        <v>-30.28276</v>
      </c>
      <c r="D43" s="375">
        <f>'WA FTAA detail'!S31</f>
        <v>-10.397220000000001</v>
      </c>
      <c r="E43" s="375">
        <f>'WA FTAA detail'!T31</f>
        <v>-4.3269599999999997</v>
      </c>
      <c r="F43" s="375">
        <f>'WA FTAA detail'!U31</f>
        <v>-4.3269599999999997</v>
      </c>
      <c r="G43" s="375">
        <f>'WA FTAA detail'!V31</f>
        <v>-4.4580799999999998</v>
      </c>
      <c r="H43" s="375">
        <f>'WA FTAA detail'!W31</f>
        <v>-3.9782999999999999</v>
      </c>
      <c r="I43" s="375">
        <f>'WA FTAA detail'!X31</f>
        <v>-4.2405400000000002</v>
      </c>
      <c r="J43" s="375">
        <f>'WA FTAA detail'!Y31</f>
        <v>-4.1094200000000001</v>
      </c>
      <c r="K43" s="375">
        <f>'WA FTAA detail'!Z31</f>
        <v>-4.1094200000000001</v>
      </c>
      <c r="L43" s="375">
        <f>'WA FTAA detail'!AA31</f>
        <v>-4.1988200000000004</v>
      </c>
      <c r="M43" s="375">
        <f>'WA FTAA detail'!AB31</f>
        <v>-3.4717000000000002</v>
      </c>
      <c r="N43" s="375">
        <f>'WA FTAA detail'!AC31</f>
        <v>-3.4717000000000002</v>
      </c>
      <c r="O43" s="375">
        <f>SUM(C43:N43)</f>
        <v>-81.37187999999999</v>
      </c>
    </row>
    <row r="44" spans="1:15" ht="17.399999999999999">
      <c r="A44" s="367" t="s">
        <v>462</v>
      </c>
      <c r="B44" s="369" t="s">
        <v>146</v>
      </c>
      <c r="C44" s="375">
        <f>'WA FTAA detail'!R32</f>
        <v>-864.65891999999997</v>
      </c>
      <c r="D44" s="375">
        <f>'WA FTAA detail'!S32</f>
        <v>-880.67939999999999</v>
      </c>
      <c r="E44" s="375">
        <f>'WA FTAA detail'!T32</f>
        <v>-881.34096</v>
      </c>
      <c r="F44" s="375">
        <f>'WA FTAA detail'!U32</f>
        <v>-911.31677999999999</v>
      </c>
      <c r="G44" s="375">
        <f>'WA FTAA detail'!V32</f>
        <v>-943.87626</v>
      </c>
      <c r="H44" s="375">
        <f>'WA FTAA detail'!W32</f>
        <v>-975.80398000000002</v>
      </c>
      <c r="I44" s="375">
        <f>'WA FTAA detail'!X32</f>
        <v>-991.69632000000001</v>
      </c>
      <c r="J44" s="375">
        <f>'WA FTAA detail'!Y32</f>
        <v>-949.47270000000003</v>
      </c>
      <c r="K44" s="375">
        <f>'WA FTAA detail'!Z32</f>
        <v>-921.06435999999997</v>
      </c>
      <c r="L44" s="375">
        <f>'WA FTAA detail'!AA32</f>
        <v>-895.9221</v>
      </c>
      <c r="M44" s="375">
        <f>'WA FTAA detail'!AB32</f>
        <v>-505.65534000000002</v>
      </c>
      <c r="N44" s="375">
        <f>'WA FTAA detail'!AC32</f>
        <v>-485.41518000000002</v>
      </c>
      <c r="O44" s="375">
        <f>SUM(C44:N44)</f>
        <v>-10206.9023</v>
      </c>
    </row>
    <row r="45" spans="1:15" ht="17.399999999999999">
      <c r="A45" s="367" t="s">
        <v>462</v>
      </c>
      <c r="B45" s="368">
        <v>57</v>
      </c>
      <c r="C45" s="376">
        <f>'WA FTAA detail'!R33</f>
        <v>-356.29178000000002</v>
      </c>
      <c r="D45" s="376">
        <f>'WA FTAA detail'!S33</f>
        <v>-284.45888000000002</v>
      </c>
      <c r="E45" s="376">
        <f>'WA FTAA detail'!T33</f>
        <v>-247.40258</v>
      </c>
      <c r="F45" s="376">
        <f>'WA FTAA detail'!U33</f>
        <v>-227.32929999999999</v>
      </c>
      <c r="G45" s="376">
        <f>'WA FTAA detail'!V33</f>
        <v>-202.99760000000001</v>
      </c>
      <c r="H45" s="376">
        <f>'WA FTAA detail'!W33</f>
        <v>-175.89152000000001</v>
      </c>
      <c r="I45" s="376">
        <f>'WA FTAA detail'!X33</f>
        <v>-139.15407999999999</v>
      </c>
      <c r="J45" s="376">
        <f>'WA FTAA detail'!Y33</f>
        <v>-112.58141999999999</v>
      </c>
      <c r="K45" s="376">
        <f>'WA FTAA detail'!Z33</f>
        <v>-112.41752</v>
      </c>
      <c r="L45" s="376">
        <f>'WA FTAA detail'!AA33</f>
        <v>-112.41752</v>
      </c>
      <c r="M45" s="376">
        <f>'WA FTAA detail'!AB33</f>
        <v>-112.41752</v>
      </c>
      <c r="N45" s="376">
        <f>'WA FTAA detail'!AC33</f>
        <v>-112.41752</v>
      </c>
      <c r="O45" s="376">
        <f>SUM(C45:N45)</f>
        <v>-2195.7772399999999</v>
      </c>
    </row>
    <row r="46" spans="1:15" ht="17.399999999999999">
      <c r="A46" s="367" t="s">
        <v>304</v>
      </c>
      <c r="C46" s="468">
        <f t="shared" ref="C46" si="21">SUM(C42:C45)</f>
        <v>-2102.9562000000001</v>
      </c>
      <c r="D46" s="468">
        <f t="shared" ref="D46:N46" si="22">SUM(D42:D45)</f>
        <v>-1988.3454000000002</v>
      </c>
      <c r="E46" s="468">
        <f t="shared" si="22"/>
        <v>-1922.1774799999998</v>
      </c>
      <c r="F46" s="468">
        <f t="shared" si="22"/>
        <v>-1913.5980599999998</v>
      </c>
      <c r="G46" s="468">
        <f t="shared" si="22"/>
        <v>-1798.7071399999998</v>
      </c>
      <c r="H46" s="468">
        <f t="shared" si="22"/>
        <v>-1773.88672</v>
      </c>
      <c r="I46" s="468">
        <f t="shared" si="22"/>
        <v>-1761.6955399999999</v>
      </c>
      <c r="J46" s="468">
        <f t="shared" si="22"/>
        <v>-1702.3488400000001</v>
      </c>
      <c r="K46" s="468">
        <f t="shared" si="22"/>
        <v>-1654.2367399999998</v>
      </c>
      <c r="L46" s="468">
        <f t="shared" si="22"/>
        <v>-1611.2532200000001</v>
      </c>
      <c r="M46" s="468">
        <f t="shared" si="22"/>
        <v>-1222.0741600000001</v>
      </c>
      <c r="N46" s="468">
        <f t="shared" si="22"/>
        <v>-1231.5297</v>
      </c>
      <c r="O46" s="468">
        <f>SUM(C46:N46)</f>
        <v>-20682.8092</v>
      </c>
    </row>
    <row r="47" spans="1:15" ht="17.399999999999999"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7.399999999999999">
      <c r="B48" s="368" t="s">
        <v>305</v>
      </c>
      <c r="C48" s="468">
        <f t="shared" ref="C48:O48" si="23">C19+C27+C35+C39+C46</f>
        <v>-677905.94279999996</v>
      </c>
      <c r="D48" s="468">
        <f t="shared" ref="D48:N48" si="24">D19+D27+D35+D39+D46</f>
        <v>-708974.68550999998</v>
      </c>
      <c r="E48" s="468">
        <f t="shared" si="24"/>
        <v>-695615.9156699999</v>
      </c>
      <c r="F48" s="468">
        <f t="shared" si="24"/>
        <v>-606217.88141000003</v>
      </c>
      <c r="G48" s="468">
        <f t="shared" si="24"/>
        <v>-695821.50210000004</v>
      </c>
      <c r="H48" s="468">
        <f t="shared" si="24"/>
        <v>-841761.60462999984</v>
      </c>
      <c r="I48" s="468">
        <f t="shared" si="24"/>
        <v>-807893.97314000002</v>
      </c>
      <c r="J48" s="468">
        <f t="shared" si="24"/>
        <v>-725797.56789999991</v>
      </c>
      <c r="K48" s="468">
        <f t="shared" si="24"/>
        <v>-653942.02798999997</v>
      </c>
      <c r="L48" s="468">
        <f t="shared" si="24"/>
        <v>-597759.5136399999</v>
      </c>
      <c r="M48" s="468">
        <f t="shared" si="24"/>
        <v>-530634.73421999998</v>
      </c>
      <c r="N48" s="468">
        <f t="shared" si="24"/>
        <v>-577944.02190999989</v>
      </c>
      <c r="O48" s="468">
        <f t="shared" si="23"/>
        <v>-8120269.3709200006</v>
      </c>
    </row>
    <row r="50" spans="8:9">
      <c r="I50" s="366"/>
    </row>
    <row r="51" spans="8:9">
      <c r="I51" s="366"/>
    </row>
    <row r="54" spans="8:9" ht="17.399999999999999">
      <c r="H54" s="307"/>
      <c r="I54" s="279"/>
    </row>
  </sheetData>
  <printOptions horizontalCentered="1" gridLines="1" gridLinesSet="0"/>
  <pageMargins left="0.5" right="0.5" top="0.5" bottom="0.62" header="0.5" footer="0.46"/>
  <pageSetup scale="45" orientation="landscape" r:id="rId1"/>
  <headerFooter alignWithMargins="0">
    <oddFooter>&amp;L&amp;8&amp;D&amp;C&amp;8Prepared by Pricing&amp;R&amp;8&amp;F: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tabColor rgb="FF00B0F0"/>
    <pageSetUpPr fitToPage="1"/>
  </sheetPr>
  <dimension ref="A2:AF59"/>
  <sheetViews>
    <sheetView view="pageBreakPreview" zoomScale="70" zoomScaleNormal="70" zoomScaleSheetLayoutView="70" workbookViewId="0">
      <selection activeCell="C1" sqref="C1"/>
    </sheetView>
  </sheetViews>
  <sheetFormatPr defaultColWidth="11.19921875" defaultRowHeight="15.6"/>
  <cols>
    <col min="1" max="1" width="2.09765625" style="439" customWidth="1"/>
    <col min="2" max="2" width="15.59765625" style="439" hidden="1" customWidth="1"/>
    <col min="3" max="44" width="15.59765625" style="439" customWidth="1"/>
    <col min="45" max="50" width="17" style="439" customWidth="1"/>
    <col min="51" max="16384" width="11.19921875" style="439"/>
  </cols>
  <sheetData>
    <row r="2" spans="1:32">
      <c r="A2" s="422"/>
      <c r="B2" s="422"/>
      <c r="C2" s="437" t="s">
        <v>421</v>
      </c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</row>
    <row r="3" spans="1:32">
      <c r="A3" s="422"/>
      <c r="B3" s="422"/>
      <c r="C3" s="437" t="s">
        <v>449</v>
      </c>
      <c r="D3" s="438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</row>
    <row r="4" spans="1:32">
      <c r="A4" s="422"/>
      <c r="B4" s="422"/>
      <c r="C4" s="437" t="s">
        <v>448</v>
      </c>
      <c r="D4" s="438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</row>
    <row r="5" spans="1:32">
      <c r="A5" s="422"/>
      <c r="B5" s="422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</row>
    <row r="6" spans="1:32"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41" t="s">
        <v>447</v>
      </c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41"/>
    </row>
    <row r="7" spans="1:32">
      <c r="C7" s="422"/>
      <c r="D7" s="422"/>
      <c r="I7" s="422"/>
      <c r="J7" s="422"/>
      <c r="K7" s="422"/>
      <c r="L7" s="422"/>
      <c r="M7" s="422"/>
      <c r="N7" s="422"/>
      <c r="O7" s="422"/>
      <c r="P7" s="422"/>
      <c r="Q7" s="441" t="s">
        <v>216</v>
      </c>
      <c r="AD7" s="441" t="s">
        <v>436</v>
      </c>
    </row>
    <row r="8" spans="1:32">
      <c r="C8" s="422"/>
      <c r="D8" s="442"/>
      <c r="E8" s="422" t="s">
        <v>437</v>
      </c>
      <c r="F8" s="422" t="s">
        <v>437</v>
      </c>
      <c r="G8" s="422" t="s">
        <v>437</v>
      </c>
      <c r="H8" s="422" t="s">
        <v>438</v>
      </c>
      <c r="I8" s="422" t="s">
        <v>438</v>
      </c>
      <c r="J8" s="422" t="s">
        <v>438</v>
      </c>
      <c r="K8" s="422" t="s">
        <v>437</v>
      </c>
      <c r="L8" s="422" t="s">
        <v>437</v>
      </c>
      <c r="M8" s="422" t="s">
        <v>437</v>
      </c>
      <c r="N8" s="422" t="s">
        <v>437</v>
      </c>
      <c r="O8" s="422" t="s">
        <v>437</v>
      </c>
      <c r="P8" s="422" t="s">
        <v>437</v>
      </c>
      <c r="Q8" s="443">
        <v>43466</v>
      </c>
      <c r="R8" s="444">
        <f>E9</f>
        <v>201907</v>
      </c>
      <c r="S8" s="444">
        <f t="shared" ref="S8:AC8" si="0">F9</f>
        <v>201908</v>
      </c>
      <c r="T8" s="444">
        <f t="shared" si="0"/>
        <v>201909</v>
      </c>
      <c r="U8" s="444">
        <f t="shared" si="0"/>
        <v>201910</v>
      </c>
      <c r="V8" s="444">
        <f t="shared" si="0"/>
        <v>201911</v>
      </c>
      <c r="W8" s="444">
        <f t="shared" si="0"/>
        <v>201912</v>
      </c>
      <c r="X8" s="444">
        <f t="shared" si="0"/>
        <v>202001</v>
      </c>
      <c r="Y8" s="444">
        <f t="shared" si="0"/>
        <v>202002</v>
      </c>
      <c r="Z8" s="444">
        <f t="shared" si="0"/>
        <v>202003</v>
      </c>
      <c r="AA8" s="444">
        <f t="shared" si="0"/>
        <v>202004</v>
      </c>
      <c r="AB8" s="444">
        <f t="shared" si="0"/>
        <v>202005</v>
      </c>
      <c r="AC8" s="444">
        <f t="shared" si="0"/>
        <v>202006</v>
      </c>
      <c r="AD8" s="441" t="s">
        <v>447</v>
      </c>
    </row>
    <row r="9" spans="1:32">
      <c r="B9" s="441" t="s">
        <v>439</v>
      </c>
      <c r="C9" s="441" t="s">
        <v>298</v>
      </c>
      <c r="D9" s="441" t="s">
        <v>299</v>
      </c>
      <c r="E9" s="444">
        <v>201907</v>
      </c>
      <c r="F9" s="444">
        <v>201908</v>
      </c>
      <c r="G9" s="444">
        <v>201909</v>
      </c>
      <c r="H9" s="444">
        <v>201910</v>
      </c>
      <c r="I9" s="444">
        <v>201911</v>
      </c>
      <c r="J9" s="444">
        <v>201912</v>
      </c>
      <c r="K9" s="444">
        <v>202001</v>
      </c>
      <c r="L9" s="444">
        <v>202002</v>
      </c>
      <c r="M9" s="444">
        <v>202003</v>
      </c>
      <c r="N9" s="444">
        <v>202004</v>
      </c>
      <c r="O9" s="444">
        <v>202005</v>
      </c>
      <c r="P9" s="444">
        <v>202006</v>
      </c>
      <c r="Q9" s="441" t="s">
        <v>440</v>
      </c>
      <c r="R9" s="446"/>
      <c r="S9" s="422"/>
      <c r="T9" s="422"/>
      <c r="U9" s="422"/>
      <c r="V9" s="445"/>
      <c r="W9" s="445"/>
      <c r="X9" s="446"/>
      <c r="Y9" s="422"/>
      <c r="Z9" s="422"/>
      <c r="AA9" s="422"/>
      <c r="AB9" s="445"/>
      <c r="AC9" s="445"/>
      <c r="AD9" s="441" t="s">
        <v>450</v>
      </c>
    </row>
    <row r="10" spans="1:32">
      <c r="B10" s="422"/>
      <c r="AD10" s="447"/>
    </row>
    <row r="11" spans="1:32">
      <c r="A11" s="448"/>
      <c r="B11" s="449"/>
      <c r="C11" s="450"/>
      <c r="AD11" s="447"/>
      <c r="AE11" s="422" t="s">
        <v>441</v>
      </c>
      <c r="AF11" s="422"/>
    </row>
    <row r="12" spans="1:32">
      <c r="A12" s="448"/>
      <c r="B12" s="449" t="s">
        <v>442</v>
      </c>
      <c r="C12" s="451" t="s">
        <v>425</v>
      </c>
      <c r="D12" s="422" t="s">
        <v>409</v>
      </c>
      <c r="E12" s="452">
        <v>78047</v>
      </c>
      <c r="F12" s="452">
        <v>77539</v>
      </c>
      <c r="G12" s="452">
        <v>77030</v>
      </c>
      <c r="H12" s="452">
        <v>76536</v>
      </c>
      <c r="I12" s="452">
        <v>75017</v>
      </c>
      <c r="J12" s="452">
        <v>77109</v>
      </c>
      <c r="K12" s="452">
        <v>76631</v>
      </c>
      <c r="L12" s="452">
        <v>76784</v>
      </c>
      <c r="M12" s="452">
        <v>75915</v>
      </c>
      <c r="N12" s="452">
        <v>76500</v>
      </c>
      <c r="O12" s="452">
        <v>76525</v>
      </c>
      <c r="P12" s="452">
        <v>75082</v>
      </c>
      <c r="Q12" s="453">
        <v>-2.98E-3</v>
      </c>
      <c r="R12" s="454">
        <f t="shared" ref="R12:R33" si="1">E12*$Q12</f>
        <v>-232.58006</v>
      </c>
      <c r="S12" s="454">
        <f t="shared" ref="S12:S33" si="2">F12*$Q12</f>
        <v>-231.06621999999999</v>
      </c>
      <c r="T12" s="454">
        <f t="shared" ref="T12:T33" si="3">G12*$Q12</f>
        <v>-229.54939999999999</v>
      </c>
      <c r="U12" s="454">
        <f t="shared" ref="U12:U33" si="4">H12*$Q12</f>
        <v>-228.07728</v>
      </c>
      <c r="V12" s="454">
        <f t="shared" ref="V12:V33" si="5">I12*$Q12</f>
        <v>-223.55065999999999</v>
      </c>
      <c r="W12" s="454">
        <f t="shared" ref="W12:W33" si="6">J12*$Q12</f>
        <v>-229.78482</v>
      </c>
      <c r="X12" s="454">
        <f t="shared" ref="X12:X33" si="7">K12*$Q12</f>
        <v>-228.36037999999999</v>
      </c>
      <c r="Y12" s="454">
        <f t="shared" ref="Y12:Y33" si="8">L12*$Q12</f>
        <v>-228.81631999999999</v>
      </c>
      <c r="Z12" s="454">
        <f t="shared" ref="Z12:Z33" si="9">M12*$Q12</f>
        <v>-226.22669999999999</v>
      </c>
      <c r="AA12" s="454">
        <f t="shared" ref="AA12:AA33" si="10">N12*$Q12</f>
        <v>-227.97</v>
      </c>
      <c r="AB12" s="454">
        <f t="shared" ref="AB12:AB33" si="11">O12*$Q12</f>
        <v>-228.0445</v>
      </c>
      <c r="AC12" s="454">
        <f>P12*$Q12</f>
        <v>-223.74436</v>
      </c>
      <c r="AD12" s="455">
        <f>SUM(R12:AC12)</f>
        <v>-2737.7707</v>
      </c>
      <c r="AE12" s="456">
        <f>AD12-SUM(R12:AC12)</f>
        <v>0</v>
      </c>
      <c r="AF12" s="456"/>
    </row>
    <row r="13" spans="1:32">
      <c r="A13" s="448"/>
      <c r="B13" s="449" t="s">
        <v>442</v>
      </c>
      <c r="C13" s="451" t="s">
        <v>425</v>
      </c>
      <c r="D13" s="422">
        <v>16</v>
      </c>
      <c r="E13" s="452">
        <v>101610152</v>
      </c>
      <c r="F13" s="452">
        <v>114877569</v>
      </c>
      <c r="G13" s="452">
        <v>103808914</v>
      </c>
      <c r="H13" s="452">
        <v>91219699</v>
      </c>
      <c r="I13" s="452">
        <v>127535894</v>
      </c>
      <c r="J13" s="452">
        <v>182764855</v>
      </c>
      <c r="K13" s="452">
        <v>174594631</v>
      </c>
      <c r="L13" s="452">
        <v>148516961</v>
      </c>
      <c r="M13" s="452">
        <v>128934588</v>
      </c>
      <c r="N13" s="452">
        <v>111054839</v>
      </c>
      <c r="O13" s="452">
        <v>85542482</v>
      </c>
      <c r="P13" s="452">
        <v>89586728</v>
      </c>
      <c r="Q13" s="453">
        <v>-2.4099999999999998E-3</v>
      </c>
      <c r="R13" s="454">
        <f t="shared" si="1"/>
        <v>-244880.46631999998</v>
      </c>
      <c r="S13" s="454">
        <f t="shared" si="2"/>
        <v>-276854.94128999999</v>
      </c>
      <c r="T13" s="454">
        <f t="shared" si="3"/>
        <v>-250179.48273999998</v>
      </c>
      <c r="U13" s="454">
        <f t="shared" si="4"/>
        <v>-219839.47458999997</v>
      </c>
      <c r="V13" s="454">
        <f t="shared" si="5"/>
        <v>-307361.50453999999</v>
      </c>
      <c r="W13" s="454">
        <f t="shared" si="6"/>
        <v>-440463.30054999999</v>
      </c>
      <c r="X13" s="454">
        <f t="shared" si="7"/>
        <v>-420773.06070999999</v>
      </c>
      <c r="Y13" s="454">
        <f t="shared" si="8"/>
        <v>-357925.87600999995</v>
      </c>
      <c r="Z13" s="454">
        <f t="shared" si="9"/>
        <v>-310732.35707999999</v>
      </c>
      <c r="AA13" s="454">
        <f t="shared" si="10"/>
        <v>-267642.16198999999</v>
      </c>
      <c r="AB13" s="454">
        <f t="shared" si="11"/>
        <v>-206157.38161999997</v>
      </c>
      <c r="AC13" s="454">
        <f t="shared" ref="AC13:AC33" si="12">P13*$Q13</f>
        <v>-215904.01447999998</v>
      </c>
      <c r="AD13" s="455">
        <f>SUM(R13:AC13)</f>
        <v>-3518714.0219199997</v>
      </c>
      <c r="AE13" s="456">
        <f>AD13-SUM(R13:AC13)</f>
        <v>0</v>
      </c>
    </row>
    <row r="14" spans="1:32">
      <c r="B14" s="449" t="s">
        <v>442</v>
      </c>
      <c r="C14" s="451" t="s">
        <v>425</v>
      </c>
      <c r="D14" s="422">
        <v>17</v>
      </c>
      <c r="E14" s="452">
        <v>4500824</v>
      </c>
      <c r="F14" s="452">
        <v>4883376</v>
      </c>
      <c r="G14" s="452">
        <v>4546574</v>
      </c>
      <c r="H14" s="452">
        <v>5025678</v>
      </c>
      <c r="I14" s="452">
        <v>7658010</v>
      </c>
      <c r="J14" s="452">
        <v>10230732</v>
      </c>
      <c r="K14" s="452">
        <v>9967567</v>
      </c>
      <c r="L14" s="452">
        <v>8653182</v>
      </c>
      <c r="M14" s="452">
        <v>7415084</v>
      </c>
      <c r="N14" s="452">
        <v>5875178</v>
      </c>
      <c r="O14" s="452">
        <v>4230952</v>
      </c>
      <c r="P14" s="452">
        <v>4266271</v>
      </c>
      <c r="Q14" s="453">
        <v>-2.4099999999999998E-3</v>
      </c>
      <c r="R14" s="454">
        <f t="shared" si="1"/>
        <v>-10846.985839999999</v>
      </c>
      <c r="S14" s="454">
        <f t="shared" si="2"/>
        <v>-11768.936159999999</v>
      </c>
      <c r="T14" s="454">
        <f t="shared" si="3"/>
        <v>-10957.243339999999</v>
      </c>
      <c r="U14" s="454">
        <f t="shared" si="4"/>
        <v>-12111.883979999999</v>
      </c>
      <c r="V14" s="454">
        <f t="shared" si="5"/>
        <v>-18455.804099999998</v>
      </c>
      <c r="W14" s="454">
        <f t="shared" si="6"/>
        <v>-24656.064119999999</v>
      </c>
      <c r="X14" s="454">
        <f t="shared" si="7"/>
        <v>-24021.836469999998</v>
      </c>
      <c r="Y14" s="454">
        <f t="shared" si="8"/>
        <v>-20854.168619999997</v>
      </c>
      <c r="Z14" s="454">
        <f t="shared" si="9"/>
        <v>-17870.352439999999</v>
      </c>
      <c r="AA14" s="454">
        <f t="shared" si="10"/>
        <v>-14159.178979999999</v>
      </c>
      <c r="AB14" s="454">
        <f t="shared" si="11"/>
        <v>-10196.594319999998</v>
      </c>
      <c r="AC14" s="454">
        <f t="shared" si="12"/>
        <v>-10281.713109999999</v>
      </c>
      <c r="AD14" s="455">
        <f>SUM(R14:AC14)</f>
        <v>-186180.76147999999</v>
      </c>
      <c r="AE14" s="456">
        <f>AD14-SUM(R14:AC14)</f>
        <v>0</v>
      </c>
    </row>
    <row r="15" spans="1:32">
      <c r="B15" s="449" t="s">
        <v>442</v>
      </c>
      <c r="C15" s="451" t="s">
        <v>425</v>
      </c>
      <c r="D15" s="422">
        <v>18</v>
      </c>
      <c r="E15" s="452">
        <v>190651</v>
      </c>
      <c r="F15" s="452">
        <v>207844</v>
      </c>
      <c r="G15" s="452">
        <v>192998</v>
      </c>
      <c r="H15" s="452">
        <v>158997</v>
      </c>
      <c r="I15" s="452">
        <v>193594</v>
      </c>
      <c r="J15" s="452">
        <v>243869</v>
      </c>
      <c r="K15" s="452">
        <v>245457</v>
      </c>
      <c r="L15" s="452">
        <v>212823</v>
      </c>
      <c r="M15" s="452">
        <v>200518</v>
      </c>
      <c r="N15" s="452">
        <v>186180</v>
      </c>
      <c r="O15" s="452">
        <v>150806</v>
      </c>
      <c r="P15" s="452">
        <v>162673</v>
      </c>
      <c r="Q15" s="453">
        <v>-2.4099999999999998E-3</v>
      </c>
      <c r="R15" s="454">
        <f t="shared" si="1"/>
        <v>-459.46890999999994</v>
      </c>
      <c r="S15" s="454">
        <f t="shared" si="2"/>
        <v>-500.90403999999995</v>
      </c>
      <c r="T15" s="454">
        <f t="shared" si="3"/>
        <v>-465.12517999999994</v>
      </c>
      <c r="U15" s="454">
        <f t="shared" si="4"/>
        <v>-383.18276999999995</v>
      </c>
      <c r="V15" s="454">
        <f t="shared" si="5"/>
        <v>-466.56153999999998</v>
      </c>
      <c r="W15" s="454">
        <f t="shared" si="6"/>
        <v>-587.72429</v>
      </c>
      <c r="X15" s="454">
        <f t="shared" si="7"/>
        <v>-591.55136999999991</v>
      </c>
      <c r="Y15" s="454">
        <f t="shared" si="8"/>
        <v>-512.90342999999996</v>
      </c>
      <c r="Z15" s="454">
        <f t="shared" si="9"/>
        <v>-483.24837999999994</v>
      </c>
      <c r="AA15" s="454">
        <f t="shared" si="10"/>
        <v>-448.69379999999995</v>
      </c>
      <c r="AB15" s="454">
        <f t="shared" si="11"/>
        <v>-363.44245999999998</v>
      </c>
      <c r="AC15" s="454">
        <f t="shared" si="12"/>
        <v>-392.04192999999998</v>
      </c>
      <c r="AD15" s="455">
        <f>SUM(R15:AC15)</f>
        <v>-5654.8481000000002</v>
      </c>
      <c r="AE15" s="456">
        <f>AD15-SUM(R15:AC15)</f>
        <v>0</v>
      </c>
    </row>
    <row r="16" spans="1:32">
      <c r="B16" s="449" t="s">
        <v>442</v>
      </c>
      <c r="C16" s="451" t="s">
        <v>425</v>
      </c>
      <c r="D16" s="422">
        <v>24</v>
      </c>
      <c r="E16" s="452">
        <v>1742705</v>
      </c>
      <c r="F16" s="452">
        <v>1786948</v>
      </c>
      <c r="G16" s="452">
        <v>1642064</v>
      </c>
      <c r="H16" s="452">
        <v>1326916</v>
      </c>
      <c r="I16" s="452">
        <v>1557474</v>
      </c>
      <c r="J16" s="452">
        <v>2159737</v>
      </c>
      <c r="K16" s="452">
        <v>2129119</v>
      </c>
      <c r="L16" s="452">
        <v>1873366</v>
      </c>
      <c r="M16" s="452">
        <v>1612086</v>
      </c>
      <c r="N16" s="452">
        <v>1497974</v>
      </c>
      <c r="O16" s="452">
        <v>1416848</v>
      </c>
      <c r="P16" s="452">
        <v>1501833</v>
      </c>
      <c r="Q16" s="453">
        <v>-2.0300000000000001E-3</v>
      </c>
      <c r="R16" s="454">
        <f t="shared" si="1"/>
        <v>-3537.6911500000001</v>
      </c>
      <c r="S16" s="454">
        <f t="shared" si="2"/>
        <v>-3627.5044400000002</v>
      </c>
      <c r="T16" s="454">
        <f t="shared" si="3"/>
        <v>-3333.3899200000001</v>
      </c>
      <c r="U16" s="454">
        <f t="shared" si="4"/>
        <v>-2693.6394800000003</v>
      </c>
      <c r="V16" s="454">
        <f t="shared" si="5"/>
        <v>-3161.6722200000004</v>
      </c>
      <c r="W16" s="454">
        <f t="shared" si="6"/>
        <v>-4384.2661100000005</v>
      </c>
      <c r="X16" s="454">
        <f t="shared" si="7"/>
        <v>-4322.11157</v>
      </c>
      <c r="Y16" s="454">
        <f t="shared" si="8"/>
        <v>-3802.93298</v>
      </c>
      <c r="Z16" s="454">
        <f t="shared" si="9"/>
        <v>-3272.53458</v>
      </c>
      <c r="AA16" s="454">
        <f t="shared" si="10"/>
        <v>-3040.8872200000001</v>
      </c>
      <c r="AB16" s="454">
        <f t="shared" si="11"/>
        <v>-2876.2014400000003</v>
      </c>
      <c r="AC16" s="454">
        <f t="shared" si="12"/>
        <v>-3048.7209900000003</v>
      </c>
      <c r="AD16" s="455">
        <f>SUM(R16:AC16)</f>
        <v>-41101.552100000001</v>
      </c>
      <c r="AE16" s="456">
        <f t="shared" ref="AE16:AE25" si="13">AD16-SUM(R16:AC16)</f>
        <v>0</v>
      </c>
    </row>
    <row r="17" spans="1:31">
      <c r="B17" s="449" t="s">
        <v>442</v>
      </c>
      <c r="C17" s="451" t="s">
        <v>425</v>
      </c>
      <c r="D17" s="422">
        <v>36</v>
      </c>
      <c r="E17" s="452">
        <v>117540</v>
      </c>
      <c r="F17" s="452">
        <v>127200</v>
      </c>
      <c r="G17" s="452">
        <v>121780</v>
      </c>
      <c r="H17" s="452">
        <v>122660</v>
      </c>
      <c r="I17" s="452">
        <v>154320</v>
      </c>
      <c r="J17" s="452">
        <v>197100</v>
      </c>
      <c r="K17" s="452">
        <v>191340</v>
      </c>
      <c r="L17" s="452">
        <v>144640</v>
      </c>
      <c r="M17" s="452">
        <v>144180</v>
      </c>
      <c r="N17" s="452">
        <v>120860</v>
      </c>
      <c r="O17" s="452">
        <v>87300</v>
      </c>
      <c r="P17" s="452">
        <v>97580</v>
      </c>
      <c r="Q17" s="453">
        <v>-1.7799999999999999E-3</v>
      </c>
      <c r="R17" s="454">
        <f t="shared" si="1"/>
        <v>-209.22119999999998</v>
      </c>
      <c r="S17" s="454">
        <f t="shared" si="2"/>
        <v>-226.416</v>
      </c>
      <c r="T17" s="454">
        <f t="shared" si="3"/>
        <v>-216.76839999999999</v>
      </c>
      <c r="U17" s="454">
        <f t="shared" si="4"/>
        <v>-218.3348</v>
      </c>
      <c r="V17" s="454">
        <f t="shared" si="5"/>
        <v>-274.68959999999998</v>
      </c>
      <c r="W17" s="454">
        <f t="shared" si="6"/>
        <v>-350.83799999999997</v>
      </c>
      <c r="X17" s="454">
        <f t="shared" si="7"/>
        <v>-340.58519999999999</v>
      </c>
      <c r="Y17" s="454">
        <f t="shared" si="8"/>
        <v>-257.45920000000001</v>
      </c>
      <c r="Z17" s="454">
        <f t="shared" si="9"/>
        <v>-256.6404</v>
      </c>
      <c r="AA17" s="454">
        <f t="shared" si="10"/>
        <v>-215.13079999999999</v>
      </c>
      <c r="AB17" s="454">
        <f t="shared" si="11"/>
        <v>-155.39399999999998</v>
      </c>
      <c r="AC17" s="454">
        <f t="shared" si="12"/>
        <v>-173.69239999999999</v>
      </c>
      <c r="AD17" s="455">
        <f t="shared" ref="AD17:AD28" si="14">SUM(R17:AC17)</f>
        <v>-2895.1699999999996</v>
      </c>
      <c r="AE17" s="456">
        <f t="shared" si="13"/>
        <v>0</v>
      </c>
    </row>
    <row r="18" spans="1:31">
      <c r="A18" s="448"/>
      <c r="B18" s="449" t="s">
        <v>442</v>
      </c>
      <c r="C18" s="451" t="s">
        <v>426</v>
      </c>
      <c r="D18" s="422">
        <v>15</v>
      </c>
      <c r="E18" s="452">
        <v>161256</v>
      </c>
      <c r="F18" s="452">
        <v>159381</v>
      </c>
      <c r="G18" s="452">
        <v>160963</v>
      </c>
      <c r="H18" s="452">
        <v>159405</v>
      </c>
      <c r="I18" s="452">
        <v>158856</v>
      </c>
      <c r="J18" s="452">
        <v>161155</v>
      </c>
      <c r="K18" s="452">
        <v>159296</v>
      </c>
      <c r="L18" s="452">
        <v>157668</v>
      </c>
      <c r="M18" s="452">
        <v>159419</v>
      </c>
      <c r="N18" s="452">
        <v>157739</v>
      </c>
      <c r="O18" s="452">
        <v>157860</v>
      </c>
      <c r="P18" s="452">
        <v>159399</v>
      </c>
      <c r="Q18" s="453">
        <v>-2.98E-3</v>
      </c>
      <c r="R18" s="454">
        <f t="shared" si="1"/>
        <v>-480.54288000000003</v>
      </c>
      <c r="S18" s="454">
        <f t="shared" si="2"/>
        <v>-474.95537999999999</v>
      </c>
      <c r="T18" s="454">
        <f t="shared" si="3"/>
        <v>-479.66973999999999</v>
      </c>
      <c r="U18" s="454">
        <f t="shared" si="4"/>
        <v>-475.02690000000001</v>
      </c>
      <c r="V18" s="454">
        <f t="shared" si="5"/>
        <v>-473.39087999999998</v>
      </c>
      <c r="W18" s="454">
        <f t="shared" si="6"/>
        <v>-480.24189999999999</v>
      </c>
      <c r="X18" s="454">
        <f t="shared" si="7"/>
        <v>-474.70208000000002</v>
      </c>
      <c r="Y18" s="454">
        <f t="shared" si="8"/>
        <v>-469.85064</v>
      </c>
      <c r="Z18" s="454">
        <f t="shared" si="9"/>
        <v>-475.06862000000001</v>
      </c>
      <c r="AA18" s="454">
        <f t="shared" si="10"/>
        <v>-470.06222000000002</v>
      </c>
      <c r="AB18" s="454">
        <f t="shared" si="11"/>
        <v>-470.4228</v>
      </c>
      <c r="AC18" s="454">
        <f t="shared" si="12"/>
        <v>-475.00902000000002</v>
      </c>
      <c r="AD18" s="455">
        <f t="shared" si="14"/>
        <v>-5698.9430600000005</v>
      </c>
      <c r="AE18" s="456">
        <f t="shared" si="13"/>
        <v>0</v>
      </c>
    </row>
    <row r="19" spans="1:31">
      <c r="A19" s="448"/>
      <c r="B19" s="449" t="s">
        <v>442</v>
      </c>
      <c r="C19" s="451" t="s">
        <v>426</v>
      </c>
      <c r="D19" s="422">
        <v>24</v>
      </c>
      <c r="E19" s="452">
        <v>43471522</v>
      </c>
      <c r="F19" s="452">
        <v>46870125</v>
      </c>
      <c r="G19" s="452">
        <v>46287319</v>
      </c>
      <c r="H19" s="452">
        <v>38834169</v>
      </c>
      <c r="I19" s="452">
        <v>40036515</v>
      </c>
      <c r="J19" s="452">
        <v>48525789</v>
      </c>
      <c r="K19" s="452">
        <v>47551307</v>
      </c>
      <c r="L19" s="452">
        <v>43026507</v>
      </c>
      <c r="M19" s="452">
        <v>39809336</v>
      </c>
      <c r="N19" s="452">
        <v>34687461</v>
      </c>
      <c r="O19" s="452">
        <v>32636553</v>
      </c>
      <c r="P19" s="452">
        <v>35429197</v>
      </c>
      <c r="Q19" s="453">
        <v>-2.0300000000000001E-3</v>
      </c>
      <c r="R19" s="454">
        <f t="shared" si="1"/>
        <v>-88247.189660000004</v>
      </c>
      <c r="S19" s="454">
        <f t="shared" si="2"/>
        <v>-95146.353750000009</v>
      </c>
      <c r="T19" s="454">
        <f t="shared" si="3"/>
        <v>-93963.257570000002</v>
      </c>
      <c r="U19" s="454">
        <f t="shared" si="4"/>
        <v>-78833.363070000007</v>
      </c>
      <c r="V19" s="454">
        <f t="shared" si="5"/>
        <v>-81274.125450000007</v>
      </c>
      <c r="W19" s="454">
        <f t="shared" si="6"/>
        <v>-98507.351670000004</v>
      </c>
      <c r="X19" s="454">
        <f t="shared" si="7"/>
        <v>-96529.153210000004</v>
      </c>
      <c r="Y19" s="454">
        <f t="shared" si="8"/>
        <v>-87343.809210000007</v>
      </c>
      <c r="Z19" s="454">
        <f t="shared" si="9"/>
        <v>-80812.952080000003</v>
      </c>
      <c r="AA19" s="454">
        <f t="shared" si="10"/>
        <v>-70415.545830000003</v>
      </c>
      <c r="AB19" s="454">
        <f t="shared" si="11"/>
        <v>-66252.202590000001</v>
      </c>
      <c r="AC19" s="454">
        <f t="shared" si="12"/>
        <v>-71921.269910000003</v>
      </c>
      <c r="AD19" s="455">
        <f t="shared" si="14"/>
        <v>-1009246.5739999999</v>
      </c>
      <c r="AE19" s="456">
        <f t="shared" si="13"/>
        <v>0</v>
      </c>
    </row>
    <row r="20" spans="1:31">
      <c r="A20" s="448"/>
      <c r="B20" s="449" t="s">
        <v>442</v>
      </c>
      <c r="C20" s="451" t="s">
        <v>426</v>
      </c>
      <c r="D20" s="422" t="s">
        <v>410</v>
      </c>
      <c r="E20" s="452">
        <v>70917133</v>
      </c>
      <c r="F20" s="452">
        <v>68614697</v>
      </c>
      <c r="G20" s="452">
        <v>80485582</v>
      </c>
      <c r="H20" s="452">
        <v>75067600</v>
      </c>
      <c r="I20" s="452">
        <v>75489588</v>
      </c>
      <c r="J20" s="452">
        <v>78363157</v>
      </c>
      <c r="K20" s="452">
        <v>74250218</v>
      </c>
      <c r="L20" s="452">
        <v>72152422</v>
      </c>
      <c r="M20" s="452">
        <v>61977408</v>
      </c>
      <c r="N20" s="452">
        <v>58190707</v>
      </c>
      <c r="O20" s="452">
        <v>54095924</v>
      </c>
      <c r="P20" s="452">
        <v>59903558</v>
      </c>
      <c r="Q20" s="453">
        <v>-1.7799999999999999E-3</v>
      </c>
      <c r="R20" s="454">
        <f t="shared" si="1"/>
        <v>-126232.49673999999</v>
      </c>
      <c r="S20" s="454">
        <f t="shared" si="2"/>
        <v>-122134.16065999999</v>
      </c>
      <c r="T20" s="454">
        <f t="shared" si="3"/>
        <v>-143264.33596</v>
      </c>
      <c r="U20" s="454">
        <f t="shared" si="4"/>
        <v>-133620.32799999998</v>
      </c>
      <c r="V20" s="454">
        <f t="shared" si="5"/>
        <v>-134371.46664</v>
      </c>
      <c r="W20" s="454">
        <f t="shared" si="6"/>
        <v>-139486.41946</v>
      </c>
      <c r="X20" s="454">
        <f t="shared" si="7"/>
        <v>-132165.38803999999</v>
      </c>
      <c r="Y20" s="454">
        <f t="shared" si="8"/>
        <v>-128431.31116</v>
      </c>
      <c r="Z20" s="454">
        <f t="shared" si="9"/>
        <v>-110319.78623999999</v>
      </c>
      <c r="AA20" s="454">
        <f t="shared" si="10"/>
        <v>-103579.45845999999</v>
      </c>
      <c r="AB20" s="454">
        <f t="shared" si="11"/>
        <v>-96290.744719999988</v>
      </c>
      <c r="AC20" s="454">
        <f t="shared" si="12"/>
        <v>-106628.33323999999</v>
      </c>
      <c r="AD20" s="455">
        <f t="shared" si="14"/>
        <v>-1476524.2293200002</v>
      </c>
      <c r="AE20" s="456">
        <f t="shared" si="13"/>
        <v>0</v>
      </c>
    </row>
    <row r="21" spans="1:31">
      <c r="A21" s="448"/>
      <c r="B21" s="449" t="s">
        <v>442</v>
      </c>
      <c r="C21" s="451" t="s">
        <v>426</v>
      </c>
      <c r="D21" s="422" t="s">
        <v>443</v>
      </c>
      <c r="E21" s="452">
        <v>0</v>
      </c>
      <c r="F21" s="452">
        <v>0</v>
      </c>
      <c r="G21" s="452">
        <v>0</v>
      </c>
      <c r="H21" s="452">
        <v>0</v>
      </c>
      <c r="I21" s="452">
        <v>139</v>
      </c>
      <c r="J21" s="452">
        <v>324</v>
      </c>
      <c r="K21" s="452">
        <v>260</v>
      </c>
      <c r="L21" s="452">
        <v>561</v>
      </c>
      <c r="M21" s="452">
        <v>-94</v>
      </c>
      <c r="N21" s="452">
        <v>155</v>
      </c>
      <c r="O21" s="452">
        <v>152</v>
      </c>
      <c r="P21" s="452">
        <v>144</v>
      </c>
      <c r="Q21" s="453">
        <f>Q19</f>
        <v>-2.0300000000000001E-3</v>
      </c>
      <c r="R21" s="454">
        <f t="shared" si="1"/>
        <v>0</v>
      </c>
      <c r="S21" s="454">
        <f t="shared" si="2"/>
        <v>0</v>
      </c>
      <c r="T21" s="454">
        <f t="shared" si="3"/>
        <v>0</v>
      </c>
      <c r="U21" s="454">
        <f t="shared" si="4"/>
        <v>0</v>
      </c>
      <c r="V21" s="454">
        <f t="shared" si="5"/>
        <v>-0.28217000000000003</v>
      </c>
      <c r="W21" s="454">
        <f t="shared" si="6"/>
        <v>-0.65772000000000008</v>
      </c>
      <c r="X21" s="454">
        <f t="shared" si="7"/>
        <v>-0.52780000000000005</v>
      </c>
      <c r="Y21" s="454">
        <f t="shared" si="8"/>
        <v>-1.13883</v>
      </c>
      <c r="Z21" s="454">
        <f t="shared" si="9"/>
        <v>0.19082000000000002</v>
      </c>
      <c r="AA21" s="454">
        <f t="shared" si="10"/>
        <v>-0.31465000000000004</v>
      </c>
      <c r="AB21" s="454">
        <f t="shared" si="11"/>
        <v>-0.30856</v>
      </c>
      <c r="AC21" s="454">
        <f t="shared" si="12"/>
        <v>-0.29232000000000002</v>
      </c>
      <c r="AD21" s="455">
        <f t="shared" si="14"/>
        <v>-3.3312300000000001</v>
      </c>
      <c r="AE21" s="456">
        <f t="shared" si="13"/>
        <v>0</v>
      </c>
    </row>
    <row r="22" spans="1:31">
      <c r="A22" s="448"/>
      <c r="B22" s="449" t="s">
        <v>442</v>
      </c>
      <c r="C22" s="451" t="s">
        <v>426</v>
      </c>
      <c r="D22" s="422" t="s">
        <v>67</v>
      </c>
      <c r="E22" s="452">
        <v>16799640</v>
      </c>
      <c r="F22" s="452">
        <v>17057900</v>
      </c>
      <c r="G22" s="452">
        <v>18316120</v>
      </c>
      <c r="H22" s="452">
        <v>17109800</v>
      </c>
      <c r="I22" s="452">
        <v>19312080</v>
      </c>
      <c r="J22" s="452">
        <v>18103960</v>
      </c>
      <c r="K22" s="452">
        <v>16949680</v>
      </c>
      <c r="L22" s="452">
        <v>15075780</v>
      </c>
      <c r="M22" s="452">
        <v>14136020</v>
      </c>
      <c r="N22" s="452">
        <v>14003920</v>
      </c>
      <c r="O22" s="452">
        <v>13439080</v>
      </c>
      <c r="P22" s="452">
        <v>15577140</v>
      </c>
      <c r="Q22" s="453">
        <v>-1.48E-3</v>
      </c>
      <c r="R22" s="454">
        <f t="shared" si="1"/>
        <v>-24863.467199999999</v>
      </c>
      <c r="S22" s="454">
        <f t="shared" si="2"/>
        <v>-25245.691999999999</v>
      </c>
      <c r="T22" s="454">
        <f t="shared" si="3"/>
        <v>-27107.857599999999</v>
      </c>
      <c r="U22" s="454">
        <f t="shared" si="4"/>
        <v>-25322.504000000001</v>
      </c>
      <c r="V22" s="454">
        <f t="shared" si="5"/>
        <v>-28581.878399999998</v>
      </c>
      <c r="W22" s="454">
        <f t="shared" si="6"/>
        <v>-26793.860799999999</v>
      </c>
      <c r="X22" s="454">
        <f t="shared" si="7"/>
        <v>-25085.526399999999</v>
      </c>
      <c r="Y22" s="454">
        <f t="shared" si="8"/>
        <v>-22312.154399999999</v>
      </c>
      <c r="Z22" s="454">
        <f t="shared" si="9"/>
        <v>-20921.309600000001</v>
      </c>
      <c r="AA22" s="454">
        <f t="shared" si="10"/>
        <v>-20725.801599999999</v>
      </c>
      <c r="AB22" s="454">
        <f t="shared" si="11"/>
        <v>-19889.838400000001</v>
      </c>
      <c r="AC22" s="454">
        <f t="shared" si="12"/>
        <v>-23054.1672</v>
      </c>
      <c r="AD22" s="455">
        <f t="shared" si="14"/>
        <v>-289904.0576</v>
      </c>
      <c r="AE22" s="456">
        <f t="shared" si="13"/>
        <v>0</v>
      </c>
    </row>
    <row r="23" spans="1:31">
      <c r="A23" s="448"/>
      <c r="B23" s="449" t="s">
        <v>442</v>
      </c>
      <c r="C23" s="451" t="s">
        <v>426</v>
      </c>
      <c r="D23" s="422">
        <v>54</v>
      </c>
      <c r="E23" s="452">
        <v>28770</v>
      </c>
      <c r="F23" s="452">
        <v>22171</v>
      </c>
      <c r="G23" s="452">
        <v>18633</v>
      </c>
      <c r="H23" s="452">
        <v>28418</v>
      </c>
      <c r="I23" s="452">
        <v>34647</v>
      </c>
      <c r="J23" s="452">
        <v>25293</v>
      </c>
      <c r="K23" s="452">
        <v>21444</v>
      </c>
      <c r="L23" s="452">
        <v>21843</v>
      </c>
      <c r="M23" s="452">
        <v>26973</v>
      </c>
      <c r="N23" s="452">
        <v>13690</v>
      </c>
      <c r="O23" s="452">
        <v>9618</v>
      </c>
      <c r="P23" s="452">
        <v>8295</v>
      </c>
      <c r="Q23" s="453">
        <v>-2.98E-3</v>
      </c>
      <c r="R23" s="454">
        <f t="shared" si="1"/>
        <v>-85.7346</v>
      </c>
      <c r="S23" s="454">
        <f t="shared" si="2"/>
        <v>-66.069580000000002</v>
      </c>
      <c r="T23" s="454">
        <f t="shared" si="3"/>
        <v>-55.526339999999998</v>
      </c>
      <c r="U23" s="454">
        <f t="shared" si="4"/>
        <v>-84.685640000000006</v>
      </c>
      <c r="V23" s="454">
        <f t="shared" si="5"/>
        <v>-103.24806</v>
      </c>
      <c r="W23" s="454">
        <f t="shared" si="6"/>
        <v>-75.373140000000006</v>
      </c>
      <c r="X23" s="454">
        <f t="shared" si="7"/>
        <v>-63.903120000000001</v>
      </c>
      <c r="Y23" s="454">
        <f t="shared" si="8"/>
        <v>-65.092140000000001</v>
      </c>
      <c r="Z23" s="454">
        <f t="shared" si="9"/>
        <v>-80.379540000000006</v>
      </c>
      <c r="AA23" s="454">
        <f t="shared" si="10"/>
        <v>-40.796199999999999</v>
      </c>
      <c r="AB23" s="454">
        <f t="shared" si="11"/>
        <v>-28.661639999999998</v>
      </c>
      <c r="AC23" s="454">
        <f t="shared" si="12"/>
        <v>-24.719100000000001</v>
      </c>
      <c r="AD23" s="455">
        <f t="shared" si="14"/>
        <v>-774.18910000000017</v>
      </c>
      <c r="AE23" s="456">
        <f t="shared" si="13"/>
        <v>0</v>
      </c>
    </row>
    <row r="24" spans="1:31">
      <c r="A24" s="448"/>
      <c r="B24" s="449" t="s">
        <v>442</v>
      </c>
      <c r="C24" s="451" t="s">
        <v>427</v>
      </c>
      <c r="D24" s="422">
        <v>15</v>
      </c>
      <c r="E24" s="452">
        <v>11399</v>
      </c>
      <c r="F24" s="452">
        <v>9347</v>
      </c>
      <c r="G24" s="452">
        <v>10288</v>
      </c>
      <c r="H24" s="452">
        <v>10505</v>
      </c>
      <c r="I24" s="452">
        <v>9926</v>
      </c>
      <c r="J24" s="452">
        <v>10031</v>
      </c>
      <c r="K24" s="452">
        <v>10391</v>
      </c>
      <c r="L24" s="452">
        <v>10259</v>
      </c>
      <c r="M24" s="452">
        <v>10668</v>
      </c>
      <c r="N24" s="452">
        <v>9850</v>
      </c>
      <c r="O24" s="452">
        <v>10183</v>
      </c>
      <c r="P24" s="452">
        <v>10440</v>
      </c>
      <c r="Q24" s="453">
        <v>-2.98E-3</v>
      </c>
      <c r="R24" s="454">
        <f t="shared" si="1"/>
        <v>-33.96902</v>
      </c>
      <c r="S24" s="454">
        <f t="shared" si="2"/>
        <v>-27.85406</v>
      </c>
      <c r="T24" s="454">
        <f t="shared" si="3"/>
        <v>-30.658239999999999</v>
      </c>
      <c r="U24" s="454">
        <f t="shared" si="4"/>
        <v>-31.3049</v>
      </c>
      <c r="V24" s="454">
        <f t="shared" si="5"/>
        <v>-29.57948</v>
      </c>
      <c r="W24" s="454">
        <f t="shared" si="6"/>
        <v>-29.892379999999999</v>
      </c>
      <c r="X24" s="454">
        <f t="shared" si="7"/>
        <v>-30.96518</v>
      </c>
      <c r="Y24" s="454">
        <f t="shared" si="8"/>
        <v>-30.571819999999999</v>
      </c>
      <c r="Z24" s="454">
        <f t="shared" si="9"/>
        <v>-31.79064</v>
      </c>
      <c r="AA24" s="454">
        <f t="shared" si="10"/>
        <v>-29.353000000000002</v>
      </c>
      <c r="AB24" s="454">
        <f t="shared" si="11"/>
        <v>-30.34534</v>
      </c>
      <c r="AC24" s="454">
        <f t="shared" si="12"/>
        <v>-31.1112</v>
      </c>
      <c r="AD24" s="455">
        <f t="shared" si="14"/>
        <v>-367.39526000000006</v>
      </c>
      <c r="AE24" s="456">
        <f t="shared" si="13"/>
        <v>0</v>
      </c>
    </row>
    <row r="25" spans="1:31">
      <c r="A25" s="448"/>
      <c r="B25" s="449" t="s">
        <v>442</v>
      </c>
      <c r="C25" s="451" t="s">
        <v>427</v>
      </c>
      <c r="D25" s="422">
        <v>24</v>
      </c>
      <c r="E25" s="452">
        <v>1351914</v>
      </c>
      <c r="F25" s="452">
        <v>1364771</v>
      </c>
      <c r="G25" s="452">
        <v>1347820</v>
      </c>
      <c r="H25" s="452">
        <v>1231190</v>
      </c>
      <c r="I25" s="452">
        <v>1270226</v>
      </c>
      <c r="J25" s="452">
        <v>1431673</v>
      </c>
      <c r="K25" s="452">
        <v>1375989</v>
      </c>
      <c r="L25" s="452">
        <v>1324138</v>
      </c>
      <c r="M25" s="452">
        <v>1227487</v>
      </c>
      <c r="N25" s="452">
        <v>1074837</v>
      </c>
      <c r="O25" s="452">
        <v>1034281</v>
      </c>
      <c r="P25" s="452">
        <v>1106589</v>
      </c>
      <c r="Q25" s="453">
        <v>-2.0300000000000001E-3</v>
      </c>
      <c r="R25" s="454">
        <f t="shared" si="1"/>
        <v>-2744.3854200000001</v>
      </c>
      <c r="S25" s="454">
        <f t="shared" si="2"/>
        <v>-2770.48513</v>
      </c>
      <c r="T25" s="454">
        <f t="shared" si="3"/>
        <v>-2736.0746000000004</v>
      </c>
      <c r="U25" s="454">
        <f t="shared" si="4"/>
        <v>-2499.3157000000001</v>
      </c>
      <c r="V25" s="454">
        <f t="shared" si="5"/>
        <v>-2578.5587800000003</v>
      </c>
      <c r="W25" s="454">
        <f t="shared" si="6"/>
        <v>-2906.29619</v>
      </c>
      <c r="X25" s="454">
        <f t="shared" si="7"/>
        <v>-2793.25767</v>
      </c>
      <c r="Y25" s="454">
        <f t="shared" si="8"/>
        <v>-2688.0001400000001</v>
      </c>
      <c r="Z25" s="454">
        <f t="shared" si="9"/>
        <v>-2491.7986100000003</v>
      </c>
      <c r="AA25" s="454">
        <f t="shared" si="10"/>
        <v>-2181.9191100000003</v>
      </c>
      <c r="AB25" s="454">
        <f t="shared" si="11"/>
        <v>-2099.5904300000002</v>
      </c>
      <c r="AC25" s="454">
        <f t="shared" si="12"/>
        <v>-2246.3756700000004</v>
      </c>
      <c r="AD25" s="455">
        <f t="shared" si="14"/>
        <v>-30736.05745</v>
      </c>
      <c r="AE25" s="456">
        <f t="shared" si="13"/>
        <v>0</v>
      </c>
    </row>
    <row r="26" spans="1:31">
      <c r="A26" s="448"/>
      <c r="B26" s="449" t="s">
        <v>442</v>
      </c>
      <c r="C26" s="451" t="s">
        <v>427</v>
      </c>
      <c r="D26" s="422" t="s">
        <v>410</v>
      </c>
      <c r="E26" s="452">
        <v>8708380</v>
      </c>
      <c r="F26" s="452">
        <v>7967600</v>
      </c>
      <c r="G26" s="452">
        <v>9541240</v>
      </c>
      <c r="H26" s="452">
        <v>9902100</v>
      </c>
      <c r="I26" s="452">
        <v>8783380</v>
      </c>
      <c r="J26" s="452">
        <v>8629440</v>
      </c>
      <c r="K26" s="452">
        <v>7655040</v>
      </c>
      <c r="L26" s="452">
        <v>7557094</v>
      </c>
      <c r="M26" s="452">
        <v>7587960</v>
      </c>
      <c r="N26" s="452">
        <v>7162500</v>
      </c>
      <c r="O26" s="452">
        <v>6832420</v>
      </c>
      <c r="P26" s="452">
        <v>6320500</v>
      </c>
      <c r="Q26" s="453">
        <v>-1.7799999999999999E-3</v>
      </c>
      <c r="R26" s="454">
        <f t="shared" si="1"/>
        <v>-15500.916399999998</v>
      </c>
      <c r="S26" s="454">
        <f t="shared" si="2"/>
        <v>-14182.328</v>
      </c>
      <c r="T26" s="454">
        <f t="shared" si="3"/>
        <v>-16983.407199999998</v>
      </c>
      <c r="U26" s="454">
        <f t="shared" si="4"/>
        <v>-17625.737999999998</v>
      </c>
      <c r="V26" s="454">
        <f t="shared" si="5"/>
        <v>-15634.416399999998</v>
      </c>
      <c r="W26" s="454">
        <f t="shared" si="6"/>
        <v>-15360.403199999999</v>
      </c>
      <c r="X26" s="454">
        <f t="shared" si="7"/>
        <v>-13625.9712</v>
      </c>
      <c r="Y26" s="454">
        <f t="shared" si="8"/>
        <v>-13451.62732</v>
      </c>
      <c r="Z26" s="454">
        <f t="shared" si="9"/>
        <v>-13506.568799999999</v>
      </c>
      <c r="AA26" s="454">
        <f t="shared" si="10"/>
        <v>-12749.25</v>
      </c>
      <c r="AB26" s="454">
        <f t="shared" si="11"/>
        <v>-12161.7076</v>
      </c>
      <c r="AC26" s="454">
        <f t="shared" si="12"/>
        <v>-11250.49</v>
      </c>
      <c r="AD26" s="455">
        <f t="shared" si="14"/>
        <v>-172032.82411999998</v>
      </c>
      <c r="AE26" s="456">
        <f t="shared" ref="AE26:AE28" si="15">AD26-SUM(R26:AC26)</f>
        <v>0</v>
      </c>
    </row>
    <row r="27" spans="1:31">
      <c r="A27" s="448"/>
      <c r="B27" s="449" t="s">
        <v>442</v>
      </c>
      <c r="C27" s="451" t="s">
        <v>427</v>
      </c>
      <c r="D27" s="422">
        <v>47</v>
      </c>
      <c r="E27" s="452">
        <v>96000</v>
      </c>
      <c r="F27" s="452">
        <v>113000</v>
      </c>
      <c r="G27" s="452">
        <v>150000</v>
      </c>
      <c r="H27" s="452">
        <v>105000</v>
      </c>
      <c r="I27" s="452">
        <v>525000</v>
      </c>
      <c r="J27" s="452">
        <v>286950</v>
      </c>
      <c r="K27" s="452">
        <v>0</v>
      </c>
      <c r="L27" s="452">
        <v>33000</v>
      </c>
      <c r="M27" s="452">
        <v>71000</v>
      </c>
      <c r="N27" s="452">
        <v>143000</v>
      </c>
      <c r="O27" s="452">
        <v>97000</v>
      </c>
      <c r="P27" s="452">
        <v>118000</v>
      </c>
      <c r="Q27" s="453">
        <v>-1.48E-3</v>
      </c>
      <c r="R27" s="454">
        <f t="shared" si="1"/>
        <v>-142.07999999999998</v>
      </c>
      <c r="S27" s="454">
        <f t="shared" si="2"/>
        <v>-167.24</v>
      </c>
      <c r="T27" s="454">
        <f t="shared" si="3"/>
        <v>-222</v>
      </c>
      <c r="U27" s="454">
        <f t="shared" si="4"/>
        <v>-155.4</v>
      </c>
      <c r="V27" s="454">
        <f t="shared" si="5"/>
        <v>-777</v>
      </c>
      <c r="W27" s="454">
        <f t="shared" si="6"/>
        <v>-424.68599999999998</v>
      </c>
      <c r="X27" s="454">
        <f t="shared" si="7"/>
        <v>0</v>
      </c>
      <c r="Y27" s="454">
        <f t="shared" si="8"/>
        <v>-48.839999999999996</v>
      </c>
      <c r="Z27" s="454">
        <f t="shared" si="9"/>
        <v>-105.08</v>
      </c>
      <c r="AA27" s="454">
        <f t="shared" si="10"/>
        <v>-211.64</v>
      </c>
      <c r="AB27" s="454">
        <f t="shared" si="11"/>
        <v>-143.56</v>
      </c>
      <c r="AC27" s="454">
        <f t="shared" si="12"/>
        <v>-174.64</v>
      </c>
      <c r="AD27" s="455">
        <f t="shared" si="14"/>
        <v>-2572.1659999999993</v>
      </c>
      <c r="AE27" s="456">
        <f t="shared" si="15"/>
        <v>0</v>
      </c>
    </row>
    <row r="28" spans="1:31">
      <c r="A28" s="448"/>
      <c r="B28" s="449" t="s">
        <v>442</v>
      </c>
      <c r="C28" s="451" t="s">
        <v>427</v>
      </c>
      <c r="D28" s="423" t="s">
        <v>67</v>
      </c>
      <c r="E28" s="452">
        <v>59796400</v>
      </c>
      <c r="F28" s="452">
        <v>56882750</v>
      </c>
      <c r="G28" s="452">
        <v>56764150</v>
      </c>
      <c r="H28" s="452">
        <v>55167100</v>
      </c>
      <c r="I28" s="452">
        <v>57921650</v>
      </c>
      <c r="J28" s="452">
        <v>55263600</v>
      </c>
      <c r="K28" s="452">
        <v>56644650</v>
      </c>
      <c r="L28" s="452">
        <v>57148400</v>
      </c>
      <c r="M28" s="452">
        <v>57690650</v>
      </c>
      <c r="N28" s="452">
        <v>56358850</v>
      </c>
      <c r="O28" s="452">
        <v>53237950</v>
      </c>
      <c r="P28" s="452">
        <v>60199350</v>
      </c>
      <c r="Q28" s="453">
        <v>-1.48E-3</v>
      </c>
      <c r="R28" s="454">
        <f t="shared" si="1"/>
        <v>-88498.672000000006</v>
      </c>
      <c r="S28" s="454">
        <f t="shared" si="2"/>
        <v>-84186.47</v>
      </c>
      <c r="T28" s="454">
        <f t="shared" si="3"/>
        <v>-84010.941999999995</v>
      </c>
      <c r="U28" s="454">
        <f t="shared" si="4"/>
        <v>-81647.308000000005</v>
      </c>
      <c r="V28" s="454">
        <f t="shared" si="5"/>
        <v>-85724.042000000001</v>
      </c>
      <c r="W28" s="454">
        <f t="shared" si="6"/>
        <v>-81790.127999999997</v>
      </c>
      <c r="X28" s="454">
        <f t="shared" si="7"/>
        <v>-83834.081999999995</v>
      </c>
      <c r="Y28" s="454">
        <f t="shared" si="8"/>
        <v>-84579.631999999998</v>
      </c>
      <c r="Z28" s="454">
        <f t="shared" si="9"/>
        <v>-85382.161999999997</v>
      </c>
      <c r="AA28" s="454">
        <f t="shared" si="10"/>
        <v>-83411.097999999998</v>
      </c>
      <c r="AB28" s="454">
        <f t="shared" si="11"/>
        <v>-78792.165999999997</v>
      </c>
      <c r="AC28" s="454">
        <f t="shared" si="12"/>
        <v>-89095.038</v>
      </c>
      <c r="AD28" s="455">
        <f t="shared" si="14"/>
        <v>-1010951.74</v>
      </c>
      <c r="AE28" s="456">
        <f t="shared" si="15"/>
        <v>0</v>
      </c>
    </row>
    <row r="29" spans="1:31">
      <c r="A29" s="448"/>
      <c r="B29" s="449" t="s">
        <v>442</v>
      </c>
      <c r="C29" s="451" t="s">
        <v>428</v>
      </c>
      <c r="D29" s="422">
        <v>40</v>
      </c>
      <c r="E29" s="452">
        <v>33728980</v>
      </c>
      <c r="F29" s="452">
        <v>34007335</v>
      </c>
      <c r="G29" s="452">
        <v>29146299</v>
      </c>
      <c r="H29" s="452">
        <v>13987606</v>
      </c>
      <c r="I29" s="452">
        <v>7123051</v>
      </c>
      <c r="J29" s="452">
        <v>1696289</v>
      </c>
      <c r="K29" s="452">
        <v>613380</v>
      </c>
      <c r="L29" s="452">
        <v>534821</v>
      </c>
      <c r="M29" s="452">
        <v>2607709</v>
      </c>
      <c r="N29" s="452">
        <v>8136764</v>
      </c>
      <c r="O29" s="452">
        <v>16311791</v>
      </c>
      <c r="P29" s="452">
        <v>20483882</v>
      </c>
      <c r="Q29" s="453">
        <v>-2.0400000000000001E-3</v>
      </c>
      <c r="R29" s="454">
        <f t="shared" si="1"/>
        <v>-68807.119200000001</v>
      </c>
      <c r="S29" s="454">
        <f t="shared" si="2"/>
        <v>-69374.963400000008</v>
      </c>
      <c r="T29" s="454">
        <f t="shared" si="3"/>
        <v>-59458.449960000005</v>
      </c>
      <c r="U29" s="454">
        <f t="shared" si="4"/>
        <v>-28534.716240000002</v>
      </c>
      <c r="V29" s="454">
        <f t="shared" si="5"/>
        <v>-14531.02404</v>
      </c>
      <c r="W29" s="454">
        <f t="shared" si="6"/>
        <v>-3460.42956</v>
      </c>
      <c r="X29" s="454">
        <f t="shared" si="7"/>
        <v>-1251.2952</v>
      </c>
      <c r="Y29" s="454">
        <f t="shared" si="8"/>
        <v>-1091.03484</v>
      </c>
      <c r="Z29" s="454">
        <f t="shared" si="9"/>
        <v>-5319.7263600000006</v>
      </c>
      <c r="AA29" s="454">
        <f t="shared" si="10"/>
        <v>-16598.99856</v>
      </c>
      <c r="AB29" s="454">
        <f t="shared" si="11"/>
        <v>-33276.053640000006</v>
      </c>
      <c r="AC29" s="454">
        <f t="shared" si="12"/>
        <v>-41787.119280000006</v>
      </c>
      <c r="AD29" s="455">
        <f>SUM(R29:AC29)</f>
        <v>-343490.93027999997</v>
      </c>
      <c r="AE29" s="456">
        <f>AD29-SUM(R29:AC29)</f>
        <v>0</v>
      </c>
    </row>
    <row r="30" spans="1:31">
      <c r="A30" s="448"/>
      <c r="B30" s="449" t="s">
        <v>442</v>
      </c>
      <c r="C30" s="422" t="s">
        <v>429</v>
      </c>
      <c r="D30" s="422" t="s">
        <v>412</v>
      </c>
      <c r="E30" s="452">
        <v>285813</v>
      </c>
      <c r="F30" s="452">
        <v>272755</v>
      </c>
      <c r="G30" s="452">
        <v>264801</v>
      </c>
      <c r="H30" s="452">
        <v>258599</v>
      </c>
      <c r="I30" s="452">
        <v>217240</v>
      </c>
      <c r="J30" s="452">
        <v>207454</v>
      </c>
      <c r="K30" s="452">
        <v>210270</v>
      </c>
      <c r="L30" s="452">
        <v>213485</v>
      </c>
      <c r="M30" s="452">
        <v>206928</v>
      </c>
      <c r="N30" s="452">
        <v>200911</v>
      </c>
      <c r="O30" s="452">
        <v>201520</v>
      </c>
      <c r="P30" s="452">
        <v>211485</v>
      </c>
      <c r="Q30" s="453">
        <v>-2.98E-3</v>
      </c>
      <c r="R30" s="454">
        <f t="shared" si="1"/>
        <v>-851.72274000000004</v>
      </c>
      <c r="S30" s="454">
        <f t="shared" si="2"/>
        <v>-812.80989999999997</v>
      </c>
      <c r="T30" s="454">
        <f t="shared" si="3"/>
        <v>-789.10698000000002</v>
      </c>
      <c r="U30" s="454">
        <f t="shared" si="4"/>
        <v>-770.62501999999995</v>
      </c>
      <c r="V30" s="454">
        <f t="shared" si="5"/>
        <v>-647.37519999999995</v>
      </c>
      <c r="W30" s="454">
        <f t="shared" si="6"/>
        <v>-618.21292000000005</v>
      </c>
      <c r="X30" s="454">
        <f t="shared" si="7"/>
        <v>-626.6046</v>
      </c>
      <c r="Y30" s="454">
        <f t="shared" si="8"/>
        <v>-636.18529999999998</v>
      </c>
      <c r="Z30" s="454">
        <f t="shared" si="9"/>
        <v>-616.64544000000001</v>
      </c>
      <c r="AA30" s="454">
        <f t="shared" si="10"/>
        <v>-598.71478000000002</v>
      </c>
      <c r="AB30" s="454">
        <f t="shared" si="11"/>
        <v>-600.52959999999996</v>
      </c>
      <c r="AC30" s="454">
        <f t="shared" si="12"/>
        <v>-630.22529999999995</v>
      </c>
      <c r="AD30" s="455">
        <f>SUM(R30:AC30)</f>
        <v>-8198.7577799999999</v>
      </c>
      <c r="AE30" s="456">
        <f>AD30-SUM(R30:AC30)</f>
        <v>0</v>
      </c>
    </row>
    <row r="31" spans="1:31">
      <c r="A31" s="448"/>
      <c r="B31" s="449" t="s">
        <v>442</v>
      </c>
      <c r="C31" s="422" t="s">
        <v>429</v>
      </c>
      <c r="D31" s="422" t="s">
        <v>413</v>
      </c>
      <c r="E31" s="452">
        <v>10162</v>
      </c>
      <c r="F31" s="452">
        <v>3489</v>
      </c>
      <c r="G31" s="452">
        <v>1452</v>
      </c>
      <c r="H31" s="452">
        <v>1452</v>
      </c>
      <c r="I31" s="452">
        <v>1496</v>
      </c>
      <c r="J31" s="452">
        <v>1335</v>
      </c>
      <c r="K31" s="452">
        <v>1423</v>
      </c>
      <c r="L31" s="452">
        <v>1379</v>
      </c>
      <c r="M31" s="452">
        <v>1379</v>
      </c>
      <c r="N31" s="452">
        <v>1409</v>
      </c>
      <c r="O31" s="452">
        <v>1165</v>
      </c>
      <c r="P31" s="452">
        <v>1165</v>
      </c>
      <c r="Q31" s="453">
        <v>-2.98E-3</v>
      </c>
      <c r="R31" s="454">
        <f t="shared" si="1"/>
        <v>-30.28276</v>
      </c>
      <c r="S31" s="454">
        <f t="shared" si="2"/>
        <v>-10.397220000000001</v>
      </c>
      <c r="T31" s="454">
        <f t="shared" si="3"/>
        <v>-4.3269599999999997</v>
      </c>
      <c r="U31" s="454">
        <f t="shared" si="4"/>
        <v>-4.3269599999999997</v>
      </c>
      <c r="V31" s="454">
        <f t="shared" si="5"/>
        <v>-4.4580799999999998</v>
      </c>
      <c r="W31" s="454">
        <f t="shared" si="6"/>
        <v>-3.9782999999999999</v>
      </c>
      <c r="X31" s="454">
        <f t="shared" si="7"/>
        <v>-4.2405400000000002</v>
      </c>
      <c r="Y31" s="454">
        <f t="shared" si="8"/>
        <v>-4.1094200000000001</v>
      </c>
      <c r="Z31" s="454">
        <f t="shared" si="9"/>
        <v>-4.1094200000000001</v>
      </c>
      <c r="AA31" s="454">
        <f t="shared" si="10"/>
        <v>-4.1988200000000004</v>
      </c>
      <c r="AB31" s="454">
        <f t="shared" si="11"/>
        <v>-3.4717000000000002</v>
      </c>
      <c r="AC31" s="454">
        <f t="shared" si="12"/>
        <v>-3.4717000000000002</v>
      </c>
      <c r="AD31" s="455">
        <f>SUM(R31:AC31)</f>
        <v>-81.37187999999999</v>
      </c>
      <c r="AE31" s="456">
        <f>AD31-SUM(R31:AC31)</f>
        <v>0</v>
      </c>
    </row>
    <row r="32" spans="1:31">
      <c r="A32" s="457"/>
      <c r="B32" s="449" t="s">
        <v>442</v>
      </c>
      <c r="C32" s="422" t="s">
        <v>429</v>
      </c>
      <c r="D32" s="422" t="s">
        <v>414</v>
      </c>
      <c r="E32" s="452">
        <v>290154</v>
      </c>
      <c r="F32" s="452">
        <v>295530</v>
      </c>
      <c r="G32" s="452">
        <v>295752</v>
      </c>
      <c r="H32" s="452">
        <v>305811</v>
      </c>
      <c r="I32" s="452">
        <v>316737</v>
      </c>
      <c r="J32" s="452">
        <v>327451</v>
      </c>
      <c r="K32" s="452">
        <v>332784</v>
      </c>
      <c r="L32" s="452">
        <v>318615</v>
      </c>
      <c r="M32" s="452">
        <v>309082</v>
      </c>
      <c r="N32" s="452">
        <v>300645</v>
      </c>
      <c r="O32" s="452">
        <v>169683</v>
      </c>
      <c r="P32" s="452">
        <v>162891</v>
      </c>
      <c r="Q32" s="453">
        <v>-2.98E-3</v>
      </c>
      <c r="R32" s="454">
        <f t="shared" si="1"/>
        <v>-864.65891999999997</v>
      </c>
      <c r="S32" s="454">
        <f t="shared" si="2"/>
        <v>-880.67939999999999</v>
      </c>
      <c r="T32" s="454">
        <f t="shared" si="3"/>
        <v>-881.34096</v>
      </c>
      <c r="U32" s="454">
        <f t="shared" si="4"/>
        <v>-911.31677999999999</v>
      </c>
      <c r="V32" s="454">
        <f t="shared" si="5"/>
        <v>-943.87626</v>
      </c>
      <c r="W32" s="454">
        <f t="shared" si="6"/>
        <v>-975.80398000000002</v>
      </c>
      <c r="X32" s="454">
        <f t="shared" si="7"/>
        <v>-991.69632000000001</v>
      </c>
      <c r="Y32" s="454">
        <f t="shared" si="8"/>
        <v>-949.47270000000003</v>
      </c>
      <c r="Z32" s="454">
        <f t="shared" si="9"/>
        <v>-921.06435999999997</v>
      </c>
      <c r="AA32" s="454">
        <f t="shared" si="10"/>
        <v>-895.9221</v>
      </c>
      <c r="AB32" s="454">
        <f t="shared" si="11"/>
        <v>-505.65534000000002</v>
      </c>
      <c r="AC32" s="454">
        <f t="shared" si="12"/>
        <v>-485.41518000000002</v>
      </c>
      <c r="AD32" s="455">
        <f>SUM(R32:AC32)</f>
        <v>-10206.9023</v>
      </c>
      <c r="AE32" s="456">
        <f>AD32-SUM(R32:AC32)</f>
        <v>0</v>
      </c>
    </row>
    <row r="33" spans="1:31">
      <c r="A33" s="458"/>
      <c r="B33" s="449" t="s">
        <v>442</v>
      </c>
      <c r="C33" s="422" t="s">
        <v>429</v>
      </c>
      <c r="D33" s="422">
        <v>57</v>
      </c>
      <c r="E33" s="452">
        <v>119561</v>
      </c>
      <c r="F33" s="452">
        <v>95456</v>
      </c>
      <c r="G33" s="452">
        <v>83021</v>
      </c>
      <c r="H33" s="452">
        <v>76285</v>
      </c>
      <c r="I33" s="452">
        <v>68120</v>
      </c>
      <c r="J33" s="452">
        <v>59024</v>
      </c>
      <c r="K33" s="452">
        <v>46696</v>
      </c>
      <c r="L33" s="452">
        <v>37779</v>
      </c>
      <c r="M33" s="452">
        <v>37724</v>
      </c>
      <c r="N33" s="452">
        <v>37724</v>
      </c>
      <c r="O33" s="452">
        <v>37724</v>
      </c>
      <c r="P33" s="452">
        <v>37724</v>
      </c>
      <c r="Q33" s="453">
        <v>-2.98E-3</v>
      </c>
      <c r="R33" s="454">
        <f t="shared" si="1"/>
        <v>-356.29178000000002</v>
      </c>
      <c r="S33" s="454">
        <f t="shared" si="2"/>
        <v>-284.45888000000002</v>
      </c>
      <c r="T33" s="454">
        <f t="shared" si="3"/>
        <v>-247.40258</v>
      </c>
      <c r="U33" s="454">
        <f t="shared" si="4"/>
        <v>-227.32929999999999</v>
      </c>
      <c r="V33" s="454">
        <f t="shared" si="5"/>
        <v>-202.99760000000001</v>
      </c>
      <c r="W33" s="454">
        <f t="shared" si="6"/>
        <v>-175.89152000000001</v>
      </c>
      <c r="X33" s="454">
        <f t="shared" si="7"/>
        <v>-139.15407999999999</v>
      </c>
      <c r="Y33" s="454">
        <f t="shared" si="8"/>
        <v>-112.58141999999999</v>
      </c>
      <c r="Z33" s="454">
        <f t="shared" si="9"/>
        <v>-112.41752</v>
      </c>
      <c r="AA33" s="454">
        <f t="shared" si="10"/>
        <v>-112.41752</v>
      </c>
      <c r="AB33" s="454">
        <f t="shared" si="11"/>
        <v>-112.41752</v>
      </c>
      <c r="AC33" s="454">
        <f t="shared" si="12"/>
        <v>-112.41752</v>
      </c>
      <c r="AD33" s="455">
        <f>SUM(R33:AC33)</f>
        <v>-2195.7772399999999</v>
      </c>
      <c r="AE33" s="456">
        <f>AD33-SUM(R33:AC33)</f>
        <v>0</v>
      </c>
    </row>
    <row r="34" spans="1:31">
      <c r="A34" s="458"/>
      <c r="B34" s="458"/>
      <c r="C34" s="450"/>
      <c r="E34" s="452"/>
      <c r="F34" s="452"/>
      <c r="G34" s="452"/>
      <c r="H34" s="452"/>
      <c r="I34" s="452"/>
      <c r="J34" s="452"/>
      <c r="K34" s="452"/>
      <c r="L34" s="452"/>
      <c r="M34" s="452"/>
      <c r="N34" s="452"/>
      <c r="O34" s="452"/>
      <c r="P34" s="452"/>
      <c r="Q34" s="459"/>
      <c r="R34" s="454"/>
      <c r="S34" s="454"/>
      <c r="T34" s="454"/>
      <c r="U34" s="454"/>
      <c r="V34" s="454"/>
      <c r="W34" s="454"/>
      <c r="X34" s="454"/>
      <c r="Y34" s="454"/>
      <c r="Z34" s="454"/>
      <c r="AA34" s="454"/>
      <c r="AB34" s="454"/>
      <c r="AC34" s="454"/>
      <c r="AD34" s="455"/>
      <c r="AE34" s="456"/>
    </row>
    <row r="35" spans="1:31" s="447" customFormat="1">
      <c r="D35" s="460" t="s">
        <v>423</v>
      </c>
      <c r="E35" s="461">
        <f>SUM(E12:E33)</f>
        <v>344017003</v>
      </c>
      <c r="F35" s="461">
        <f t="shared" ref="F35:P35" si="16">SUM(F12:F33)</f>
        <v>355696783</v>
      </c>
      <c r="G35" s="461">
        <f t="shared" si="16"/>
        <v>353262800</v>
      </c>
      <c r="H35" s="461">
        <f t="shared" si="16"/>
        <v>310175526</v>
      </c>
      <c r="I35" s="461">
        <f t="shared" si="16"/>
        <v>348442960</v>
      </c>
      <c r="J35" s="461">
        <f t="shared" si="16"/>
        <v>408766327</v>
      </c>
      <c r="K35" s="461">
        <f t="shared" si="16"/>
        <v>393027573</v>
      </c>
      <c r="L35" s="461">
        <f t="shared" si="16"/>
        <v>357091507</v>
      </c>
      <c r="M35" s="461">
        <f t="shared" si="16"/>
        <v>324242020</v>
      </c>
      <c r="N35" s="461">
        <f t="shared" si="16"/>
        <v>299291693</v>
      </c>
      <c r="O35" s="461">
        <f t="shared" si="16"/>
        <v>269777817</v>
      </c>
      <c r="P35" s="461">
        <f t="shared" si="16"/>
        <v>295419926</v>
      </c>
      <c r="Q35" s="459"/>
      <c r="R35" s="455">
        <f>SUM(R12:R33)</f>
        <v>-677905.94279999984</v>
      </c>
      <c r="S35" s="455">
        <f t="shared" ref="S35:AC35" si="17">SUM(S12:S33)</f>
        <v>-708974.6855100001</v>
      </c>
      <c r="T35" s="455">
        <f t="shared" si="17"/>
        <v>-695615.91567000002</v>
      </c>
      <c r="U35" s="455">
        <f t="shared" si="17"/>
        <v>-606217.88140999991</v>
      </c>
      <c r="V35" s="455">
        <f t="shared" si="17"/>
        <v>-695821.50210000016</v>
      </c>
      <c r="W35" s="455">
        <f t="shared" si="17"/>
        <v>-841761.60462999984</v>
      </c>
      <c r="X35" s="455">
        <f t="shared" si="17"/>
        <v>-807893.97314000013</v>
      </c>
      <c r="Y35" s="455">
        <f t="shared" si="17"/>
        <v>-725797.56789999979</v>
      </c>
      <c r="Z35" s="455">
        <f t="shared" si="17"/>
        <v>-653942.02798999997</v>
      </c>
      <c r="AA35" s="455">
        <f t="shared" si="17"/>
        <v>-597759.51364000002</v>
      </c>
      <c r="AB35" s="455">
        <f t="shared" si="17"/>
        <v>-530634.73421999998</v>
      </c>
      <c r="AC35" s="455">
        <f t="shared" si="17"/>
        <v>-577944.02191000013</v>
      </c>
      <c r="AD35" s="455">
        <f>SUM(AD12:AD33)</f>
        <v>-8120269.3709199997</v>
      </c>
      <c r="AE35" s="456">
        <f>AD35-SUM(R35:AC35)</f>
        <v>0</v>
      </c>
    </row>
    <row r="36" spans="1:31">
      <c r="C36" s="462"/>
      <c r="E36" s="452"/>
      <c r="F36" s="452"/>
      <c r="G36" s="452"/>
      <c r="H36" s="452"/>
      <c r="I36" s="452"/>
      <c r="J36" s="452"/>
      <c r="K36" s="452"/>
      <c r="L36" s="452"/>
      <c r="M36" s="452"/>
      <c r="N36" s="452"/>
      <c r="O36" s="452"/>
      <c r="P36" s="452"/>
    </row>
    <row r="37" spans="1:31">
      <c r="B37" s="422" t="s">
        <v>442</v>
      </c>
      <c r="D37" s="463" t="s">
        <v>444</v>
      </c>
      <c r="E37" s="452">
        <v>0</v>
      </c>
      <c r="F37" s="452">
        <v>0</v>
      </c>
      <c r="G37" s="452">
        <v>0</v>
      </c>
      <c r="H37" s="452"/>
      <c r="I37" s="452"/>
      <c r="J37" s="452"/>
      <c r="K37" s="452">
        <v>0</v>
      </c>
      <c r="L37" s="452">
        <v>0</v>
      </c>
      <c r="M37" s="452">
        <v>0</v>
      </c>
      <c r="N37" s="452">
        <v>0</v>
      </c>
      <c r="O37" s="452">
        <v>0</v>
      </c>
      <c r="P37" s="452">
        <v>0</v>
      </c>
      <c r="Q37" s="464"/>
      <c r="R37" s="465">
        <f>R35-SUM(R12:R33)</f>
        <v>0</v>
      </c>
      <c r="S37" s="465">
        <f t="shared" ref="S37:AC37" si="18">S35-SUM(S12:S33)</f>
        <v>0</v>
      </c>
      <c r="T37" s="465">
        <f t="shared" si="18"/>
        <v>0</v>
      </c>
      <c r="U37" s="465">
        <f t="shared" si="18"/>
        <v>0</v>
      </c>
      <c r="V37" s="465">
        <f t="shared" si="18"/>
        <v>0</v>
      </c>
      <c r="W37" s="465">
        <f t="shared" si="18"/>
        <v>0</v>
      </c>
      <c r="X37" s="465">
        <f t="shared" si="18"/>
        <v>0</v>
      </c>
      <c r="Y37" s="465">
        <f t="shared" si="18"/>
        <v>0</v>
      </c>
      <c r="Z37" s="465">
        <f t="shared" si="18"/>
        <v>0</v>
      </c>
      <c r="AA37" s="465">
        <f t="shared" si="18"/>
        <v>0</v>
      </c>
      <c r="AB37" s="465">
        <f t="shared" si="18"/>
        <v>0</v>
      </c>
      <c r="AC37" s="465">
        <f t="shared" si="18"/>
        <v>0</v>
      </c>
      <c r="AD37" s="465">
        <f>AD35-SUM(AD12:AD33)</f>
        <v>0</v>
      </c>
    </row>
    <row r="38" spans="1:31">
      <c r="E38" s="452"/>
      <c r="F38" s="452"/>
      <c r="G38" s="452"/>
      <c r="I38" s="452"/>
      <c r="J38" s="452"/>
      <c r="K38" s="452"/>
      <c r="L38" s="452"/>
      <c r="M38" s="452"/>
      <c r="N38" s="452"/>
      <c r="O38" s="452"/>
      <c r="P38" s="452"/>
      <c r="Q38" s="464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</row>
    <row r="39" spans="1:31">
      <c r="D39" s="464" t="s">
        <v>445</v>
      </c>
      <c r="E39" s="452"/>
      <c r="F39" s="452"/>
      <c r="G39" s="452"/>
      <c r="I39" s="452">
        <v>0</v>
      </c>
      <c r="J39" s="452">
        <v>0</v>
      </c>
      <c r="K39" s="452"/>
      <c r="L39" s="452"/>
      <c r="M39" s="452"/>
      <c r="N39" s="452"/>
      <c r="O39" s="452"/>
      <c r="P39" s="452"/>
    </row>
    <row r="40" spans="1:31">
      <c r="D40" s="422"/>
      <c r="E40" s="452"/>
      <c r="F40" s="452"/>
      <c r="G40" s="452"/>
      <c r="H40" s="452"/>
      <c r="K40" s="452"/>
      <c r="L40" s="452"/>
      <c r="M40" s="452"/>
      <c r="N40" s="452"/>
      <c r="O40" s="452"/>
      <c r="P40" s="452"/>
    </row>
    <row r="41" spans="1:31">
      <c r="D41" s="464" t="s">
        <v>446</v>
      </c>
      <c r="E41" s="452"/>
      <c r="F41" s="452"/>
      <c r="G41" s="452"/>
      <c r="H41" s="452"/>
      <c r="I41" s="452">
        <v>0</v>
      </c>
      <c r="J41" s="452">
        <v>0</v>
      </c>
      <c r="K41" s="452"/>
      <c r="L41" s="452"/>
      <c r="M41" s="452"/>
      <c r="N41" s="452"/>
      <c r="O41" s="452"/>
      <c r="P41" s="452"/>
      <c r="Q41" s="466"/>
      <c r="R41" s="466"/>
      <c r="S41" s="466"/>
      <c r="T41" s="466"/>
      <c r="U41" s="466"/>
      <c r="V41" s="466"/>
      <c r="W41" s="466"/>
      <c r="X41" s="466"/>
      <c r="Y41" s="466"/>
      <c r="Z41" s="466"/>
      <c r="AA41" s="466"/>
      <c r="AB41" s="466"/>
      <c r="AC41" s="466"/>
      <c r="AD41" s="467"/>
    </row>
    <row r="42" spans="1:31">
      <c r="E42" s="452"/>
      <c r="F42" s="452"/>
      <c r="G42" s="452"/>
      <c r="H42" s="452"/>
      <c r="K42" s="452"/>
      <c r="L42" s="452"/>
      <c r="N42" s="452"/>
      <c r="O42" s="452"/>
      <c r="P42" s="452"/>
    </row>
    <row r="43" spans="1:31"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2"/>
    </row>
    <row r="44" spans="1:31"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52"/>
      <c r="P44" s="452"/>
    </row>
    <row r="45" spans="1:31"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</row>
    <row r="46" spans="1:31"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</row>
    <row r="47" spans="1:31"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</row>
    <row r="48" spans="1:31">
      <c r="E48" s="452"/>
      <c r="F48" s="452"/>
      <c r="G48" s="452"/>
      <c r="H48" s="452"/>
      <c r="I48" s="452"/>
      <c r="J48" s="452"/>
      <c r="K48" s="452"/>
      <c r="L48" s="452"/>
      <c r="M48" s="452"/>
      <c r="N48" s="452"/>
      <c r="O48" s="452"/>
      <c r="P48" s="452"/>
    </row>
    <row r="49" spans="5:16">
      <c r="E49" s="452"/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</row>
    <row r="50" spans="5:16"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</row>
    <row r="51" spans="5:16">
      <c r="E51" s="452"/>
      <c r="F51" s="452"/>
      <c r="G51" s="452"/>
      <c r="H51" s="452"/>
      <c r="I51" s="452"/>
      <c r="J51" s="452"/>
      <c r="K51" s="452"/>
      <c r="L51" s="452"/>
      <c r="M51" s="452"/>
      <c r="N51" s="452"/>
      <c r="O51" s="452"/>
      <c r="P51" s="452"/>
    </row>
    <row r="52" spans="5:16">
      <c r="E52" s="452"/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</row>
    <row r="53" spans="5:16">
      <c r="E53" s="452"/>
      <c r="F53" s="452"/>
      <c r="G53" s="452"/>
      <c r="H53" s="452"/>
      <c r="I53" s="452"/>
      <c r="J53" s="452"/>
      <c r="K53" s="452"/>
      <c r="L53" s="452"/>
      <c r="M53" s="452"/>
      <c r="N53" s="452"/>
      <c r="O53" s="452"/>
      <c r="P53" s="452"/>
    </row>
    <row r="54" spans="5:16"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</row>
    <row r="55" spans="5:16"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2"/>
    </row>
    <row r="56" spans="5:16">
      <c r="E56" s="452"/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</row>
    <row r="57" spans="5:16">
      <c r="E57" s="452"/>
      <c r="F57" s="452"/>
      <c r="G57" s="452"/>
      <c r="H57" s="452"/>
      <c r="I57" s="452"/>
      <c r="J57" s="452"/>
      <c r="K57" s="452"/>
      <c r="L57" s="452"/>
      <c r="M57" s="452"/>
      <c r="N57" s="452"/>
      <c r="O57" s="452"/>
      <c r="P57" s="452"/>
    </row>
    <row r="58" spans="5:16">
      <c r="E58" s="452"/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</row>
    <row r="59" spans="5:16">
      <c r="E59" s="452"/>
      <c r="F59" s="452"/>
      <c r="G59" s="452"/>
      <c r="H59" s="452"/>
      <c r="I59" s="452"/>
      <c r="J59" s="452"/>
      <c r="K59" s="452"/>
      <c r="L59" s="452"/>
      <c r="M59" s="452"/>
    </row>
  </sheetData>
  <conditionalFormatting sqref="N42:P58 E38:G39 K40:K41 K42:L42 E40:H40 E42:H42 I38:K39 E43:M59 E41:J41 E34:P37 K12:P33">
    <cfRule type="cellIs" dxfId="7" priority="9" operator="lessThan">
      <formula>0</formula>
    </cfRule>
  </conditionalFormatting>
  <conditionalFormatting sqref="D28">
    <cfRule type="cellIs" dxfId="6" priority="8" operator="lessThan">
      <formula>0</formula>
    </cfRule>
  </conditionalFormatting>
  <conditionalFormatting sqref="D28">
    <cfRule type="cellIs" dxfId="5" priority="7" operator="lessThan">
      <formula>0</formula>
    </cfRule>
  </conditionalFormatting>
  <conditionalFormatting sqref="O38:P41">
    <cfRule type="cellIs" dxfId="4" priority="6" operator="lessThan">
      <formula>0</formula>
    </cfRule>
  </conditionalFormatting>
  <conditionalFormatting sqref="L38:L41">
    <cfRule type="cellIs" dxfId="3" priority="5" operator="lessThan">
      <formula>0</formula>
    </cfRule>
  </conditionalFormatting>
  <conditionalFormatting sqref="M38:M41">
    <cfRule type="cellIs" dxfId="2" priority="4" operator="lessThan">
      <formula>0</formula>
    </cfRule>
  </conditionalFormatting>
  <conditionalFormatting sqref="N38:N41">
    <cfRule type="cellIs" dxfId="1" priority="3" operator="lessThan">
      <formula>0</formula>
    </cfRule>
  </conditionalFormatting>
  <conditionalFormatting sqref="E12:J33">
    <cfRule type="cellIs" dxfId="0" priority="1" operator="lessThan">
      <formula>0</formula>
    </cfRule>
  </conditionalFormatting>
  <printOptions horizontalCentered="1" gridLines="1" gridLinesSet="0"/>
  <pageMargins left="0.5" right="0.5" top="0.5" bottom="0.62" header="0.5" footer="0.46"/>
  <pageSetup scale="27" orientation="landscape" r:id="rId1"/>
  <headerFooter alignWithMargins="0">
    <oddFooter>&amp;L&amp;8&amp;D&amp;C&amp;8Prepared by Pricing&amp;R&amp;8&amp;F: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9">
    <pageSetUpPr fitToPage="1"/>
  </sheetPr>
  <dimension ref="A3:AI122"/>
  <sheetViews>
    <sheetView zoomScale="70" zoomScaleNormal="70" workbookViewId="0">
      <selection activeCell="F72" sqref="F72"/>
    </sheetView>
  </sheetViews>
  <sheetFormatPr defaultColWidth="9.59765625" defaultRowHeight="15.6"/>
  <cols>
    <col min="1" max="1" width="17.19921875" style="2" bestFit="1" customWidth="1"/>
    <col min="2" max="9" width="16.3984375" style="2" customWidth="1"/>
    <col min="10" max="10" width="13.19921875" style="2" bestFit="1" customWidth="1"/>
    <col min="11" max="11" width="18" style="2" bestFit="1" customWidth="1"/>
    <col min="12" max="12" width="14.5" style="2" bestFit="1" customWidth="1"/>
    <col min="13" max="13" width="9.59765625" style="2" customWidth="1"/>
    <col min="14" max="14" width="13.09765625" style="2" bestFit="1" customWidth="1"/>
    <col min="15" max="15" width="14.59765625" style="2" bestFit="1" customWidth="1"/>
    <col min="16" max="16" width="12" style="2" bestFit="1" customWidth="1"/>
    <col min="17" max="17" width="14.8984375" style="2" bestFit="1" customWidth="1"/>
    <col min="18" max="18" width="12.3984375" style="2" bestFit="1" customWidth="1"/>
    <col min="19" max="19" width="12" style="2" bestFit="1" customWidth="1"/>
    <col min="20" max="20" width="14.8984375" style="2" bestFit="1" customWidth="1"/>
    <col min="21" max="21" width="12.8984375" style="2" bestFit="1" customWidth="1"/>
    <col min="22" max="22" width="19.59765625" style="2" bestFit="1" customWidth="1"/>
    <col min="23" max="23" width="12.8984375" style="2" bestFit="1" customWidth="1"/>
    <col min="24" max="24" width="19.59765625" style="2" bestFit="1" customWidth="1"/>
    <col min="25" max="25" width="13.19921875" style="2" bestFit="1" customWidth="1"/>
    <col min="26" max="16384" width="9.59765625" style="2"/>
  </cols>
  <sheetData>
    <row r="3" spans="1:27" ht="17.399999999999999">
      <c r="A3" s="225" t="s">
        <v>43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55"/>
      <c r="V3" s="155"/>
      <c r="W3" s="155"/>
      <c r="X3" s="155"/>
      <c r="Y3" s="155"/>
      <c r="Z3" s="155"/>
      <c r="AA3" s="155"/>
    </row>
    <row r="4" spans="1:27" ht="17.399999999999999">
      <c r="A4" s="225" t="str">
        <f>'Table 1-Revenues'!A6</f>
        <v>12 Months Ended June 2020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55"/>
      <c r="V4" s="155"/>
      <c r="W4" s="155"/>
      <c r="X4" s="155"/>
      <c r="Y4" s="155"/>
      <c r="Z4" s="155"/>
      <c r="AA4" s="155"/>
    </row>
    <row r="7" spans="1:27">
      <c r="A7" s="129" t="s">
        <v>63</v>
      </c>
      <c r="B7" s="75" t="s">
        <v>11</v>
      </c>
      <c r="C7" s="226" t="s">
        <v>172</v>
      </c>
      <c r="D7" s="75" t="s">
        <v>172</v>
      </c>
      <c r="E7" s="226"/>
      <c r="F7" s="75"/>
      <c r="G7" s="226" t="s">
        <v>1</v>
      </c>
      <c r="H7" s="67"/>
      <c r="I7" s="67"/>
      <c r="J7" s="77"/>
      <c r="K7" s="227"/>
      <c r="L7" s="227"/>
      <c r="M7" s="227"/>
      <c r="N7" s="227"/>
      <c r="O7" s="77"/>
      <c r="P7" s="67"/>
      <c r="Q7" s="67"/>
      <c r="R7" s="67"/>
      <c r="S7" s="67"/>
    </row>
    <row r="8" spans="1:27">
      <c r="A8" s="2" t="s">
        <v>15</v>
      </c>
      <c r="B8" s="75" t="s">
        <v>14</v>
      </c>
      <c r="C8" s="226" t="s">
        <v>173</v>
      </c>
      <c r="D8" s="75" t="s">
        <v>174</v>
      </c>
      <c r="E8" s="226" t="s">
        <v>173</v>
      </c>
      <c r="F8" s="75" t="s">
        <v>174</v>
      </c>
      <c r="G8" s="226" t="s">
        <v>24</v>
      </c>
      <c r="H8" s="77"/>
      <c r="K8" s="330" t="s">
        <v>175</v>
      </c>
      <c r="L8" s="330"/>
      <c r="M8" s="228"/>
      <c r="N8" s="228"/>
      <c r="O8" s="228"/>
      <c r="P8" s="69"/>
      <c r="Q8" s="77"/>
      <c r="R8" s="77"/>
      <c r="S8" s="77"/>
      <c r="T8" s="77"/>
      <c r="U8" s="77"/>
    </row>
    <row r="9" spans="1:27">
      <c r="A9" s="75" t="s">
        <v>22</v>
      </c>
      <c r="B9" s="229" t="s">
        <v>21</v>
      </c>
      <c r="C9" s="230" t="s">
        <v>21</v>
      </c>
      <c r="D9" s="229" t="s">
        <v>21</v>
      </c>
      <c r="E9" s="230" t="s">
        <v>36</v>
      </c>
      <c r="F9" s="229" t="s">
        <v>36</v>
      </c>
      <c r="G9" s="231" t="s">
        <v>168</v>
      </c>
      <c r="H9" s="77"/>
      <c r="K9" s="331" t="s">
        <v>434</v>
      </c>
      <c r="L9" s="331"/>
      <c r="M9" s="77"/>
      <c r="N9" s="77"/>
      <c r="O9" s="77"/>
      <c r="P9" s="77"/>
      <c r="Q9" s="77"/>
    </row>
    <row r="10" spans="1:27">
      <c r="A10" s="232">
        <v>43647</v>
      </c>
      <c r="B10" s="221">
        <f>TempAdjustmnts!C5</f>
        <v>9622.563018889452</v>
      </c>
      <c r="C10" s="220">
        <f>$B10*$L$10/$L$12</f>
        <v>4226.0017041780648</v>
      </c>
      <c r="D10" s="221">
        <f t="shared" ref="D10:D21" si="0">$B10*$L$11/$L$12</f>
        <v>5396.5613147113881</v>
      </c>
      <c r="E10" s="334">
        <v>6.7169999999999994E-2</v>
      </c>
      <c r="F10" s="335">
        <v>0.10613</v>
      </c>
      <c r="G10" s="233">
        <f>ROUND((C10*E10+D10*F10)*1000,2)/1000</f>
        <v>856.59758999999997</v>
      </c>
      <c r="H10" s="77"/>
      <c r="I10" s="234"/>
      <c r="K10" s="332" t="s">
        <v>176</v>
      </c>
      <c r="L10" s="333">
        <v>663544357</v>
      </c>
      <c r="M10" s="77"/>
      <c r="N10" s="77"/>
      <c r="O10" s="167"/>
      <c r="P10" s="77"/>
      <c r="Q10" s="77"/>
    </row>
    <row r="11" spans="1:27">
      <c r="A11" s="232">
        <v>43678</v>
      </c>
      <c r="B11" s="221">
        <f>TempAdjustmnts!C6</f>
        <v>-1930.7605507033236</v>
      </c>
      <c r="C11" s="220">
        <f t="shared" ref="C11:C21" si="1">$B11*$L$10/$L$12</f>
        <v>-847.94429110153101</v>
      </c>
      <c r="D11" s="221">
        <f t="shared" si="0"/>
        <v>-1082.8162596017926</v>
      </c>
      <c r="E11" s="334">
        <v>6.7169999999999994E-2</v>
      </c>
      <c r="F11" s="335">
        <v>0.10613</v>
      </c>
      <c r="G11" s="233">
        <f t="shared" ref="G11:G21" si="2">ROUND((C11*E11+D11*F11)*1000,2)/1000</f>
        <v>-171.87571</v>
      </c>
      <c r="H11" s="77"/>
      <c r="I11" s="234"/>
      <c r="K11" s="336" t="s">
        <v>177</v>
      </c>
      <c r="L11" s="337">
        <v>847339414</v>
      </c>
      <c r="M11" s="77"/>
      <c r="N11" s="77"/>
      <c r="O11" s="167"/>
      <c r="P11" s="77"/>
      <c r="Q11" s="77"/>
    </row>
    <row r="12" spans="1:27">
      <c r="A12" s="232">
        <v>43709</v>
      </c>
      <c r="B12" s="221">
        <f>TempAdjustmnts!C7</f>
        <v>-2393.5261374342672</v>
      </c>
      <c r="C12" s="220">
        <f>$B12*$L$10/$L$12</f>
        <v>-1051.1799731460048</v>
      </c>
      <c r="D12" s="221">
        <f t="shared" si="0"/>
        <v>-1342.3461642882623</v>
      </c>
      <c r="E12" s="334">
        <v>6.7169999999999994E-2</v>
      </c>
      <c r="F12" s="335">
        <v>0.10613</v>
      </c>
      <c r="G12" s="233">
        <f t="shared" si="2"/>
        <v>-213.07095999999999</v>
      </c>
      <c r="H12" s="77"/>
      <c r="I12" s="234"/>
      <c r="K12" s="339" t="s">
        <v>8</v>
      </c>
      <c r="L12" s="340">
        <f>SUM(L10:L11)</f>
        <v>1510883771</v>
      </c>
      <c r="M12" s="77"/>
      <c r="N12" s="77"/>
      <c r="O12" s="167"/>
      <c r="P12" s="77"/>
      <c r="Q12" s="77"/>
    </row>
    <row r="13" spans="1:27">
      <c r="A13" s="232">
        <v>43739</v>
      </c>
      <c r="B13" s="221">
        <f>TempAdjustmnts!C8</f>
        <v>-15511.383971533156</v>
      </c>
      <c r="C13" s="220">
        <f t="shared" si="1"/>
        <v>-6812.2323511085451</v>
      </c>
      <c r="D13" s="221">
        <f t="shared" si="0"/>
        <v>-8699.1516204246109</v>
      </c>
      <c r="E13" s="334">
        <v>6.7169999999999994E-2</v>
      </c>
      <c r="F13" s="335">
        <v>0.10613</v>
      </c>
      <c r="G13" s="233">
        <f t="shared" si="2"/>
        <v>-1380.81861</v>
      </c>
      <c r="H13" s="77"/>
      <c r="I13" s="237"/>
      <c r="J13" s="221"/>
      <c r="K13" s="228"/>
      <c r="L13" s="221"/>
      <c r="M13" s="77"/>
      <c r="N13" s="77"/>
      <c r="O13" s="167"/>
      <c r="P13" s="77"/>
      <c r="Q13" s="77"/>
    </row>
    <row r="14" spans="1:27">
      <c r="A14" s="232">
        <v>43770</v>
      </c>
      <c r="B14" s="221">
        <f>TempAdjustmnts!C9</f>
        <v>-7262.6516371178514</v>
      </c>
      <c r="C14" s="220">
        <f t="shared" si="1"/>
        <v>-3189.5845353324416</v>
      </c>
      <c r="D14" s="221">
        <f t="shared" si="0"/>
        <v>-4073.0671017854102</v>
      </c>
      <c r="E14" s="334">
        <v>6.7169999999999994E-2</v>
      </c>
      <c r="F14" s="335">
        <v>0.10613</v>
      </c>
      <c r="G14" s="233">
        <f t="shared" si="2"/>
        <v>-646.51900000000001</v>
      </c>
      <c r="H14" s="77"/>
      <c r="I14" s="232"/>
      <c r="J14" s="221"/>
      <c r="K14" s="228"/>
      <c r="L14" s="221"/>
      <c r="M14" s="77"/>
      <c r="N14" s="77"/>
      <c r="O14" s="167"/>
      <c r="P14" s="77"/>
      <c r="Q14" s="77"/>
    </row>
    <row r="15" spans="1:27">
      <c r="A15" s="232">
        <v>43800</v>
      </c>
      <c r="B15" s="221">
        <f>TempAdjustmnts!C10</f>
        <v>15459.618340898138</v>
      </c>
      <c r="C15" s="220">
        <f t="shared" si="1"/>
        <v>6789.4981125432068</v>
      </c>
      <c r="D15" s="221">
        <f t="shared" si="0"/>
        <v>8670.1202283549319</v>
      </c>
      <c r="E15" s="334">
        <v>6.7169999999999994E-2</v>
      </c>
      <c r="F15" s="335">
        <v>0.10613</v>
      </c>
      <c r="G15" s="238">
        <f>ROUND((C15*E15+D15*F15)*1000,2)/1000</f>
        <v>1376.21045</v>
      </c>
      <c r="H15" s="77"/>
      <c r="I15" s="232"/>
      <c r="J15" s="221"/>
      <c r="K15" s="228"/>
      <c r="L15" s="221"/>
      <c r="M15" s="77"/>
      <c r="N15" s="77"/>
      <c r="O15" s="167"/>
      <c r="P15" s="77"/>
      <c r="Q15" s="77"/>
    </row>
    <row r="16" spans="1:27">
      <c r="A16" s="232">
        <v>43831</v>
      </c>
      <c r="B16" s="221">
        <f>TempAdjustmnts!C11</f>
        <v>17853.213483927517</v>
      </c>
      <c r="C16" s="220">
        <f t="shared" si="1"/>
        <v>7840.7083913117322</v>
      </c>
      <c r="D16" s="221">
        <f t="shared" si="0"/>
        <v>10012.505092615786</v>
      </c>
      <c r="E16" s="334">
        <v>6.7169999999999994E-2</v>
      </c>
      <c r="F16" s="335">
        <v>0.10613</v>
      </c>
      <c r="G16" s="233">
        <f>ROUND((C16*E16+D16*F16)*1000,2)/1000</f>
        <v>1589.28755</v>
      </c>
      <c r="H16" s="232"/>
      <c r="I16" s="232"/>
      <c r="J16" s="221"/>
      <c r="K16" s="228"/>
      <c r="L16" s="228"/>
      <c r="M16" s="77"/>
      <c r="N16" s="77"/>
      <c r="O16" s="167"/>
      <c r="P16" s="77"/>
      <c r="Q16" s="77"/>
    </row>
    <row r="17" spans="1:22">
      <c r="A17" s="232">
        <v>43862</v>
      </c>
      <c r="B17" s="221">
        <f>TempAdjustmnts!C12</f>
        <v>8210.1866779130705</v>
      </c>
      <c r="C17" s="220">
        <f t="shared" si="1"/>
        <v>3605.7194766478137</v>
      </c>
      <c r="D17" s="221">
        <f t="shared" si="0"/>
        <v>4604.4672012652572</v>
      </c>
      <c r="E17" s="334">
        <v>6.7169999999999994E-2</v>
      </c>
      <c r="F17" s="335">
        <v>0.10613</v>
      </c>
      <c r="G17" s="233">
        <f t="shared" si="2"/>
        <v>730.86828000000003</v>
      </c>
      <c r="H17" s="77"/>
      <c r="I17" s="232"/>
      <c r="J17" s="221"/>
      <c r="K17" s="228"/>
      <c r="L17" s="228"/>
      <c r="M17" s="77"/>
      <c r="N17" s="77"/>
      <c r="O17" s="167"/>
      <c r="P17" s="77"/>
      <c r="Q17" s="77"/>
    </row>
    <row r="18" spans="1:22">
      <c r="A18" s="232">
        <v>43891</v>
      </c>
      <c r="B18" s="221">
        <f>TempAdjustmnts!C13</f>
        <v>-3663.5984147739055</v>
      </c>
      <c r="C18" s="220">
        <f t="shared" si="1"/>
        <v>-1608.9656273350563</v>
      </c>
      <c r="D18" s="221">
        <f t="shared" si="0"/>
        <v>-2054.6327874388494</v>
      </c>
      <c r="E18" s="334">
        <v>6.7169999999999994E-2</v>
      </c>
      <c r="F18" s="335">
        <v>0.10613</v>
      </c>
      <c r="G18" s="233">
        <f t="shared" si="2"/>
        <v>-326.13240000000002</v>
      </c>
      <c r="H18" s="77"/>
      <c r="I18" s="232"/>
      <c r="J18" s="221"/>
      <c r="K18" s="228"/>
      <c r="L18" s="228"/>
      <c r="M18" s="77"/>
      <c r="N18" s="77"/>
      <c r="O18" s="167"/>
      <c r="P18" s="77"/>
      <c r="Q18" s="77"/>
    </row>
    <row r="19" spans="1:22">
      <c r="A19" s="232">
        <v>43922</v>
      </c>
      <c r="B19" s="221">
        <f>TempAdjustmnts!C14</f>
        <v>4158.2921266957301</v>
      </c>
      <c r="C19" s="220">
        <f t="shared" si="1"/>
        <v>1826.2233855356442</v>
      </c>
      <c r="D19" s="221">
        <f t="shared" si="0"/>
        <v>2332.0687411600861</v>
      </c>
      <c r="E19" s="334">
        <v>6.7169999999999994E-2</v>
      </c>
      <c r="F19" s="335">
        <v>0.10613</v>
      </c>
      <c r="G19" s="233">
        <f t="shared" si="2"/>
        <v>370.16987999999998</v>
      </c>
      <c r="H19" s="232"/>
      <c r="I19" s="232"/>
      <c r="J19" s="221"/>
      <c r="K19" s="228"/>
      <c r="L19" s="228"/>
      <c r="M19" s="77"/>
      <c r="N19" s="77"/>
      <c r="O19" s="167"/>
      <c r="P19" s="77"/>
      <c r="Q19" s="77"/>
    </row>
    <row r="20" spans="1:22">
      <c r="A20" s="232">
        <v>43952</v>
      </c>
      <c r="B20" s="221">
        <f>TempAdjustmnts!C15</f>
        <v>2264.3666263708083</v>
      </c>
      <c r="C20" s="220">
        <f t="shared" si="1"/>
        <v>994.45617587977733</v>
      </c>
      <c r="D20" s="221">
        <f t="shared" si="0"/>
        <v>1269.9104504910308</v>
      </c>
      <c r="E20" s="334">
        <v>6.7169999999999994E-2</v>
      </c>
      <c r="F20" s="335">
        <v>0.10613</v>
      </c>
      <c r="G20" s="233">
        <f t="shared" si="2"/>
        <v>201.57321999999999</v>
      </c>
      <c r="H20" s="232"/>
      <c r="I20" s="234"/>
      <c r="J20" s="221"/>
      <c r="K20" s="228"/>
      <c r="L20" s="228"/>
      <c r="M20" s="77"/>
      <c r="N20" s="77"/>
      <c r="O20" s="167"/>
      <c r="P20" s="77"/>
      <c r="Q20" s="77"/>
    </row>
    <row r="21" spans="1:22">
      <c r="A21" s="232">
        <v>43983</v>
      </c>
      <c r="B21" s="274">
        <f>TempAdjustmnts!C16</f>
        <v>-585.49186580523235</v>
      </c>
      <c r="C21" s="222">
        <f t="shared" si="1"/>
        <v>-257.13415623448589</v>
      </c>
      <c r="D21" s="223">
        <f t="shared" si="0"/>
        <v>-328.35770957074647</v>
      </c>
      <c r="E21" s="334">
        <v>6.7169999999999994E-2</v>
      </c>
      <c r="F21" s="335">
        <v>0.10613</v>
      </c>
      <c r="G21" s="239">
        <f t="shared" si="2"/>
        <v>-52.1203</v>
      </c>
      <c r="H21" s="77"/>
      <c r="I21" s="234"/>
      <c r="J21" s="221"/>
      <c r="K21" s="228"/>
      <c r="L21" s="228"/>
      <c r="M21" s="77"/>
      <c r="N21" s="77"/>
      <c r="O21" s="77"/>
      <c r="P21" s="77"/>
      <c r="Q21" s="77"/>
    </row>
    <row r="22" spans="1:22">
      <c r="A22" s="77" t="s">
        <v>8</v>
      </c>
      <c r="B22" s="167">
        <f>SUM(B10:B21)</f>
        <v>26220.827697326979</v>
      </c>
      <c r="C22" s="220">
        <f>SUM(C10:C21)</f>
        <v>11515.566311838174</v>
      </c>
      <c r="D22" s="167">
        <f>SUM(D10:D21)</f>
        <v>14705.261385488808</v>
      </c>
      <c r="E22" s="240" t="s">
        <v>29</v>
      </c>
      <c r="F22" s="2" t="s">
        <v>29</v>
      </c>
      <c r="G22" s="241">
        <f>SUM(G10:G21)</f>
        <v>2334.1699899999999</v>
      </c>
      <c r="H22" s="238"/>
      <c r="I22" s="228"/>
      <c r="J22" s="221"/>
      <c r="K22" s="228"/>
      <c r="L22" s="242"/>
      <c r="M22" s="77"/>
      <c r="N22" s="77"/>
      <c r="O22" s="167"/>
      <c r="P22" s="77"/>
      <c r="Q22" s="152"/>
    </row>
    <row r="23" spans="1:22">
      <c r="A23" s="77"/>
      <c r="B23" s="167"/>
      <c r="C23" s="167"/>
      <c r="D23" s="167"/>
      <c r="E23" s="167"/>
      <c r="F23" s="167"/>
      <c r="G23" s="167"/>
      <c r="H23" s="167"/>
      <c r="I23" s="167"/>
      <c r="J23" s="167"/>
      <c r="L23" s="243"/>
      <c r="M23" s="77"/>
      <c r="N23" s="228"/>
      <c r="O23" s="221"/>
      <c r="P23" s="228"/>
      <c r="Q23" s="242"/>
      <c r="R23" s="77"/>
      <c r="S23" s="77"/>
      <c r="T23" s="167"/>
      <c r="U23" s="77"/>
      <c r="V23" s="152"/>
    </row>
    <row r="25" spans="1:22">
      <c r="A25" s="129" t="s">
        <v>250</v>
      </c>
      <c r="B25" s="75" t="s">
        <v>11</v>
      </c>
      <c r="C25" s="226" t="s">
        <v>172</v>
      </c>
      <c r="D25" s="75" t="s">
        <v>172</v>
      </c>
      <c r="E25" s="226"/>
      <c r="F25" s="75"/>
      <c r="G25" s="226" t="s">
        <v>1</v>
      </c>
      <c r="H25" s="67"/>
      <c r="I25" s="67"/>
      <c r="J25" s="77"/>
      <c r="K25" s="227"/>
      <c r="L25" s="227"/>
      <c r="M25" s="227"/>
      <c r="N25" s="227"/>
      <c r="O25" s="77"/>
      <c r="P25" s="67"/>
      <c r="Q25" s="67"/>
      <c r="R25" s="67"/>
      <c r="S25" s="67"/>
    </row>
    <row r="26" spans="1:22">
      <c r="A26" s="2" t="s">
        <v>15</v>
      </c>
      <c r="B26" s="75" t="s">
        <v>14</v>
      </c>
      <c r="C26" s="226" t="s">
        <v>173</v>
      </c>
      <c r="D26" s="75" t="s">
        <v>174</v>
      </c>
      <c r="E26" s="226" t="s">
        <v>173</v>
      </c>
      <c r="F26" s="75" t="s">
        <v>174</v>
      </c>
      <c r="G26" s="226" t="s">
        <v>24</v>
      </c>
      <c r="H26" s="77"/>
      <c r="K26" s="330" t="s">
        <v>175</v>
      </c>
      <c r="L26" s="330"/>
      <c r="M26" s="228"/>
      <c r="N26" s="228"/>
      <c r="O26" s="228"/>
      <c r="P26" s="69"/>
      <c r="Q26" s="77"/>
      <c r="R26" s="77"/>
      <c r="S26" s="77"/>
      <c r="T26" s="77"/>
      <c r="U26" s="77"/>
    </row>
    <row r="27" spans="1:22">
      <c r="A27" s="75" t="s">
        <v>22</v>
      </c>
      <c r="B27" s="229" t="s">
        <v>21</v>
      </c>
      <c r="C27" s="230" t="s">
        <v>21</v>
      </c>
      <c r="D27" s="229" t="s">
        <v>21</v>
      </c>
      <c r="E27" s="230" t="s">
        <v>36</v>
      </c>
      <c r="F27" s="229" t="s">
        <v>36</v>
      </c>
      <c r="G27" s="231" t="s">
        <v>168</v>
      </c>
      <c r="H27" s="77"/>
      <c r="K27" s="331" t="s">
        <v>434</v>
      </c>
      <c r="L27" s="331"/>
      <c r="M27" s="77"/>
      <c r="N27" s="77"/>
      <c r="O27" s="77"/>
      <c r="P27" s="77"/>
      <c r="Q27" s="77"/>
    </row>
    <row r="28" spans="1:22">
      <c r="A28" s="232">
        <v>43647</v>
      </c>
      <c r="B28" s="221">
        <f>TempAdjustmnts!D5</f>
        <v>426.23164835862167</v>
      </c>
      <c r="C28" s="220">
        <f>$B28*$L$28/$L$30</f>
        <v>182.02608630016806</v>
      </c>
      <c r="D28" s="221">
        <f>$B28*$L$29/$L$30</f>
        <v>244.20556205845361</v>
      </c>
      <c r="E28" s="341">
        <f t="shared" ref="E28:E39" si="3">E10</f>
        <v>6.7169999999999994E-2</v>
      </c>
      <c r="F28" s="341">
        <f t="shared" ref="F28:F39" si="4">F10</f>
        <v>0.10613</v>
      </c>
      <c r="G28" s="233">
        <f t="shared" ref="G28:G34" si="5">ROUND((C28*E28+D28*F28)*1000,2)/1000</f>
        <v>38.14423</v>
      </c>
      <c r="H28" s="77"/>
      <c r="I28" s="234"/>
      <c r="K28" s="332" t="s">
        <v>176</v>
      </c>
      <c r="L28" s="333">
        <v>34008512</v>
      </c>
      <c r="M28" s="77"/>
      <c r="N28" s="77"/>
      <c r="O28" s="167"/>
      <c r="P28" s="77"/>
      <c r="Q28" s="77"/>
    </row>
    <row r="29" spans="1:22">
      <c r="A29" s="232">
        <v>43678</v>
      </c>
      <c r="B29" s="221">
        <f>TempAdjustmnts!D6</f>
        <v>-82.075463618588529</v>
      </c>
      <c r="C29" s="220">
        <f t="shared" ref="C29:C39" si="6">$B29*$L$28/$L$30</f>
        <v>-35.051070189873428</v>
      </c>
      <c r="D29" s="221">
        <f t="shared" ref="D29:D39" si="7">$B29*$L$29/$L$30</f>
        <v>-47.024393428715101</v>
      </c>
      <c r="E29" s="341">
        <f t="shared" si="3"/>
        <v>6.7169999999999994E-2</v>
      </c>
      <c r="F29" s="341">
        <f t="shared" si="4"/>
        <v>0.10613</v>
      </c>
      <c r="G29" s="233">
        <f t="shared" si="5"/>
        <v>-7.3450800000000003</v>
      </c>
      <c r="H29" s="77"/>
      <c r="I29" s="234"/>
      <c r="K29" s="336" t="s">
        <v>177</v>
      </c>
      <c r="L29" s="337">
        <v>45625701</v>
      </c>
      <c r="M29" s="77"/>
      <c r="N29" s="77"/>
      <c r="O29" s="167"/>
      <c r="P29" s="77"/>
      <c r="Q29" s="77"/>
    </row>
    <row r="30" spans="1:22">
      <c r="A30" s="232">
        <v>43709</v>
      </c>
      <c r="B30" s="221">
        <f>TempAdjustmnts!D7</f>
        <v>-104.83053222942941</v>
      </c>
      <c r="C30" s="220">
        <f t="shared" si="6"/>
        <v>-44.768828358873051</v>
      </c>
      <c r="D30" s="221">
        <f t="shared" si="7"/>
        <v>-60.061703870556364</v>
      </c>
      <c r="E30" s="341">
        <f t="shared" si="3"/>
        <v>6.7169999999999994E-2</v>
      </c>
      <c r="F30" s="341">
        <f t="shared" si="4"/>
        <v>0.10613</v>
      </c>
      <c r="G30" s="233">
        <f t="shared" si="5"/>
        <v>-9.3814700000000002</v>
      </c>
      <c r="H30" s="77"/>
      <c r="I30" s="234"/>
      <c r="K30" s="339" t="s">
        <v>8</v>
      </c>
      <c r="L30" s="340">
        <f>SUM(L28:L29)</f>
        <v>79634213</v>
      </c>
      <c r="M30" s="77"/>
      <c r="N30" s="77"/>
      <c r="O30" s="167"/>
      <c r="P30" s="77"/>
      <c r="Q30" s="77"/>
    </row>
    <row r="31" spans="1:22">
      <c r="A31" s="232">
        <v>43739</v>
      </c>
      <c r="B31" s="221">
        <f>TempAdjustmnts!D8</f>
        <v>-854.58757296805823</v>
      </c>
      <c r="C31" s="220">
        <f t="shared" si="6"/>
        <v>-364.95936401525165</v>
      </c>
      <c r="D31" s="221">
        <f t="shared" si="7"/>
        <v>-489.62820895280657</v>
      </c>
      <c r="E31" s="341">
        <f t="shared" si="3"/>
        <v>6.7169999999999994E-2</v>
      </c>
      <c r="F31" s="341">
        <f t="shared" si="4"/>
        <v>0.10613</v>
      </c>
      <c r="G31" s="233">
        <f t="shared" si="5"/>
        <v>-76.478560000000002</v>
      </c>
      <c r="H31" s="77"/>
      <c r="I31" s="237"/>
      <c r="J31" s="221"/>
      <c r="K31" s="228"/>
      <c r="L31" s="221"/>
      <c r="M31" s="77"/>
      <c r="N31" s="77"/>
      <c r="O31" s="167"/>
      <c r="P31" s="77"/>
      <c r="Q31" s="77"/>
    </row>
    <row r="32" spans="1:22">
      <c r="A32" s="232">
        <v>43770</v>
      </c>
      <c r="B32" s="221">
        <f>TempAdjustmnts!D9</f>
        <v>-436.09259416462692</v>
      </c>
      <c r="C32" s="220">
        <f t="shared" si="6"/>
        <v>-186.23729252851214</v>
      </c>
      <c r="D32" s="221">
        <f t="shared" si="7"/>
        <v>-249.85530163611477</v>
      </c>
      <c r="E32" s="341">
        <f t="shared" si="3"/>
        <v>6.7169999999999994E-2</v>
      </c>
      <c r="F32" s="341">
        <f t="shared" si="4"/>
        <v>0.10613</v>
      </c>
      <c r="G32" s="233">
        <f t="shared" si="5"/>
        <v>-39.026699999999998</v>
      </c>
      <c r="H32" s="77"/>
      <c r="I32" s="234"/>
      <c r="J32" s="221"/>
      <c r="K32" s="228"/>
      <c r="L32" s="221"/>
      <c r="M32" s="77"/>
      <c r="N32" s="77"/>
      <c r="O32" s="167"/>
      <c r="P32" s="77"/>
      <c r="Q32" s="77"/>
    </row>
    <row r="33" spans="1:21">
      <c r="A33" s="232">
        <v>43800</v>
      </c>
      <c r="B33" s="221">
        <f>TempAdjustmnts!D10</f>
        <v>865.39182857674393</v>
      </c>
      <c r="C33" s="220">
        <f t="shared" si="6"/>
        <v>369.57341923946854</v>
      </c>
      <c r="D33" s="221">
        <f t="shared" si="7"/>
        <v>495.81840933727534</v>
      </c>
      <c r="E33" s="341">
        <f t="shared" si="3"/>
        <v>6.7169999999999994E-2</v>
      </c>
      <c r="F33" s="341">
        <f t="shared" si="4"/>
        <v>0.10613</v>
      </c>
      <c r="G33" s="245">
        <f t="shared" si="5"/>
        <v>77.445449999999994</v>
      </c>
      <c r="H33" s="77"/>
      <c r="I33" s="234"/>
      <c r="J33" s="221"/>
      <c r="K33" s="228"/>
      <c r="L33" s="221"/>
      <c r="M33" s="77"/>
      <c r="N33" s="77"/>
      <c r="O33" s="167"/>
      <c r="P33" s="77"/>
      <c r="Q33" s="77"/>
    </row>
    <row r="34" spans="1:21">
      <c r="A34" s="232">
        <v>43831</v>
      </c>
      <c r="B34" s="221">
        <f>TempAdjustmnts!D11</f>
        <v>1019.2358181183185</v>
      </c>
      <c r="C34" s="220">
        <f t="shared" si="6"/>
        <v>435.27388851455913</v>
      </c>
      <c r="D34" s="221">
        <f t="shared" si="7"/>
        <v>583.96192960375947</v>
      </c>
      <c r="E34" s="341">
        <f t="shared" si="3"/>
        <v>6.7169999999999994E-2</v>
      </c>
      <c r="F34" s="341">
        <f t="shared" si="4"/>
        <v>0.10613</v>
      </c>
      <c r="G34" s="233">
        <f t="shared" si="5"/>
        <v>91.213229999999996</v>
      </c>
      <c r="H34" s="232"/>
      <c r="I34" s="234"/>
      <c r="J34" s="221"/>
      <c r="K34" s="228"/>
      <c r="L34" s="228"/>
      <c r="M34" s="77"/>
      <c r="N34" s="77"/>
      <c r="O34" s="167"/>
      <c r="P34" s="77"/>
      <c r="Q34" s="77"/>
    </row>
    <row r="35" spans="1:21">
      <c r="A35" s="232">
        <v>43862</v>
      </c>
      <c r="B35" s="221">
        <f>TempAdjustmnts!D12</f>
        <v>478.35775186618037</v>
      </c>
      <c r="C35" s="220">
        <f t="shared" si="6"/>
        <v>204.28701096894142</v>
      </c>
      <c r="D35" s="221">
        <f t="shared" si="7"/>
        <v>274.07074089723892</v>
      </c>
      <c r="E35" s="341">
        <f t="shared" si="3"/>
        <v>6.7169999999999994E-2</v>
      </c>
      <c r="F35" s="341">
        <f t="shared" si="4"/>
        <v>0.10613</v>
      </c>
      <c r="G35" s="233">
        <f>ROUND((C35*E35+D35*F35)*1000,2)/1000</f>
        <v>42.809089999999998</v>
      </c>
      <c r="H35" s="77"/>
      <c r="I35" s="234"/>
      <c r="J35" s="221"/>
      <c r="K35" s="228"/>
      <c r="L35" s="228"/>
      <c r="M35" s="77"/>
      <c r="N35" s="77"/>
      <c r="O35" s="167"/>
      <c r="P35" s="77"/>
      <c r="Q35" s="77"/>
    </row>
    <row r="36" spans="1:21">
      <c r="A36" s="232">
        <v>43891</v>
      </c>
      <c r="B36" s="221">
        <f>TempAdjustmnts!D13</f>
        <v>-210.69513161057563</v>
      </c>
      <c r="C36" s="220">
        <f t="shared" si="6"/>
        <v>-89.979264461618286</v>
      </c>
      <c r="D36" s="221">
        <f t="shared" si="7"/>
        <v>-120.71586714895734</v>
      </c>
      <c r="E36" s="341">
        <f t="shared" si="3"/>
        <v>6.7169999999999994E-2</v>
      </c>
      <c r="F36" s="341">
        <f t="shared" si="4"/>
        <v>0.10613</v>
      </c>
      <c r="G36" s="233">
        <f>ROUND((C36*E36+D36*F36)*1000,2)/1000</f>
        <v>-18.85548</v>
      </c>
      <c r="H36" s="77"/>
      <c r="I36" s="234"/>
      <c r="J36" s="221"/>
      <c r="K36" s="228"/>
      <c r="L36" s="228"/>
      <c r="M36" s="77"/>
      <c r="N36" s="77"/>
      <c r="O36" s="167"/>
      <c r="P36" s="77"/>
      <c r="Q36" s="77"/>
    </row>
    <row r="37" spans="1:21">
      <c r="A37" s="232">
        <v>43922</v>
      </c>
      <c r="B37" s="221">
        <f>TempAdjustmnts!D14</f>
        <v>219.9877703693395</v>
      </c>
      <c r="C37" s="220">
        <f t="shared" si="6"/>
        <v>93.94777001762958</v>
      </c>
      <c r="D37" s="221">
        <f t="shared" si="7"/>
        <v>126.04000035170992</v>
      </c>
      <c r="E37" s="341">
        <f t="shared" si="3"/>
        <v>6.7169999999999994E-2</v>
      </c>
      <c r="F37" s="341">
        <f t="shared" si="4"/>
        <v>0.10613</v>
      </c>
      <c r="G37" s="233">
        <f>ROUND((C37*E37+D37*F37)*1000,2)/1000</f>
        <v>19.687099999999997</v>
      </c>
      <c r="H37" s="232"/>
      <c r="I37" s="234"/>
      <c r="J37" s="221"/>
      <c r="K37" s="228"/>
      <c r="L37" s="228"/>
      <c r="M37" s="77"/>
      <c r="N37" s="77"/>
      <c r="O37" s="167"/>
      <c r="P37" s="77"/>
      <c r="Q37" s="77"/>
    </row>
    <row r="38" spans="1:21">
      <c r="A38" s="232">
        <v>43952</v>
      </c>
      <c r="B38" s="221">
        <f>TempAdjustmnts!D15</f>
        <v>111.99612499642954</v>
      </c>
      <c r="C38" s="220">
        <f t="shared" si="6"/>
        <v>47.8289596570079</v>
      </c>
      <c r="D38" s="221">
        <f t="shared" si="7"/>
        <v>64.167165339421643</v>
      </c>
      <c r="E38" s="341">
        <f t="shared" si="3"/>
        <v>6.7169999999999994E-2</v>
      </c>
      <c r="F38" s="341">
        <f t="shared" si="4"/>
        <v>0.10613</v>
      </c>
      <c r="G38" s="233">
        <f>ROUND((C38*E38+D38*F38)*1000,2)/1000</f>
        <v>10.022729999999999</v>
      </c>
      <c r="H38" s="232"/>
      <c r="I38" s="234"/>
      <c r="J38" s="221"/>
      <c r="K38" s="228"/>
      <c r="L38" s="228"/>
      <c r="M38" s="77"/>
      <c r="N38" s="77"/>
      <c r="O38" s="167"/>
      <c r="P38" s="77"/>
      <c r="Q38" s="77"/>
    </row>
    <row r="39" spans="1:21">
      <c r="A39" s="232">
        <v>43983</v>
      </c>
      <c r="B39" s="274">
        <f>TempAdjustmnts!D16</f>
        <v>-27.882109589053798</v>
      </c>
      <c r="C39" s="222">
        <f t="shared" si="6"/>
        <v>-11.907307460232591</v>
      </c>
      <c r="D39" s="166">
        <f t="shared" si="7"/>
        <v>-15.974802128821207</v>
      </c>
      <c r="E39" s="342">
        <f t="shared" si="3"/>
        <v>6.7169999999999994E-2</v>
      </c>
      <c r="F39" s="343">
        <f t="shared" si="4"/>
        <v>0.10613</v>
      </c>
      <c r="G39" s="239">
        <f>ROUND((C39*E39+D39*F39)*1000,2)/1000</f>
        <v>-2.4952199999999998</v>
      </c>
      <c r="H39" s="77"/>
      <c r="I39" s="234"/>
      <c r="J39" s="221"/>
      <c r="K39" s="228"/>
      <c r="L39" s="228"/>
      <c r="M39" s="77"/>
      <c r="N39" s="77"/>
      <c r="O39" s="77"/>
      <c r="P39" s="77"/>
      <c r="Q39" s="77"/>
    </row>
    <row r="40" spans="1:21">
      <c r="A40" s="77" t="s">
        <v>8</v>
      </c>
      <c r="B40" s="167">
        <f>SUM(B28:B39)</f>
        <v>1405.0375381053011</v>
      </c>
      <c r="C40" s="220">
        <f>SUM(C28:C39)</f>
        <v>600.03400768341339</v>
      </c>
      <c r="D40" s="167">
        <f>SUM(D28:D39)</f>
        <v>805.00353042188749</v>
      </c>
      <c r="E40" s="240" t="s">
        <v>29</v>
      </c>
      <c r="F40" s="2" t="s">
        <v>29</v>
      </c>
      <c r="G40" s="241">
        <f>SUM(G28:G39)</f>
        <v>125.73931999999998</v>
      </c>
      <c r="H40" s="238"/>
      <c r="I40" s="228"/>
      <c r="J40" s="221"/>
      <c r="K40" s="228"/>
      <c r="L40" s="242"/>
      <c r="M40" s="77"/>
      <c r="N40" s="77"/>
      <c r="O40" s="167"/>
      <c r="P40" s="77"/>
      <c r="Q40" s="152"/>
    </row>
    <row r="41" spans="1:21">
      <c r="A41" s="77"/>
      <c r="B41" s="167"/>
      <c r="C41" s="220"/>
      <c r="D41" s="167"/>
      <c r="E41" s="240"/>
      <c r="G41" s="241"/>
      <c r="H41" s="238"/>
      <c r="I41" s="228"/>
      <c r="J41" s="221"/>
      <c r="K41" s="228"/>
      <c r="L41" s="242"/>
      <c r="M41" s="77"/>
      <c r="N41" s="77"/>
      <c r="O41" s="167"/>
      <c r="P41" s="77"/>
      <c r="Q41" s="152"/>
    </row>
    <row r="42" spans="1:21">
      <c r="A42" s="77"/>
      <c r="B42" s="167"/>
      <c r="C42" s="220"/>
      <c r="D42" s="167"/>
      <c r="E42" s="240"/>
      <c r="G42" s="241"/>
      <c r="H42" s="238"/>
      <c r="I42" s="228"/>
      <c r="J42" s="221"/>
      <c r="K42" s="228"/>
      <c r="L42" s="242"/>
      <c r="M42" s="77"/>
      <c r="N42" s="77"/>
      <c r="O42" s="167"/>
      <c r="P42" s="77"/>
      <c r="Q42" s="152"/>
    </row>
    <row r="43" spans="1:21">
      <c r="A43" s="129" t="s">
        <v>210</v>
      </c>
      <c r="B43" s="75" t="s">
        <v>11</v>
      </c>
      <c r="C43" s="226" t="s">
        <v>172</v>
      </c>
      <c r="D43" s="75" t="s">
        <v>172</v>
      </c>
      <c r="E43" s="226"/>
      <c r="F43" s="75"/>
      <c r="G43" s="226" t="s">
        <v>1</v>
      </c>
      <c r="H43" s="67"/>
      <c r="I43" s="67"/>
      <c r="J43" s="77"/>
      <c r="K43" s="227"/>
      <c r="L43" s="227"/>
      <c r="M43" s="227"/>
      <c r="N43" s="227"/>
      <c r="O43" s="77"/>
      <c r="P43" s="67"/>
      <c r="Q43" s="67"/>
      <c r="R43" s="67"/>
      <c r="S43" s="67"/>
    </row>
    <row r="44" spans="1:21">
      <c r="A44" s="2" t="s">
        <v>15</v>
      </c>
      <c r="B44" s="75" t="s">
        <v>14</v>
      </c>
      <c r="C44" s="226" t="s">
        <v>173</v>
      </c>
      <c r="D44" s="75" t="s">
        <v>174</v>
      </c>
      <c r="E44" s="226" t="s">
        <v>173</v>
      </c>
      <c r="F44" s="75" t="s">
        <v>174</v>
      </c>
      <c r="G44" s="226" t="s">
        <v>24</v>
      </c>
      <c r="H44" s="77"/>
      <c r="K44" s="330" t="s">
        <v>175</v>
      </c>
      <c r="L44" s="330"/>
      <c r="M44" s="228"/>
      <c r="N44" s="228"/>
      <c r="O44" s="228"/>
      <c r="P44" s="69"/>
      <c r="Q44" s="77"/>
      <c r="R44" s="77"/>
      <c r="S44" s="77"/>
      <c r="T44" s="77"/>
      <c r="U44" s="77"/>
    </row>
    <row r="45" spans="1:21">
      <c r="A45" s="75" t="s">
        <v>22</v>
      </c>
      <c r="B45" s="229" t="s">
        <v>21</v>
      </c>
      <c r="C45" s="230" t="s">
        <v>21</v>
      </c>
      <c r="D45" s="229" t="s">
        <v>21</v>
      </c>
      <c r="E45" s="230" t="s">
        <v>36</v>
      </c>
      <c r="F45" s="229" t="s">
        <v>36</v>
      </c>
      <c r="G45" s="231" t="s">
        <v>168</v>
      </c>
      <c r="H45" s="77"/>
      <c r="K45" s="331" t="s">
        <v>434</v>
      </c>
      <c r="L45" s="331"/>
      <c r="M45" s="77"/>
      <c r="N45" s="77"/>
      <c r="O45" s="77"/>
      <c r="P45" s="77"/>
      <c r="Q45" s="77"/>
    </row>
    <row r="46" spans="1:21">
      <c r="A46" s="232">
        <v>43647</v>
      </c>
      <c r="B46" s="221">
        <f>TempAdjustmnts!E5</f>
        <v>18.054802851926574</v>
      </c>
      <c r="C46" s="220">
        <f>$B46*$L$46/$L$48</f>
        <v>4.5091681625807247</v>
      </c>
      <c r="D46" s="167">
        <f>$B46*$L$47/$L$48</f>
        <v>13.545634689345849</v>
      </c>
      <c r="E46" s="341">
        <f t="shared" ref="E46:E57" si="8">E28</f>
        <v>6.7169999999999994E-2</v>
      </c>
      <c r="F46" s="341">
        <f t="shared" ref="F46:F57" si="9">F28</f>
        <v>0.10613</v>
      </c>
      <c r="G46" s="233">
        <f>ROUND((C46*E46+D46*F46)*1000,2)/1000</f>
        <v>1.74048</v>
      </c>
      <c r="H46" s="77"/>
      <c r="K46" s="332" t="s">
        <v>176</v>
      </c>
      <c r="L46" s="333">
        <v>528012</v>
      </c>
      <c r="M46" s="77"/>
      <c r="N46" s="77"/>
      <c r="O46" s="167"/>
      <c r="P46" s="77"/>
      <c r="Q46" s="77"/>
    </row>
    <row r="47" spans="1:21">
      <c r="A47" s="232">
        <v>43678</v>
      </c>
      <c r="B47" s="221">
        <f>TempAdjustmnts!E6</f>
        <v>-3.4932580780881741</v>
      </c>
      <c r="C47" s="220">
        <f t="shared" ref="C47:C57" si="10">$B47*$L$46/$L$48</f>
        <v>-0.87243755794942457</v>
      </c>
      <c r="D47" s="167">
        <f t="shared" ref="D47:D57" si="11">$B47*$L$47/$L$48</f>
        <v>-2.6208205201387496</v>
      </c>
      <c r="E47" s="341">
        <f t="shared" si="8"/>
        <v>6.7169999999999994E-2</v>
      </c>
      <c r="F47" s="341">
        <f t="shared" si="9"/>
        <v>0.10613</v>
      </c>
      <c r="G47" s="233">
        <f t="shared" ref="G47:G57" si="12">ROUND((C47*E47+D47*F47)*1000,2)/1000</f>
        <v>-0.33674999999999999</v>
      </c>
      <c r="H47" s="77"/>
      <c r="K47" s="336" t="s">
        <v>177</v>
      </c>
      <c r="L47" s="337">
        <v>1586159</v>
      </c>
      <c r="M47" s="77"/>
      <c r="N47" s="77"/>
      <c r="O47" s="167"/>
      <c r="P47" s="77"/>
      <c r="Q47" s="77"/>
    </row>
    <row r="48" spans="1:21">
      <c r="A48" s="232">
        <v>43709</v>
      </c>
      <c r="B48" s="221">
        <f>TempAdjustmnts!E7</f>
        <v>-4.4499623363032068</v>
      </c>
      <c r="C48" s="220">
        <f t="shared" si="10"/>
        <v>-1.1113734476142794</v>
      </c>
      <c r="D48" s="167">
        <f t="shared" si="11"/>
        <v>-3.3385888886889274</v>
      </c>
      <c r="E48" s="341">
        <f t="shared" si="8"/>
        <v>6.7169999999999994E-2</v>
      </c>
      <c r="F48" s="341">
        <f t="shared" si="9"/>
        <v>0.10613</v>
      </c>
      <c r="G48" s="233">
        <f t="shared" si="12"/>
        <v>-0.42898000000000003</v>
      </c>
      <c r="H48" s="77"/>
      <c r="K48" s="339" t="s">
        <v>8</v>
      </c>
      <c r="L48" s="340">
        <f>SUM(L46:L47)</f>
        <v>2114171</v>
      </c>
      <c r="M48" s="77"/>
      <c r="N48" s="77"/>
      <c r="O48" s="167"/>
      <c r="P48" s="77"/>
      <c r="Q48" s="77"/>
    </row>
    <row r="49" spans="1:35">
      <c r="A49" s="232">
        <v>43739</v>
      </c>
      <c r="B49" s="221">
        <f>TempAdjustmnts!E8</f>
        <v>-27.03652329878722</v>
      </c>
      <c r="C49" s="220">
        <f t="shared" si="10"/>
        <v>-6.7523434670323432</v>
      </c>
      <c r="D49" s="167">
        <f t="shared" si="11"/>
        <v>-20.284179831754876</v>
      </c>
      <c r="E49" s="341">
        <f t="shared" si="8"/>
        <v>6.7169999999999994E-2</v>
      </c>
      <c r="F49" s="341">
        <f t="shared" si="9"/>
        <v>0.10613</v>
      </c>
      <c r="G49" s="233">
        <f t="shared" si="12"/>
        <v>-2.6063100000000001</v>
      </c>
      <c r="H49" s="77"/>
      <c r="I49" s="236"/>
      <c r="J49" s="221"/>
      <c r="K49" s="228"/>
      <c r="L49" s="228"/>
      <c r="M49" s="77"/>
      <c r="N49" s="77"/>
      <c r="O49" s="167"/>
      <c r="P49" s="77"/>
      <c r="Q49" s="77"/>
    </row>
    <row r="50" spans="1:35">
      <c r="A50" s="232">
        <v>43770</v>
      </c>
      <c r="B50" s="221">
        <f>TempAdjustmnts!E9</f>
        <v>-11.024392717521495</v>
      </c>
      <c r="C50" s="220">
        <f t="shared" si="10"/>
        <v>-2.7533305714457152</v>
      </c>
      <c r="D50" s="167">
        <f t="shared" si="11"/>
        <v>-8.2710621460757796</v>
      </c>
      <c r="E50" s="341">
        <f t="shared" si="8"/>
        <v>6.7169999999999994E-2</v>
      </c>
      <c r="F50" s="341">
        <f t="shared" si="9"/>
        <v>0.10613</v>
      </c>
      <c r="G50" s="233">
        <f t="shared" si="12"/>
        <v>-1.0627500000000001</v>
      </c>
      <c r="H50" s="77"/>
      <c r="I50" s="236"/>
      <c r="J50" s="221"/>
      <c r="K50" s="228"/>
      <c r="L50" s="221"/>
      <c r="M50" s="77"/>
      <c r="N50" s="77"/>
      <c r="O50" s="167"/>
      <c r="P50" s="77"/>
      <c r="Q50" s="77"/>
    </row>
    <row r="51" spans="1:35">
      <c r="A51" s="232">
        <v>43800</v>
      </c>
      <c r="B51" s="221">
        <f>TempAdjustmnts!E10</f>
        <v>20.628263925121093</v>
      </c>
      <c r="C51" s="220">
        <f t="shared" si="10"/>
        <v>5.1518873788501685</v>
      </c>
      <c r="D51" s="167">
        <f t="shared" si="11"/>
        <v>15.476376546270926</v>
      </c>
      <c r="E51" s="341">
        <f t="shared" si="8"/>
        <v>6.7169999999999994E-2</v>
      </c>
      <c r="F51" s="341">
        <f t="shared" si="9"/>
        <v>0.10613</v>
      </c>
      <c r="G51" s="233">
        <f t="shared" si="12"/>
        <v>1.9885599999999999</v>
      </c>
      <c r="H51" s="77"/>
      <c r="I51" s="236"/>
      <c r="J51" s="221"/>
      <c r="K51" s="228"/>
      <c r="L51" s="221"/>
      <c r="M51" s="77"/>
      <c r="N51" s="77"/>
      <c r="O51" s="167"/>
      <c r="P51" s="77"/>
      <c r="Q51" s="77"/>
    </row>
    <row r="52" spans="1:35">
      <c r="A52" s="232">
        <v>43831</v>
      </c>
      <c r="B52" s="221">
        <f>TempAdjustmnts!E11</f>
        <v>25.09926105416378</v>
      </c>
      <c r="C52" s="220">
        <f t="shared" si="10"/>
        <v>6.268514243990257</v>
      </c>
      <c r="D52" s="167">
        <f t="shared" si="11"/>
        <v>18.830746810173522</v>
      </c>
      <c r="E52" s="341">
        <f t="shared" si="8"/>
        <v>6.7169999999999994E-2</v>
      </c>
      <c r="F52" s="341">
        <f t="shared" si="9"/>
        <v>0.10613</v>
      </c>
      <c r="G52" s="233">
        <f t="shared" si="12"/>
        <v>2.4195600000000002</v>
      </c>
      <c r="H52" s="77"/>
      <c r="I52" s="236"/>
      <c r="J52" s="221"/>
      <c r="K52" s="228"/>
      <c r="L52" s="228"/>
      <c r="M52" s="77"/>
      <c r="N52" s="77"/>
      <c r="O52" s="167"/>
      <c r="P52" s="77"/>
      <c r="Q52" s="77"/>
    </row>
    <row r="53" spans="1:35">
      <c r="A53" s="232">
        <v>43862</v>
      </c>
      <c r="B53" s="221">
        <f>TempAdjustmnts!E12</f>
        <v>11.765097720747825</v>
      </c>
      <c r="C53" s="220">
        <f t="shared" si="10"/>
        <v>2.9383208726860319</v>
      </c>
      <c r="D53" s="167">
        <f t="shared" si="11"/>
        <v>8.8267768480617939</v>
      </c>
      <c r="E53" s="341">
        <f t="shared" si="8"/>
        <v>6.7169999999999994E-2</v>
      </c>
      <c r="F53" s="341">
        <f t="shared" si="9"/>
        <v>0.10613</v>
      </c>
      <c r="G53" s="233">
        <f t="shared" si="12"/>
        <v>1.13415</v>
      </c>
      <c r="H53" s="77"/>
      <c r="I53" s="236"/>
      <c r="J53" s="221"/>
      <c r="K53" s="228"/>
      <c r="L53" s="228"/>
      <c r="M53" s="77"/>
      <c r="N53" s="77"/>
      <c r="O53" s="167"/>
      <c r="P53" s="77"/>
      <c r="Q53" s="77"/>
    </row>
    <row r="54" spans="1:35">
      <c r="A54" s="232">
        <v>43891</v>
      </c>
      <c r="B54" s="221">
        <f>TempAdjustmnts!E13</f>
        <v>-5.6975978155189351</v>
      </c>
      <c r="C54" s="220">
        <f t="shared" si="10"/>
        <v>-1.4229691059842291</v>
      </c>
      <c r="D54" s="167">
        <f t="shared" si="11"/>
        <v>-4.2746287095347055</v>
      </c>
      <c r="E54" s="341">
        <f t="shared" si="8"/>
        <v>6.7169999999999994E-2</v>
      </c>
      <c r="F54" s="341">
        <f t="shared" si="9"/>
        <v>0.10613</v>
      </c>
      <c r="G54" s="233">
        <f t="shared" si="12"/>
        <v>-0.54925000000000002</v>
      </c>
      <c r="H54" s="77"/>
      <c r="I54" s="236"/>
      <c r="J54" s="221"/>
      <c r="K54" s="228"/>
      <c r="L54" s="228"/>
      <c r="M54" s="77"/>
      <c r="N54" s="77"/>
      <c r="O54" s="167"/>
      <c r="P54" s="77"/>
      <c r="Q54" s="77"/>
    </row>
    <row r="55" spans="1:35">
      <c r="A55" s="232">
        <v>43922</v>
      </c>
      <c r="B55" s="221">
        <f>TempAdjustmnts!E14</f>
        <v>6.9712480349299426</v>
      </c>
      <c r="C55" s="220">
        <f t="shared" si="10"/>
        <v>1.7410619185578786</v>
      </c>
      <c r="D55" s="167">
        <f t="shared" si="11"/>
        <v>5.2301861163720638</v>
      </c>
      <c r="E55" s="341">
        <f t="shared" si="8"/>
        <v>6.7169999999999994E-2</v>
      </c>
      <c r="F55" s="341">
        <f t="shared" si="9"/>
        <v>0.10613</v>
      </c>
      <c r="G55" s="233">
        <f t="shared" si="12"/>
        <v>0.67203000000000002</v>
      </c>
      <c r="H55" s="77"/>
      <c r="I55" s="236"/>
      <c r="J55" s="221"/>
      <c r="K55" s="228"/>
      <c r="L55" s="228"/>
      <c r="M55" s="77"/>
      <c r="N55" s="77"/>
      <c r="O55" s="167"/>
      <c r="P55" s="77"/>
      <c r="Q55" s="77"/>
    </row>
    <row r="56" spans="1:35">
      <c r="A56" s="232">
        <v>43952</v>
      </c>
      <c r="B56" s="221">
        <f>TempAdjustmnts!E15</f>
        <v>3.9919355327622612</v>
      </c>
      <c r="C56" s="220">
        <f t="shared" si="10"/>
        <v>0.99698173162192982</v>
      </c>
      <c r="D56" s="167">
        <f t="shared" si="11"/>
        <v>2.9949538011403312</v>
      </c>
      <c r="E56" s="341">
        <f t="shared" si="8"/>
        <v>6.7169999999999994E-2</v>
      </c>
      <c r="F56" s="341">
        <f t="shared" si="9"/>
        <v>0.10613</v>
      </c>
      <c r="G56" s="233">
        <f t="shared" si="12"/>
        <v>0.38482</v>
      </c>
      <c r="H56" s="77"/>
      <c r="I56" s="236"/>
      <c r="J56" s="221"/>
      <c r="K56" s="228"/>
      <c r="L56" s="228"/>
      <c r="M56" s="77"/>
      <c r="N56" s="77"/>
      <c r="O56" s="167"/>
      <c r="P56" s="77"/>
      <c r="Q56" s="77"/>
    </row>
    <row r="57" spans="1:35">
      <c r="A57" s="232">
        <v>43983</v>
      </c>
      <c r="B57" s="274">
        <f>TempAdjustmnts!E16</f>
        <v>-1.0631454057138303</v>
      </c>
      <c r="C57" s="222">
        <f t="shared" si="10"/>
        <v>-0.26551945512532854</v>
      </c>
      <c r="D57" s="166">
        <f t="shared" si="11"/>
        <v>-0.79762595058850183</v>
      </c>
      <c r="E57" s="342">
        <f t="shared" si="8"/>
        <v>6.7169999999999994E-2</v>
      </c>
      <c r="F57" s="343">
        <f t="shared" si="9"/>
        <v>0.10613</v>
      </c>
      <c r="G57" s="244">
        <f t="shared" si="12"/>
        <v>-0.10249</v>
      </c>
      <c r="H57" s="77"/>
      <c r="I57" s="236"/>
      <c r="J57" s="221"/>
      <c r="K57" s="228"/>
      <c r="L57" s="228"/>
      <c r="M57" s="77"/>
      <c r="N57" s="77"/>
      <c r="O57" s="77"/>
      <c r="P57" s="77"/>
      <c r="Q57" s="77"/>
    </row>
    <row r="58" spans="1:35">
      <c r="A58" s="77" t="s">
        <v>8</v>
      </c>
      <c r="B58" s="167">
        <f>SUM(B46:B57)</f>
        <v>33.745729467718611</v>
      </c>
      <c r="C58" s="220">
        <f>SUM(C46:C57)</f>
        <v>8.4279607031356694</v>
      </c>
      <c r="D58" s="167">
        <f>SUM(D46:D57)</f>
        <v>25.317768764582944</v>
      </c>
      <c r="E58" s="240" t="s">
        <v>29</v>
      </c>
      <c r="F58" s="2" t="s">
        <v>29</v>
      </c>
      <c r="G58" s="241">
        <f>SUM(G46:G57)</f>
        <v>3.2530699999999997</v>
      </c>
      <c r="H58" s="238"/>
      <c r="I58" s="228"/>
      <c r="J58" s="221"/>
      <c r="K58" s="228"/>
      <c r="L58" s="242"/>
      <c r="M58" s="77"/>
      <c r="N58" s="77"/>
      <c r="O58" s="167"/>
      <c r="P58" s="77"/>
      <c r="Q58" s="152"/>
    </row>
    <row r="59" spans="1:35">
      <c r="A59" s="77"/>
      <c r="B59" s="167"/>
      <c r="C59" s="167"/>
      <c r="D59" s="167"/>
      <c r="E59" s="167"/>
      <c r="F59" s="167"/>
      <c r="G59" s="167"/>
      <c r="H59" s="167"/>
      <c r="I59" s="167"/>
      <c r="J59" s="167"/>
      <c r="L59" s="243"/>
      <c r="M59" s="77"/>
      <c r="N59" s="228"/>
      <c r="O59" s="221"/>
      <c r="P59" s="228"/>
      <c r="Q59" s="242"/>
      <c r="R59" s="77"/>
      <c r="S59" s="77"/>
      <c r="T59" s="167"/>
      <c r="U59" s="77"/>
      <c r="V59" s="152"/>
    </row>
    <row r="60" spans="1:35">
      <c r="A60" s="129" t="s">
        <v>64</v>
      </c>
      <c r="B60" s="75" t="s">
        <v>11</v>
      </c>
      <c r="C60" s="207" t="s">
        <v>172</v>
      </c>
      <c r="D60" s="75" t="s">
        <v>172</v>
      </c>
      <c r="E60" s="75" t="s">
        <v>172</v>
      </c>
      <c r="F60" s="207"/>
      <c r="G60" s="75"/>
      <c r="H60" s="75"/>
      <c r="I60" s="226" t="s">
        <v>1</v>
      </c>
      <c r="J60" s="167"/>
      <c r="L60" s="243"/>
      <c r="M60" s="243"/>
      <c r="N60" s="129" t="s">
        <v>64</v>
      </c>
      <c r="O60" s="75" t="s">
        <v>11</v>
      </c>
      <c r="P60" s="207" t="s">
        <v>172</v>
      </c>
      <c r="Q60" s="75" t="s">
        <v>172</v>
      </c>
      <c r="R60" s="75" t="s">
        <v>172</v>
      </c>
      <c r="S60" s="207"/>
      <c r="T60" s="75"/>
      <c r="U60" s="75"/>
      <c r="V60" s="226" t="s">
        <v>1</v>
      </c>
      <c r="W60" s="167"/>
      <c r="Y60" s="243"/>
      <c r="Z60" s="77"/>
      <c r="AA60" s="228"/>
      <c r="AB60" s="221"/>
      <c r="AC60" s="228"/>
      <c r="AD60" s="242"/>
      <c r="AE60" s="77"/>
      <c r="AF60" s="77"/>
      <c r="AG60" s="167"/>
      <c r="AH60" s="77"/>
      <c r="AI60" s="152"/>
    </row>
    <row r="61" spans="1:35">
      <c r="A61" s="2" t="s">
        <v>16</v>
      </c>
      <c r="B61" s="75" t="s">
        <v>14</v>
      </c>
      <c r="C61" s="207" t="s">
        <v>173</v>
      </c>
      <c r="D61" s="75" t="s">
        <v>174</v>
      </c>
      <c r="E61" s="75" t="s">
        <v>178</v>
      </c>
      <c r="F61" s="207" t="s">
        <v>173</v>
      </c>
      <c r="G61" s="75" t="s">
        <v>174</v>
      </c>
      <c r="H61" s="75" t="s">
        <v>178</v>
      </c>
      <c r="I61" s="226" t="s">
        <v>24</v>
      </c>
      <c r="J61" s="167"/>
      <c r="K61" s="330" t="s">
        <v>175</v>
      </c>
      <c r="L61" s="330"/>
      <c r="M61" s="67"/>
      <c r="N61" s="2" t="s">
        <v>15</v>
      </c>
      <c r="O61" s="75" t="s">
        <v>14</v>
      </c>
      <c r="P61" s="207" t="s">
        <v>173</v>
      </c>
      <c r="Q61" s="75" t="s">
        <v>174</v>
      </c>
      <c r="R61" s="75" t="s">
        <v>178</v>
      </c>
      <c r="S61" s="207" t="s">
        <v>173</v>
      </c>
      <c r="T61" s="75" t="s">
        <v>174</v>
      </c>
      <c r="U61" s="75" t="s">
        <v>178</v>
      </c>
      <c r="V61" s="226" t="s">
        <v>24</v>
      </c>
      <c r="W61" s="167"/>
      <c r="X61" s="330" t="s">
        <v>175</v>
      </c>
      <c r="Y61" s="330"/>
      <c r="Z61" s="77"/>
      <c r="AA61" s="228"/>
      <c r="AB61" s="221"/>
      <c r="AC61" s="228"/>
      <c r="AD61" s="242"/>
      <c r="AE61" s="77"/>
      <c r="AF61" s="77"/>
      <c r="AG61" s="167"/>
      <c r="AH61" s="77"/>
      <c r="AI61" s="152"/>
    </row>
    <row r="62" spans="1:35">
      <c r="A62" s="75" t="s">
        <v>22</v>
      </c>
      <c r="B62" s="300" t="s">
        <v>21</v>
      </c>
      <c r="C62" s="206" t="s">
        <v>21</v>
      </c>
      <c r="D62" s="300" t="s">
        <v>21</v>
      </c>
      <c r="E62" s="300" t="s">
        <v>21</v>
      </c>
      <c r="F62" s="206" t="s">
        <v>36</v>
      </c>
      <c r="G62" s="300" t="s">
        <v>36</v>
      </c>
      <c r="H62" s="300" t="s">
        <v>36</v>
      </c>
      <c r="I62" s="231" t="s">
        <v>168</v>
      </c>
      <c r="J62" s="167"/>
      <c r="K62" s="331" t="s">
        <v>434</v>
      </c>
      <c r="L62" s="331"/>
      <c r="M62" s="227"/>
      <c r="N62" s="75" t="s">
        <v>22</v>
      </c>
      <c r="O62" s="300" t="s">
        <v>21</v>
      </c>
      <c r="P62" s="206" t="s">
        <v>21</v>
      </c>
      <c r="Q62" s="300" t="s">
        <v>21</v>
      </c>
      <c r="R62" s="300" t="s">
        <v>21</v>
      </c>
      <c r="S62" s="206" t="s">
        <v>36</v>
      </c>
      <c r="T62" s="300" t="s">
        <v>36</v>
      </c>
      <c r="U62" s="300" t="s">
        <v>36</v>
      </c>
      <c r="V62" s="231" t="s">
        <v>168</v>
      </c>
      <c r="W62" s="167"/>
      <c r="X62" s="331" t="s">
        <v>434</v>
      </c>
      <c r="Y62" s="331"/>
      <c r="Z62" s="77"/>
      <c r="AA62" s="228"/>
      <c r="AB62" s="221"/>
      <c r="AC62" s="228"/>
      <c r="AD62" s="242"/>
      <c r="AE62" s="77"/>
      <c r="AF62" s="77"/>
      <c r="AG62" s="167"/>
      <c r="AH62" s="77"/>
      <c r="AI62" s="152"/>
    </row>
    <row r="63" spans="1:35">
      <c r="A63" s="232">
        <v>43647</v>
      </c>
      <c r="B63" s="167">
        <f>TempAdjustmnts!F5*(Temperature!$L$66/(Temperature!$L$66+Temperature!$Y$66))</f>
        <v>1896.5084257714348</v>
      </c>
      <c r="C63" s="224">
        <f>$B63*$L$63/$L$66</f>
        <v>442.66066533443217</v>
      </c>
      <c r="D63" s="167">
        <f>$B63*$L$64/$L$66</f>
        <v>1019.9492387712049</v>
      </c>
      <c r="E63" s="167">
        <f>$B63*$L$65/$L$66</f>
        <v>433.89852166579772</v>
      </c>
      <c r="F63" s="344">
        <v>0.10878</v>
      </c>
      <c r="G63" s="345">
        <v>7.5139999999999998E-2</v>
      </c>
      <c r="H63" s="338">
        <v>6.472E-2</v>
      </c>
      <c r="I63" s="245">
        <f>ROUND((C63*F63+D63*G63+E63*H63)*1000,2)/1000</f>
        <v>152.87352999999999</v>
      </c>
      <c r="J63" s="167"/>
      <c r="K63" s="332" t="s">
        <v>176</v>
      </c>
      <c r="L63" s="333">
        <v>120628257</v>
      </c>
      <c r="M63" s="221"/>
      <c r="N63" s="232">
        <v>43647</v>
      </c>
      <c r="O63" s="167">
        <f>TempAdjustmnts!F5*(Temperature!$Y$66/(Temperature!$L$66+Temperature!$Y$66))</f>
        <v>77.196049421973044</v>
      </c>
      <c r="P63" s="224">
        <f t="shared" ref="P63:P74" si="13">$O63*$Y$63/$Y$66</f>
        <v>47.808655468964503</v>
      </c>
      <c r="Q63" s="167">
        <f t="shared" ref="Q63:Q74" si="14">$O63*$Y$64/$Y$66</f>
        <v>25.833507337952966</v>
      </c>
      <c r="R63" s="167">
        <f>$O63*$Y$65/$Y$66</f>
        <v>3.5538866150555761</v>
      </c>
      <c r="S63" s="341">
        <f>F63</f>
        <v>0.10878</v>
      </c>
      <c r="T63" s="346">
        <f t="shared" ref="T63:T74" si="15">G63</f>
        <v>7.5139999999999998E-2</v>
      </c>
      <c r="U63" s="347">
        <f t="shared" ref="U63:U74" si="16">H63</f>
        <v>6.472E-2</v>
      </c>
      <c r="V63" s="245">
        <f>ROUND((P63*S63+Q63*T63+R63*U63)*1000,2)/1000</f>
        <v>7.3717600000000001</v>
      </c>
      <c r="W63" s="167"/>
      <c r="X63" s="332" t="s">
        <v>176</v>
      </c>
      <c r="Y63" s="333">
        <v>13028207</v>
      </c>
      <c r="Z63" s="77"/>
      <c r="AA63" s="228"/>
      <c r="AB63" s="221"/>
      <c r="AC63" s="228"/>
      <c r="AD63" s="242"/>
      <c r="AE63" s="77"/>
      <c r="AF63" s="77"/>
      <c r="AG63" s="167"/>
      <c r="AH63" s="77"/>
      <c r="AI63" s="152"/>
    </row>
    <row r="64" spans="1:35">
      <c r="A64" s="232">
        <v>43678</v>
      </c>
      <c r="B64" s="167">
        <f>TempAdjustmnts!F6*(Temperature!$L$66/(Temperature!$L$66+Temperature!$Y$66))</f>
        <v>-518.6307823066478</v>
      </c>
      <c r="C64" s="224">
        <f t="shared" ref="C64:C74" si="17">$B64*$L$63/$L$66</f>
        <v>-121.05269032242423</v>
      </c>
      <c r="D64" s="167">
        <f t="shared" ref="D64:D74" si="18">$B64*$L$64/$L$66</f>
        <v>-278.92155100856468</v>
      </c>
      <c r="E64" s="167">
        <f t="shared" ref="E64:E74" si="19">$B64*$L$65/$L$66</f>
        <v>-118.65654097565891</v>
      </c>
      <c r="F64" s="344">
        <v>0.10878</v>
      </c>
      <c r="G64" s="345">
        <v>7.5139999999999998E-2</v>
      </c>
      <c r="H64" s="338">
        <v>6.472E-2</v>
      </c>
      <c r="I64" s="245">
        <f t="shared" ref="I64:I74" si="20">ROUND((C64*F64+D64*G64+E64*H64)*1000,2)/1000</f>
        <v>-41.805730000000004</v>
      </c>
      <c r="J64" s="167"/>
      <c r="K64" s="332" t="s">
        <v>177</v>
      </c>
      <c r="L64" s="340">
        <v>277943600</v>
      </c>
      <c r="M64" s="221"/>
      <c r="N64" s="232">
        <v>43678</v>
      </c>
      <c r="O64" s="167">
        <f>TempAdjustmnts!F6*(Temperature!$Y$66/(Temperature!$L$66+Temperature!$Y$66))</f>
        <v>-21.11050336431548</v>
      </c>
      <c r="P64" s="224">
        <f t="shared" si="13"/>
        <v>-13.074047048756075</v>
      </c>
      <c r="Q64" s="167">
        <f t="shared" si="14"/>
        <v>-7.0645887665683347</v>
      </c>
      <c r="R64" s="167">
        <f t="shared" ref="R64:R74" si="21">$O64*$Y$65/$Y$66</f>
        <v>-0.97186754899107053</v>
      </c>
      <c r="S64" s="341">
        <f t="shared" ref="S64:S74" si="22">F64</f>
        <v>0.10878</v>
      </c>
      <c r="T64" s="346">
        <f t="shared" si="15"/>
        <v>7.5139999999999998E-2</v>
      </c>
      <c r="U64" s="347">
        <f t="shared" si="16"/>
        <v>6.472E-2</v>
      </c>
      <c r="V64" s="245">
        <f t="shared" ref="V64:V74" si="23">ROUND((P64*S64+Q64*T64+R64*U64)*1000,2)/1000</f>
        <v>-2.01593</v>
      </c>
      <c r="W64" s="167"/>
      <c r="X64" s="332" t="s">
        <v>177</v>
      </c>
      <c r="Y64" s="340">
        <v>7039819</v>
      </c>
      <c r="Z64" s="77"/>
      <c r="AA64" s="228"/>
      <c r="AB64" s="221"/>
      <c r="AC64" s="228"/>
      <c r="AD64" s="242"/>
      <c r="AE64" s="77"/>
      <c r="AF64" s="77"/>
      <c r="AG64" s="167"/>
      <c r="AH64" s="77"/>
      <c r="AI64" s="152"/>
    </row>
    <row r="65" spans="1:35">
      <c r="A65" s="232">
        <v>43709</v>
      </c>
      <c r="B65" s="167">
        <f>TempAdjustmnts!F7*(Temperature!$L$66/(Temperature!$L$66+Temperature!$Y$66))</f>
        <v>24.541825182184908</v>
      </c>
      <c r="C65" s="224">
        <f t="shared" si="17"/>
        <v>5.7282638537439201</v>
      </c>
      <c r="D65" s="167">
        <f t="shared" si="18"/>
        <v>13.198684262340445</v>
      </c>
      <c r="E65" s="167">
        <f t="shared" si="19"/>
        <v>5.6148770661005454</v>
      </c>
      <c r="F65" s="344">
        <v>0.10878</v>
      </c>
      <c r="G65" s="345">
        <v>7.5139999999999998E-2</v>
      </c>
      <c r="H65" s="338">
        <v>6.472E-2</v>
      </c>
      <c r="I65" s="245">
        <f t="shared" si="20"/>
        <v>1.9782599999999999</v>
      </c>
      <c r="J65" s="167"/>
      <c r="K65" s="348" t="s">
        <v>179</v>
      </c>
      <c r="L65" s="337">
        <v>118240509</v>
      </c>
      <c r="M65" s="221"/>
      <c r="N65" s="232">
        <v>43709</v>
      </c>
      <c r="O65" s="167">
        <f>TempAdjustmnts!F7*(Temperature!$Y$66/(Temperature!$L$66+Temperature!$Y$66))</f>
        <v>0.99895783426258067</v>
      </c>
      <c r="P65" s="224">
        <f t="shared" si="13"/>
        <v>0.6186693656461727</v>
      </c>
      <c r="Q65" s="167">
        <f t="shared" si="14"/>
        <v>0.33429929037770689</v>
      </c>
      <c r="R65" s="167">
        <f t="shared" si="21"/>
        <v>4.598917823870103E-2</v>
      </c>
      <c r="S65" s="341">
        <f t="shared" si="22"/>
        <v>0.10878</v>
      </c>
      <c r="T65" s="346">
        <f t="shared" si="15"/>
        <v>7.5139999999999998E-2</v>
      </c>
      <c r="U65" s="347">
        <f t="shared" si="16"/>
        <v>6.472E-2</v>
      </c>
      <c r="V65" s="245">
        <f t="shared" si="23"/>
        <v>9.5390000000000003E-2</v>
      </c>
      <c r="W65" s="167"/>
      <c r="X65" s="348" t="s">
        <v>179</v>
      </c>
      <c r="Y65" s="337">
        <v>968460</v>
      </c>
      <c r="Z65" s="77"/>
      <c r="AA65" s="228"/>
      <c r="AB65" s="221"/>
      <c r="AC65" s="228"/>
      <c r="AD65" s="242"/>
      <c r="AE65" s="77"/>
      <c r="AF65" s="77"/>
      <c r="AG65" s="167"/>
      <c r="AH65" s="77"/>
      <c r="AI65" s="152"/>
    </row>
    <row r="66" spans="1:35">
      <c r="A66" s="232">
        <v>43739</v>
      </c>
      <c r="B66" s="167">
        <f>TempAdjustmnts!F8*(Temperature!$L$66/(Temperature!$L$66+Temperature!$Y$66))</f>
        <v>-194.45593745710681</v>
      </c>
      <c r="C66" s="224">
        <f t="shared" si="17"/>
        <v>-45.387615200275235</v>
      </c>
      <c r="D66" s="167">
        <f t="shared" si="18"/>
        <v>-104.57912165786512</v>
      </c>
      <c r="E66" s="167">
        <f t="shared" si="19"/>
        <v>-44.48920059896647</v>
      </c>
      <c r="F66" s="344">
        <v>0.10878</v>
      </c>
      <c r="G66" s="345">
        <v>7.5139999999999998E-2</v>
      </c>
      <c r="H66" s="338">
        <v>6.472E-2</v>
      </c>
      <c r="I66" s="245">
        <f t="shared" si="20"/>
        <v>-15.67468</v>
      </c>
      <c r="J66" s="167"/>
      <c r="K66" s="339" t="s">
        <v>8</v>
      </c>
      <c r="L66" s="340">
        <f>SUM(L63:L65)</f>
        <v>516812366</v>
      </c>
      <c r="M66" s="221"/>
      <c r="N66" s="232">
        <v>43739</v>
      </c>
      <c r="O66" s="167">
        <f>TempAdjustmnts!F8*(Temperature!$Y$66/(Temperature!$L$66+Temperature!$Y$66))</f>
        <v>-7.9151929695376184</v>
      </c>
      <c r="P66" s="224">
        <f t="shared" si="13"/>
        <v>-4.9019961058173305</v>
      </c>
      <c r="Q66" s="167">
        <f t="shared" si="14"/>
        <v>-2.6488038855737286</v>
      </c>
      <c r="R66" s="167">
        <f t="shared" si="21"/>
        <v>-0.36439297814655935</v>
      </c>
      <c r="S66" s="344">
        <f t="shared" si="22"/>
        <v>0.10878</v>
      </c>
      <c r="T66" s="345">
        <f t="shared" si="15"/>
        <v>7.5139999999999998E-2</v>
      </c>
      <c r="U66" s="338">
        <f t="shared" si="16"/>
        <v>6.472E-2</v>
      </c>
      <c r="V66" s="245">
        <f t="shared" si="23"/>
        <v>-0.75585000000000002</v>
      </c>
      <c r="W66" s="167"/>
      <c r="X66" s="339" t="s">
        <v>8</v>
      </c>
      <c r="Y66" s="340">
        <f>SUM(Y63:Y65)</f>
        <v>21036486</v>
      </c>
      <c r="Z66" s="77"/>
      <c r="AA66" s="228"/>
      <c r="AB66" s="221"/>
      <c r="AC66" s="228"/>
      <c r="AD66" s="242"/>
      <c r="AE66" s="77"/>
      <c r="AF66" s="77"/>
      <c r="AG66" s="167"/>
      <c r="AH66" s="77"/>
      <c r="AI66" s="152"/>
    </row>
    <row r="67" spans="1:35">
      <c r="A67" s="232">
        <v>43770</v>
      </c>
      <c r="B67" s="167">
        <f>TempAdjustmnts!F9*(Temperature!$L$66/(Temperature!$L$66+Temperature!$Y$66))</f>
        <v>-241.87865051172167</v>
      </c>
      <c r="C67" s="224">
        <f t="shared" si="17"/>
        <v>-56.456466478476528</v>
      </c>
      <c r="D67" s="167">
        <f t="shared" si="18"/>
        <v>-130.08323196037799</v>
      </c>
      <c r="E67" s="167">
        <f t="shared" si="19"/>
        <v>-55.338952072867158</v>
      </c>
      <c r="F67" s="344">
        <v>0.10878</v>
      </c>
      <c r="G67" s="345">
        <v>7.5139999999999998E-2</v>
      </c>
      <c r="H67" s="338">
        <v>6.472E-2</v>
      </c>
      <c r="I67" s="245">
        <f t="shared" si="20"/>
        <v>-19.497330000000002</v>
      </c>
      <c r="J67" s="167"/>
      <c r="L67" s="243"/>
      <c r="M67" s="243"/>
      <c r="N67" s="232">
        <v>43770</v>
      </c>
      <c r="O67" s="167">
        <f>TempAdjustmnts!F9*(Temperature!$Y$66/(Temperature!$L$66+Temperature!$Y$66))</f>
        <v>-9.845501346205646</v>
      </c>
      <c r="P67" s="224">
        <f t="shared" si="13"/>
        <v>-6.0974646410596245</v>
      </c>
      <c r="Q67" s="167">
        <f t="shared" si="14"/>
        <v>-3.2947778180036384</v>
      </c>
      <c r="R67" s="167">
        <f t="shared" si="21"/>
        <v>-0.45325888714238299</v>
      </c>
      <c r="S67" s="344">
        <f t="shared" si="22"/>
        <v>0.10878</v>
      </c>
      <c r="T67" s="345">
        <f t="shared" si="15"/>
        <v>7.5139999999999998E-2</v>
      </c>
      <c r="U67" s="338">
        <f t="shared" si="16"/>
        <v>6.472E-2</v>
      </c>
      <c r="V67" s="245">
        <f t="shared" si="23"/>
        <v>-0.94019000000000008</v>
      </c>
      <c r="W67" s="167"/>
      <c r="Y67" s="243"/>
      <c r="Z67" s="77"/>
      <c r="AA67" s="228"/>
      <c r="AB67" s="221"/>
      <c r="AC67" s="228"/>
      <c r="AD67" s="242"/>
      <c r="AE67" s="77"/>
      <c r="AF67" s="77"/>
      <c r="AG67" s="167"/>
      <c r="AH67" s="77"/>
      <c r="AI67" s="152"/>
    </row>
    <row r="68" spans="1:35">
      <c r="A68" s="232">
        <v>43800</v>
      </c>
      <c r="B68" s="167">
        <f>TempAdjustmnts!F10*(Temperature!$L$66/(Temperature!$L$66+Temperature!$Y$66))</f>
        <v>870.25942329371389</v>
      </c>
      <c r="C68" s="224">
        <f t="shared" si="17"/>
        <v>203.1257072702202</v>
      </c>
      <c r="D68" s="167">
        <f t="shared" si="18"/>
        <v>468.02873336080103</v>
      </c>
      <c r="E68" s="167">
        <f t="shared" si="19"/>
        <v>199.10498266269266</v>
      </c>
      <c r="F68" s="344">
        <v>0.10878</v>
      </c>
      <c r="G68" s="345">
        <v>7.5139999999999998E-2</v>
      </c>
      <c r="H68" s="338">
        <v>6.472E-2</v>
      </c>
      <c r="I68" s="238">
        <f t="shared" si="20"/>
        <v>70.149770000000004</v>
      </c>
      <c r="J68" s="167"/>
      <c r="K68" s="228"/>
      <c r="L68" s="221"/>
      <c r="M68" s="221"/>
      <c r="N68" s="232">
        <v>43800</v>
      </c>
      <c r="O68" s="167">
        <f>TempAdjustmnts!F10*(Temperature!$Y$66/(Temperature!$L$66+Temperature!$Y$66))</f>
        <v>35.423301335027041</v>
      </c>
      <c r="P68" s="224">
        <f t="shared" si="13"/>
        <v>21.938174579923125</v>
      </c>
      <c r="Q68" s="167">
        <f t="shared" si="14"/>
        <v>11.85433868475223</v>
      </c>
      <c r="R68" s="167">
        <f t="shared" si="21"/>
        <v>1.6307880703516873</v>
      </c>
      <c r="S68" s="344">
        <f t="shared" si="22"/>
        <v>0.10878</v>
      </c>
      <c r="T68" s="345">
        <f t="shared" si="15"/>
        <v>7.5139999999999998E-2</v>
      </c>
      <c r="U68" s="338">
        <f t="shared" si="16"/>
        <v>6.472E-2</v>
      </c>
      <c r="V68" s="238">
        <f t="shared" si="23"/>
        <v>3.3827099999999999</v>
      </c>
      <c r="W68" s="167"/>
      <c r="X68" s="228"/>
      <c r="Y68" s="221"/>
      <c r="Z68" s="77"/>
      <c r="AA68" s="228"/>
      <c r="AB68" s="221"/>
      <c r="AC68" s="228"/>
      <c r="AD68" s="242"/>
      <c r="AE68" s="77"/>
      <c r="AF68" s="77"/>
      <c r="AG68" s="167"/>
      <c r="AH68" s="77"/>
      <c r="AI68" s="152"/>
    </row>
    <row r="69" spans="1:35">
      <c r="A69" s="232">
        <v>43831</v>
      </c>
      <c r="B69" s="167">
        <f>TempAdjustmnts!F11*(Temperature!$L$66/(Temperature!$L$66+Temperature!$Y$66))</f>
        <v>976.33824218894256</v>
      </c>
      <c r="C69" s="224">
        <f t="shared" si="17"/>
        <v>227.8853760973978</v>
      </c>
      <c r="D69" s="167">
        <f t="shared" si="18"/>
        <v>525.0783141122954</v>
      </c>
      <c r="E69" s="167">
        <f t="shared" si="19"/>
        <v>223.37455197924936</v>
      </c>
      <c r="F69" s="344">
        <v>0.10878</v>
      </c>
      <c r="G69" s="345">
        <v>7.5139999999999998E-2</v>
      </c>
      <c r="H69" s="338">
        <v>6.472E-2</v>
      </c>
      <c r="I69" s="245">
        <f t="shared" si="20"/>
        <v>78.700559999999996</v>
      </c>
      <c r="J69" s="167"/>
      <c r="K69" s="228"/>
      <c r="L69" s="221"/>
      <c r="M69" s="221"/>
      <c r="N69" s="232">
        <v>43831</v>
      </c>
      <c r="O69" s="167">
        <f>TempAdjustmnts!F11*(Temperature!$Y$66/(Temperature!$L$66+Temperature!$Y$66))</f>
        <v>39.741165487267573</v>
      </c>
      <c r="P69" s="224">
        <f t="shared" si="13"/>
        <v>24.612291729206948</v>
      </c>
      <c r="Q69" s="167">
        <f t="shared" si="14"/>
        <v>13.299303499615407</v>
      </c>
      <c r="R69" s="167">
        <f t="shared" si="21"/>
        <v>1.8295702584452154</v>
      </c>
      <c r="S69" s="344">
        <f t="shared" si="22"/>
        <v>0.10878</v>
      </c>
      <c r="T69" s="345">
        <f t="shared" si="15"/>
        <v>7.5139999999999998E-2</v>
      </c>
      <c r="U69" s="338">
        <f t="shared" si="16"/>
        <v>6.472E-2</v>
      </c>
      <c r="V69" s="245">
        <f t="shared" si="23"/>
        <v>3.7950399999999997</v>
      </c>
      <c r="W69" s="167"/>
      <c r="X69" s="228"/>
      <c r="Y69" s="221"/>
      <c r="Z69" s="77"/>
      <c r="AA69" s="228"/>
      <c r="AB69" s="221"/>
      <c r="AC69" s="228"/>
      <c r="AD69" s="242"/>
      <c r="AE69" s="77"/>
      <c r="AF69" s="77"/>
      <c r="AG69" s="167"/>
      <c r="AH69" s="77"/>
      <c r="AI69" s="152"/>
    </row>
    <row r="70" spans="1:35">
      <c r="A70" s="232">
        <v>43862</v>
      </c>
      <c r="B70" s="167">
        <f>TempAdjustmnts!F12*(Temperature!$L$66/(Temperature!$L$66+Temperature!$Y$66))</f>
        <v>409.5719787010903</v>
      </c>
      <c r="C70" s="224">
        <f t="shared" si="17"/>
        <v>95.597468553516862</v>
      </c>
      <c r="D70" s="167">
        <f t="shared" si="18"/>
        <v>220.26932346913767</v>
      </c>
      <c r="E70" s="167">
        <f t="shared" si="19"/>
        <v>93.70518667843578</v>
      </c>
      <c r="F70" s="344">
        <v>0.10878</v>
      </c>
      <c r="G70" s="345">
        <v>7.5139999999999998E-2</v>
      </c>
      <c r="H70" s="338">
        <v>6.472E-2</v>
      </c>
      <c r="I70" s="245">
        <f t="shared" si="20"/>
        <v>33.01473</v>
      </c>
      <c r="J70" s="167"/>
      <c r="L70" s="243"/>
      <c r="M70" s="243"/>
      <c r="N70" s="232">
        <v>43862</v>
      </c>
      <c r="O70" s="167">
        <f>TempAdjustmnts!F12*(Temperature!$Y$66/(Temperature!$L$66+Temperature!$Y$66))</f>
        <v>16.671341018062606</v>
      </c>
      <c r="P70" s="224">
        <f t="shared" si="13"/>
        <v>10.324808133397868</v>
      </c>
      <c r="Q70" s="167">
        <f t="shared" si="14"/>
        <v>5.5790317477185338</v>
      </c>
      <c r="R70" s="167">
        <f t="shared" si="21"/>
        <v>0.76750113694620437</v>
      </c>
      <c r="S70" s="344">
        <f t="shared" si="22"/>
        <v>0.10878</v>
      </c>
      <c r="T70" s="345">
        <f t="shared" si="15"/>
        <v>7.5139999999999998E-2</v>
      </c>
      <c r="U70" s="338">
        <f t="shared" si="16"/>
        <v>6.472E-2</v>
      </c>
      <c r="V70" s="245">
        <f t="shared" si="23"/>
        <v>1.5920099999999999</v>
      </c>
      <c r="W70" s="167"/>
      <c r="Y70" s="243"/>
      <c r="Z70" s="77"/>
      <c r="AA70" s="228"/>
      <c r="AB70" s="221"/>
      <c r="AC70" s="228"/>
      <c r="AD70" s="242"/>
      <c r="AE70" s="77"/>
      <c r="AF70" s="77"/>
      <c r="AG70" s="167"/>
      <c r="AH70" s="77"/>
      <c r="AI70" s="152"/>
    </row>
    <row r="71" spans="1:35">
      <c r="A71" s="232">
        <v>43891</v>
      </c>
      <c r="B71" s="167">
        <f>TempAdjustmnts!F13*(Temperature!$L$66/(Temperature!$L$66+Temperature!$Y$66))</f>
        <v>-126.96200526834927</v>
      </c>
      <c r="C71" s="224">
        <f t="shared" si="17"/>
        <v>-29.633976290624961</v>
      </c>
      <c r="D71" s="167">
        <f t="shared" si="18"/>
        <v>-68.280635544049574</v>
      </c>
      <c r="E71" s="167">
        <f t="shared" si="19"/>
        <v>-29.047393433674728</v>
      </c>
      <c r="F71" s="344">
        <v>0.10878</v>
      </c>
      <c r="G71" s="345">
        <v>7.5139999999999998E-2</v>
      </c>
      <c r="H71" s="338">
        <v>6.472E-2</v>
      </c>
      <c r="I71" s="245">
        <f t="shared" si="20"/>
        <v>-10.23414</v>
      </c>
      <c r="J71" s="167"/>
      <c r="L71" s="243"/>
      <c r="M71" s="243"/>
      <c r="N71" s="232">
        <v>43891</v>
      </c>
      <c r="O71" s="167">
        <f>TempAdjustmnts!F13*(Temperature!$Y$66/(Temperature!$L$66+Temperature!$Y$66))</f>
        <v>-5.1678996519203944</v>
      </c>
      <c r="P71" s="224">
        <f t="shared" si="13"/>
        <v>-3.2005567099204137</v>
      </c>
      <c r="Q71" s="167">
        <f t="shared" si="14"/>
        <v>-1.7294275365040805</v>
      </c>
      <c r="R71" s="167">
        <f t="shared" si="21"/>
        <v>-0.23791540549590007</v>
      </c>
      <c r="S71" s="344">
        <f t="shared" si="22"/>
        <v>0.10878</v>
      </c>
      <c r="T71" s="345">
        <f t="shared" si="15"/>
        <v>7.5139999999999998E-2</v>
      </c>
      <c r="U71" s="338">
        <f t="shared" si="16"/>
        <v>6.472E-2</v>
      </c>
      <c r="V71" s="245">
        <f t="shared" si="23"/>
        <v>-0.49349999999999999</v>
      </c>
      <c r="W71" s="167"/>
      <c r="Y71" s="243"/>
      <c r="Z71" s="77"/>
      <c r="AA71" s="228"/>
      <c r="AB71" s="221"/>
      <c r="AC71" s="228"/>
      <c r="AD71" s="242"/>
      <c r="AE71" s="77"/>
      <c r="AF71" s="77"/>
      <c r="AG71" s="167"/>
      <c r="AH71" s="77"/>
      <c r="AI71" s="152"/>
    </row>
    <row r="72" spans="1:35">
      <c r="A72" s="232">
        <v>43922</v>
      </c>
      <c r="B72" s="167">
        <f>TempAdjustmnts!F14*(Temperature!$L$66/(Temperature!$L$66+Temperature!$Y$66))</f>
        <v>-173.07430050020696</v>
      </c>
      <c r="C72" s="224">
        <f t="shared" si="17"/>
        <v>-40.396965270823635</v>
      </c>
      <c r="D72" s="167">
        <f t="shared" si="18"/>
        <v>-93.079998299633033</v>
      </c>
      <c r="E72" s="167">
        <f t="shared" si="19"/>
        <v>-39.597336929750291</v>
      </c>
      <c r="F72" s="344">
        <v>0.10878</v>
      </c>
      <c r="G72" s="345">
        <v>7.5139999999999998E-2</v>
      </c>
      <c r="H72" s="338">
        <v>6.472E-2</v>
      </c>
      <c r="I72" s="245">
        <f t="shared" si="20"/>
        <v>-13.95115</v>
      </c>
      <c r="J72" s="167"/>
      <c r="L72" s="243"/>
      <c r="M72" s="243"/>
      <c r="N72" s="232">
        <v>43922</v>
      </c>
      <c r="O72" s="167">
        <f>TempAdjustmnts!F14*(Temperature!$Y$66/(Temperature!$L$66+Temperature!$Y$66))</f>
        <v>-7.0448683873643922</v>
      </c>
      <c r="P72" s="224">
        <f t="shared" si="13"/>
        <v>-4.3629912162297204</v>
      </c>
      <c r="Q72" s="167">
        <f t="shared" si="14"/>
        <v>-2.3575514620582165</v>
      </c>
      <c r="R72" s="167">
        <f t="shared" si="21"/>
        <v>-0.32432570907645503</v>
      </c>
      <c r="S72" s="344">
        <f t="shared" si="22"/>
        <v>0.10878</v>
      </c>
      <c r="T72" s="345">
        <f t="shared" si="15"/>
        <v>7.5139999999999998E-2</v>
      </c>
      <c r="U72" s="338">
        <f t="shared" si="16"/>
        <v>6.472E-2</v>
      </c>
      <c r="V72" s="245">
        <f t="shared" si="23"/>
        <v>-0.67274</v>
      </c>
      <c r="W72" s="167"/>
      <c r="Y72" s="243"/>
      <c r="Z72" s="77"/>
      <c r="AA72" s="228"/>
      <c r="AB72" s="221"/>
      <c r="AC72" s="228"/>
      <c r="AD72" s="242"/>
      <c r="AE72" s="77"/>
      <c r="AF72" s="77"/>
      <c r="AG72" s="167"/>
      <c r="AH72" s="77"/>
      <c r="AI72" s="152"/>
    </row>
    <row r="73" spans="1:35">
      <c r="A73" s="232">
        <v>43952</v>
      </c>
      <c r="B73" s="167">
        <f>TempAdjustmnts!F15*(Temperature!$L$66/(Temperature!$L$66+Temperature!$Y$66))</f>
        <v>51.706272828607055</v>
      </c>
      <c r="C73" s="224">
        <f t="shared" si="17"/>
        <v>12.068669361679571</v>
      </c>
      <c r="D73" s="167">
        <f t="shared" si="18"/>
        <v>27.807824576251001</v>
      </c>
      <c r="E73" s="167">
        <f t="shared" si="19"/>
        <v>11.829778890676481</v>
      </c>
      <c r="F73" s="344">
        <v>0.10878</v>
      </c>
      <c r="G73" s="345">
        <v>7.5139999999999998E-2</v>
      </c>
      <c r="H73" s="338">
        <v>6.472E-2</v>
      </c>
      <c r="I73" s="245">
        <f t="shared" si="20"/>
        <v>4.1679300000000001</v>
      </c>
      <c r="J73" s="167"/>
      <c r="L73" s="243"/>
      <c r="M73" s="243"/>
      <c r="N73" s="232">
        <v>43952</v>
      </c>
      <c r="O73" s="167">
        <f>TempAdjustmnts!F15*(Temperature!$Y$66/(Temperature!$L$66+Temperature!$Y$66))</f>
        <v>2.1046676821799819</v>
      </c>
      <c r="P73" s="224">
        <f t="shared" si="13"/>
        <v>1.3034518326706759</v>
      </c>
      <c r="Q73" s="167">
        <f t="shared" si="14"/>
        <v>0.70432293386341227</v>
      </c>
      <c r="R73" s="167">
        <f t="shared" si="21"/>
        <v>9.6892915645893779E-2</v>
      </c>
      <c r="S73" s="344">
        <f t="shared" si="22"/>
        <v>0.10878</v>
      </c>
      <c r="T73" s="345">
        <f t="shared" si="15"/>
        <v>7.5139999999999998E-2</v>
      </c>
      <c r="U73" s="338">
        <f t="shared" si="16"/>
        <v>6.472E-2</v>
      </c>
      <c r="V73" s="245">
        <f t="shared" si="23"/>
        <v>0.20097999999999999</v>
      </c>
      <c r="W73" s="167"/>
      <c r="Y73" s="243"/>
      <c r="Z73" s="77"/>
      <c r="AA73" s="228"/>
      <c r="AB73" s="221"/>
      <c r="AC73" s="228"/>
      <c r="AD73" s="242"/>
      <c r="AE73" s="77"/>
      <c r="AF73" s="77"/>
      <c r="AG73" s="167"/>
      <c r="AH73" s="77"/>
      <c r="AI73" s="152"/>
    </row>
    <row r="74" spans="1:35">
      <c r="A74" s="232">
        <v>43983</v>
      </c>
      <c r="B74" s="272">
        <f>TempAdjustmnts!F16*(Temperature!$L$66/(Temperature!$L$66+Temperature!$Y$66))</f>
        <v>-155.40261521861046</v>
      </c>
      <c r="C74" s="273">
        <f t="shared" si="17"/>
        <v>-36.272248576696505</v>
      </c>
      <c r="D74" s="235">
        <f t="shared" si="18"/>
        <v>-83.576100660245004</v>
      </c>
      <c r="E74" s="274">
        <f t="shared" si="19"/>
        <v>-35.554265981668955</v>
      </c>
      <c r="F74" s="349">
        <v>0.10878</v>
      </c>
      <c r="G74" s="350">
        <v>7.5139999999999998E-2</v>
      </c>
      <c r="H74" s="351">
        <v>6.472E-2</v>
      </c>
      <c r="I74" s="246">
        <f t="shared" si="20"/>
        <v>-12.526680000000001</v>
      </c>
      <c r="J74" s="167"/>
      <c r="L74" s="243"/>
      <c r="M74" s="243"/>
      <c r="N74" s="232">
        <v>43983</v>
      </c>
      <c r="O74" s="272">
        <f>TempAdjustmnts!F16*(Temperature!$Y$66/(Temperature!$L$66+Temperature!$Y$66))</f>
        <v>-6.3255547941159085</v>
      </c>
      <c r="P74" s="273">
        <f t="shared" si="13"/>
        <v>-3.9175096661859037</v>
      </c>
      <c r="Q74" s="235">
        <f t="shared" si="14"/>
        <v>-2.1168345713803274</v>
      </c>
      <c r="R74" s="274">
        <f t="shared" si="21"/>
        <v>-0.2912105565496772</v>
      </c>
      <c r="S74" s="349">
        <f t="shared" si="22"/>
        <v>0.10878</v>
      </c>
      <c r="T74" s="350">
        <f t="shared" si="15"/>
        <v>7.5139999999999998E-2</v>
      </c>
      <c r="U74" s="351">
        <f t="shared" si="16"/>
        <v>6.472E-2</v>
      </c>
      <c r="V74" s="246">
        <f t="shared" si="23"/>
        <v>-0.60404999999999998</v>
      </c>
      <c r="W74" s="167"/>
      <c r="Y74" s="243"/>
      <c r="Z74" s="77"/>
      <c r="AA74" s="228"/>
      <c r="AB74" s="221"/>
      <c r="AC74" s="228"/>
      <c r="AD74" s="242"/>
      <c r="AE74" s="77"/>
      <c r="AF74" s="77"/>
      <c r="AG74" s="167"/>
      <c r="AH74" s="77"/>
      <c r="AI74" s="152"/>
    </row>
    <row r="75" spans="1:35">
      <c r="A75" s="77" t="s">
        <v>8</v>
      </c>
      <c r="B75" s="167">
        <f>SUM(B63:B74)</f>
        <v>2818.5218767033307</v>
      </c>
      <c r="C75" s="224">
        <f>SUM(C63:C74)</f>
        <v>657.86618833166926</v>
      </c>
      <c r="D75" s="167">
        <f>SUM(D63:D74)</f>
        <v>1515.811479421295</v>
      </c>
      <c r="E75" s="167">
        <f>SUM(E63:E74)</f>
        <v>644.8442089503659</v>
      </c>
      <c r="F75" s="247" t="s">
        <v>29</v>
      </c>
      <c r="G75" s="248" t="s">
        <v>29</v>
      </c>
      <c r="H75" s="248" t="s">
        <v>29</v>
      </c>
      <c r="I75" s="249">
        <f>SUM(I63:I74)</f>
        <v>227.19506999999999</v>
      </c>
      <c r="J75" s="238"/>
      <c r="L75" s="243"/>
      <c r="M75" s="243"/>
      <c r="N75" s="77" t="s">
        <v>8</v>
      </c>
      <c r="O75" s="167">
        <f>SUM(O63:O74)</f>
        <v>114.7259622653134</v>
      </c>
      <c r="P75" s="224">
        <f>SUM(P63:P74)</f>
        <v>71.051485721840208</v>
      </c>
      <c r="Q75" s="167">
        <f>SUM(Q63:Q74)</f>
        <v>38.392819454191915</v>
      </c>
      <c r="R75" s="167">
        <f>SUM(R63:R74)</f>
        <v>5.281657089281234</v>
      </c>
      <c r="S75" s="247" t="s">
        <v>29</v>
      </c>
      <c r="T75" s="248" t="s">
        <v>29</v>
      </c>
      <c r="U75" s="248" t="s">
        <v>29</v>
      </c>
      <c r="V75" s="249">
        <f>SUM(V63:V74)</f>
        <v>10.955630000000003</v>
      </c>
      <c r="W75" s="238"/>
      <c r="Y75" s="243"/>
      <c r="Z75" s="77"/>
      <c r="AA75" s="228"/>
      <c r="AB75" s="221"/>
      <c r="AC75" s="228"/>
      <c r="AD75" s="242"/>
      <c r="AE75" s="77"/>
      <c r="AF75" s="77"/>
      <c r="AG75" s="167"/>
      <c r="AH75" s="77"/>
      <c r="AI75" s="152"/>
    </row>
    <row r="76" spans="1:35">
      <c r="A76" s="77"/>
      <c r="B76" s="167"/>
      <c r="C76" s="221"/>
      <c r="D76" s="167"/>
      <c r="E76" s="167"/>
      <c r="F76" s="301"/>
      <c r="G76" s="248"/>
      <c r="H76" s="248"/>
      <c r="I76" s="302"/>
      <c r="J76" s="238"/>
      <c r="L76" s="243"/>
      <c r="M76" s="243"/>
      <c r="N76" s="77"/>
      <c r="O76" s="167"/>
      <c r="P76" s="221"/>
      <c r="Q76" s="167"/>
      <c r="R76" s="167"/>
      <c r="S76" s="301"/>
      <c r="T76" s="248"/>
      <c r="U76" s="248"/>
      <c r="V76" s="302"/>
      <c r="W76" s="238"/>
      <c r="Y76" s="243"/>
      <c r="Z76" s="77"/>
      <c r="AA76" s="228"/>
      <c r="AB76" s="221"/>
      <c r="AC76" s="228"/>
      <c r="AD76" s="242"/>
      <c r="AE76" s="77"/>
      <c r="AF76" s="77"/>
      <c r="AG76" s="167"/>
      <c r="AH76" s="77"/>
      <c r="AI76" s="152"/>
    </row>
    <row r="77" spans="1:35">
      <c r="A77" s="129" t="s">
        <v>315</v>
      </c>
      <c r="B77" s="75" t="s">
        <v>11</v>
      </c>
      <c r="C77" s="207" t="s">
        <v>172</v>
      </c>
      <c r="D77" s="75" t="s">
        <v>172</v>
      </c>
      <c r="E77" s="207"/>
      <c r="F77" s="75"/>
      <c r="G77" s="226" t="s">
        <v>1</v>
      </c>
      <c r="H77" s="238"/>
      <c r="J77" s="243"/>
      <c r="K77" s="243"/>
      <c r="L77" s="129" t="s">
        <v>316</v>
      </c>
      <c r="M77" s="75" t="s">
        <v>11</v>
      </c>
      <c r="N77" s="207" t="s">
        <v>172</v>
      </c>
      <c r="O77" s="75" t="s">
        <v>172</v>
      </c>
      <c r="P77" s="207"/>
      <c r="Q77" s="75"/>
      <c r="R77" s="226" t="s">
        <v>1</v>
      </c>
      <c r="S77" s="238"/>
      <c r="U77" s="243"/>
      <c r="V77" s="77"/>
      <c r="W77" s="228"/>
      <c r="X77" s="221"/>
      <c r="Y77" s="228"/>
      <c r="Z77" s="242"/>
      <c r="AA77" s="77"/>
      <c r="AB77" s="77"/>
      <c r="AC77" s="167"/>
      <c r="AD77" s="77"/>
      <c r="AE77" s="152"/>
    </row>
    <row r="78" spans="1:35">
      <c r="A78" s="2" t="s">
        <v>16</v>
      </c>
      <c r="B78" s="75" t="s">
        <v>14</v>
      </c>
      <c r="C78" s="207" t="s">
        <v>173</v>
      </c>
      <c r="D78" s="75" t="s">
        <v>174</v>
      </c>
      <c r="E78" s="207" t="s">
        <v>173</v>
      </c>
      <c r="F78" s="75" t="s">
        <v>174</v>
      </c>
      <c r="G78" s="226" t="s">
        <v>24</v>
      </c>
      <c r="H78" s="238"/>
      <c r="I78" s="330" t="s">
        <v>175</v>
      </c>
      <c r="J78" s="330"/>
      <c r="K78" s="243"/>
      <c r="L78" s="2" t="s">
        <v>16</v>
      </c>
      <c r="M78" s="75" t="s">
        <v>14</v>
      </c>
      <c r="N78" s="207" t="s">
        <v>317</v>
      </c>
      <c r="O78" s="75" t="s">
        <v>318</v>
      </c>
      <c r="P78" s="207" t="s">
        <v>317</v>
      </c>
      <c r="Q78" s="75" t="s">
        <v>318</v>
      </c>
      <c r="R78" s="226" t="s">
        <v>24</v>
      </c>
      <c r="S78" s="238"/>
      <c r="T78" s="67" t="s">
        <v>175</v>
      </c>
      <c r="U78" s="67"/>
      <c r="V78" s="77"/>
      <c r="W78" s="228"/>
      <c r="X78" s="221"/>
      <c r="Y78" s="228"/>
      <c r="Z78" s="242"/>
      <c r="AA78" s="77"/>
      <c r="AB78" s="77"/>
      <c r="AC78" s="167"/>
      <c r="AD78" s="77"/>
      <c r="AE78" s="152"/>
    </row>
    <row r="79" spans="1:35">
      <c r="A79" s="75" t="s">
        <v>22</v>
      </c>
      <c r="B79" s="300" t="s">
        <v>21</v>
      </c>
      <c r="C79" s="206" t="s">
        <v>21</v>
      </c>
      <c r="D79" s="300" t="s">
        <v>21</v>
      </c>
      <c r="E79" s="206" t="s">
        <v>36</v>
      </c>
      <c r="F79" s="300" t="s">
        <v>36</v>
      </c>
      <c r="G79" s="231" t="s">
        <v>168</v>
      </c>
      <c r="H79" s="238"/>
      <c r="I79" s="331" t="s">
        <v>434</v>
      </c>
      <c r="J79" s="331"/>
      <c r="K79" s="243"/>
      <c r="L79" s="75" t="s">
        <v>22</v>
      </c>
      <c r="M79" s="300" t="s">
        <v>21</v>
      </c>
      <c r="N79" s="206" t="s">
        <v>21</v>
      </c>
      <c r="O79" s="300" t="s">
        <v>21</v>
      </c>
      <c r="P79" s="206" t="s">
        <v>36</v>
      </c>
      <c r="Q79" s="300" t="s">
        <v>36</v>
      </c>
      <c r="R79" s="231" t="s">
        <v>168</v>
      </c>
      <c r="S79" s="238"/>
      <c r="T79" s="85" t="str">
        <f>X62</f>
        <v>June 2019 Blocking</v>
      </c>
      <c r="U79" s="85"/>
      <c r="V79" s="77"/>
      <c r="W79" s="228"/>
      <c r="X79" s="221"/>
      <c r="Y79" s="228"/>
      <c r="Z79" s="242"/>
      <c r="AA79" s="77"/>
      <c r="AB79" s="77"/>
      <c r="AC79" s="167"/>
      <c r="AD79" s="77"/>
      <c r="AE79" s="152"/>
    </row>
    <row r="80" spans="1:35">
      <c r="A80" s="232">
        <v>43647</v>
      </c>
      <c r="B80" s="167">
        <f>TempAdjustmnts!G5</f>
        <v>3220.4570597785132</v>
      </c>
      <c r="C80" s="224">
        <f>$B80*$J$80/$J$82</f>
        <v>1424.7570465588035</v>
      </c>
      <c r="D80" s="167">
        <f>$B80*$J$81/$J$82</f>
        <v>1795.7000132197099</v>
      </c>
      <c r="E80" s="341">
        <v>5.9119999999999999E-2</v>
      </c>
      <c r="F80" s="335">
        <v>5.4100000000000002E-2</v>
      </c>
      <c r="G80" s="245">
        <f>(C80*E80)+(D80*F80)</f>
        <v>181.37900730774277</v>
      </c>
      <c r="H80" s="238"/>
      <c r="I80" s="332" t="s">
        <v>176</v>
      </c>
      <c r="J80" s="333">
        <v>374561211</v>
      </c>
      <c r="K80" s="243"/>
      <c r="L80" s="232">
        <v>43647</v>
      </c>
      <c r="M80" s="167">
        <f>TempAdjustmnts!H5</f>
        <v>762.89772232807979</v>
      </c>
      <c r="N80" s="224">
        <f>M80*$U$80/$U$82</f>
        <v>503.73332917026602</v>
      </c>
      <c r="O80" s="167">
        <f>M80*$U$81/$U$82</f>
        <v>259.16439315781378</v>
      </c>
      <c r="P80" s="344">
        <v>4.8520000000000001E-2</v>
      </c>
      <c r="Q80" s="338">
        <v>4.7980000000000002E-2</v>
      </c>
      <c r="R80" s="245">
        <f>(N80*P80)+(O80*Q80)</f>
        <v>36.875848715053209</v>
      </c>
      <c r="S80" s="238"/>
      <c r="T80" s="352" t="s">
        <v>317</v>
      </c>
      <c r="U80" s="340">
        <v>128374601</v>
      </c>
      <c r="V80" s="77"/>
      <c r="W80" s="228"/>
      <c r="X80" s="221"/>
      <c r="Y80" s="228"/>
      <c r="Z80" s="242"/>
      <c r="AA80" s="77"/>
      <c r="AB80" s="77"/>
      <c r="AC80" s="167"/>
      <c r="AD80" s="77"/>
      <c r="AE80" s="152"/>
    </row>
    <row r="81" spans="1:35">
      <c r="A81" s="232">
        <v>43678</v>
      </c>
      <c r="B81" s="167">
        <f>TempAdjustmnts!G6</f>
        <v>-790.2945125487721</v>
      </c>
      <c r="C81" s="224">
        <f t="shared" ref="C81:C91" si="24">$B81*$J$80/$J$82</f>
        <v>-349.63287965344176</v>
      </c>
      <c r="D81" s="167">
        <f t="shared" ref="D81:D91" si="25">$B81*$J$81/$J$82</f>
        <v>-440.66163289533034</v>
      </c>
      <c r="E81" s="341">
        <v>5.9119999999999999E-2</v>
      </c>
      <c r="F81" s="335">
        <v>5.4100000000000002E-2</v>
      </c>
      <c r="G81" s="245">
        <f t="shared" ref="G81:G91" si="26">(C81*E81)+(D81*F81)</f>
        <v>-44.510090184748847</v>
      </c>
      <c r="H81" s="238"/>
      <c r="I81" s="336" t="s">
        <v>177</v>
      </c>
      <c r="J81" s="337">
        <v>472080186</v>
      </c>
      <c r="K81" s="243"/>
      <c r="L81" s="232">
        <v>43678</v>
      </c>
      <c r="M81" s="167">
        <f>TempAdjustmnts!H6</f>
        <v>-196.47051368026447</v>
      </c>
      <c r="N81" s="224">
        <f t="shared" ref="N81:N91" si="27">M81*$U$80/$U$82</f>
        <v>-129.72741042919378</v>
      </c>
      <c r="O81" s="167">
        <f t="shared" ref="O81:O91" si="28">M81*$U$81/$U$82</f>
        <v>-66.743103251070693</v>
      </c>
      <c r="P81" s="344">
        <v>4.8520000000000001E-2</v>
      </c>
      <c r="Q81" s="338">
        <v>4.7980000000000002E-2</v>
      </c>
      <c r="R81" s="245">
        <f t="shared" ref="R81:R91" si="29">(N81*P81)+(O81*Q81)</f>
        <v>-9.4967080480108557</v>
      </c>
      <c r="S81" s="238"/>
      <c r="T81" s="353" t="s">
        <v>318</v>
      </c>
      <c r="U81" s="337">
        <v>66047100</v>
      </c>
      <c r="V81" s="77"/>
      <c r="W81" s="228"/>
      <c r="X81" s="221"/>
      <c r="Y81" s="228"/>
      <c r="Z81" s="242"/>
      <c r="AA81" s="77"/>
      <c r="AB81" s="77"/>
      <c r="AC81" s="167"/>
      <c r="AD81" s="77"/>
      <c r="AE81" s="152"/>
    </row>
    <row r="82" spans="1:35">
      <c r="A82" s="232">
        <v>43709</v>
      </c>
      <c r="B82" s="167">
        <f>TempAdjustmnts!G7</f>
        <v>44.433197612331092</v>
      </c>
      <c r="C82" s="224">
        <f t="shared" si="24"/>
        <v>19.657616985479205</v>
      </c>
      <c r="D82" s="167">
        <f t="shared" si="25"/>
        <v>24.775580626851887</v>
      </c>
      <c r="E82" s="341">
        <v>5.9119999999999999E-2</v>
      </c>
      <c r="F82" s="335">
        <v>5.4100000000000002E-2</v>
      </c>
      <c r="G82" s="245">
        <f t="shared" si="26"/>
        <v>2.5025172280942174</v>
      </c>
      <c r="H82" s="238"/>
      <c r="I82" s="339" t="s">
        <v>8</v>
      </c>
      <c r="J82" s="340">
        <f>SUM(J80:J81)</f>
        <v>846641397</v>
      </c>
      <c r="K82" s="243"/>
      <c r="L82" s="232">
        <v>43709</v>
      </c>
      <c r="M82" s="167">
        <f>TempAdjustmnts!H7</f>
        <v>10.111671671221432</v>
      </c>
      <c r="N82" s="224">
        <f t="shared" si="27"/>
        <v>6.6766302812876557</v>
      </c>
      <c r="O82" s="167">
        <f t="shared" si="28"/>
        <v>3.4350413899337759</v>
      </c>
      <c r="P82" s="344">
        <v>4.8520000000000001E-2</v>
      </c>
      <c r="Q82" s="338">
        <v>4.7980000000000002E-2</v>
      </c>
      <c r="R82" s="245">
        <f t="shared" si="29"/>
        <v>0.48876338713709966</v>
      </c>
      <c r="S82" s="238"/>
      <c r="T82" s="339" t="s">
        <v>8</v>
      </c>
      <c r="U82" s="340">
        <f>SUM(U80:U81)</f>
        <v>194421701</v>
      </c>
      <c r="V82" s="77"/>
      <c r="W82" s="228"/>
      <c r="X82" s="221"/>
      <c r="Y82" s="228"/>
      <c r="Z82" s="242"/>
      <c r="AA82" s="77"/>
      <c r="AB82" s="77"/>
      <c r="AC82" s="167"/>
      <c r="AD82" s="77"/>
      <c r="AE82" s="152"/>
    </row>
    <row r="83" spans="1:35">
      <c r="A83" s="232">
        <v>43739</v>
      </c>
      <c r="B83" s="167">
        <f>TempAdjustmnts!G8</f>
        <v>-391.2213500574083</v>
      </c>
      <c r="C83" s="224">
        <f t="shared" si="24"/>
        <v>-173.07958619292245</v>
      </c>
      <c r="D83" s="167">
        <f t="shared" si="25"/>
        <v>-218.14176386448585</v>
      </c>
      <c r="E83" s="341">
        <v>5.9119999999999999E-2</v>
      </c>
      <c r="F83" s="335">
        <v>5.4100000000000002E-2</v>
      </c>
      <c r="G83" s="245">
        <f t="shared" si="26"/>
        <v>-22.033934560794258</v>
      </c>
      <c r="H83" s="238"/>
      <c r="J83" s="243"/>
      <c r="K83" s="243"/>
      <c r="L83" s="232">
        <v>43739</v>
      </c>
      <c r="M83" s="167">
        <f>TempAdjustmnts!H8</f>
        <v>-89.169216215947287</v>
      </c>
      <c r="N83" s="224">
        <f t="shared" si="27"/>
        <v>-58.877494098279513</v>
      </c>
      <c r="O83" s="167">
        <f t="shared" si="28"/>
        <v>-30.291722117667781</v>
      </c>
      <c r="P83" s="344">
        <v>4.8520000000000001E-2</v>
      </c>
      <c r="Q83" s="338">
        <v>4.7980000000000002E-2</v>
      </c>
      <c r="R83" s="245">
        <f t="shared" si="29"/>
        <v>-4.3101328408542221</v>
      </c>
      <c r="S83" s="238"/>
      <c r="U83" s="243"/>
      <c r="V83" s="77"/>
      <c r="W83" s="228"/>
      <c r="X83" s="221"/>
      <c r="Y83" s="228"/>
      <c r="Z83" s="242"/>
      <c r="AA83" s="77"/>
      <c r="AB83" s="77"/>
      <c r="AC83" s="167"/>
      <c r="AD83" s="77"/>
      <c r="AE83" s="152"/>
    </row>
    <row r="84" spans="1:35">
      <c r="A84" s="232">
        <v>43770</v>
      </c>
      <c r="B84" s="167">
        <f>TempAdjustmnts!G9</f>
        <v>-474.72638918583567</v>
      </c>
      <c r="C84" s="224">
        <f t="shared" si="24"/>
        <v>-210.02291153866636</v>
      </c>
      <c r="D84" s="167">
        <f t="shared" si="25"/>
        <v>-264.70347764716934</v>
      </c>
      <c r="E84" s="341">
        <v>5.9119999999999999E-2</v>
      </c>
      <c r="F84" s="335">
        <v>5.4100000000000002E-2</v>
      </c>
      <c r="G84" s="245">
        <f t="shared" si="26"/>
        <v>-26.737012670877817</v>
      </c>
      <c r="H84" s="238"/>
      <c r="J84" s="243"/>
      <c r="K84" s="243"/>
      <c r="L84" s="232">
        <v>43770</v>
      </c>
      <c r="M84" s="167">
        <f>TempAdjustmnts!H9</f>
        <v>-121.44660275623697</v>
      </c>
      <c r="N84" s="224">
        <f t="shared" si="27"/>
        <v>-80.189912398911787</v>
      </c>
      <c r="O84" s="167">
        <f t="shared" si="28"/>
        <v>-41.256690357325176</v>
      </c>
      <c r="P84" s="344">
        <v>4.8520000000000001E-2</v>
      </c>
      <c r="Q84" s="338">
        <v>4.7980000000000002E-2</v>
      </c>
      <c r="R84" s="245">
        <f t="shared" si="29"/>
        <v>-5.870310552939662</v>
      </c>
      <c r="S84" s="238"/>
      <c r="U84" s="243"/>
      <c r="V84" s="77"/>
      <c r="W84" s="228"/>
      <c r="X84" s="221"/>
      <c r="Y84" s="228"/>
      <c r="Z84" s="242"/>
      <c r="AA84" s="77"/>
      <c r="AB84" s="77"/>
      <c r="AC84" s="167"/>
      <c r="AD84" s="77"/>
      <c r="AE84" s="152"/>
    </row>
    <row r="85" spans="1:35">
      <c r="A85" s="232">
        <v>43800</v>
      </c>
      <c r="B85" s="167">
        <f>TempAdjustmnts!G10</f>
        <v>1462.99360293738</v>
      </c>
      <c r="C85" s="224">
        <f t="shared" si="24"/>
        <v>647.24056435605428</v>
      </c>
      <c r="D85" s="167">
        <f t="shared" si="25"/>
        <v>815.75303858132577</v>
      </c>
      <c r="E85" s="341">
        <v>5.9119999999999999E-2</v>
      </c>
      <c r="F85" s="335">
        <v>5.4100000000000002E-2</v>
      </c>
      <c r="G85" s="245">
        <f t="shared" si="26"/>
        <v>82.397101551979659</v>
      </c>
      <c r="H85" s="238"/>
      <c r="J85" s="243"/>
      <c r="K85" s="243"/>
      <c r="L85" s="232">
        <v>43800</v>
      </c>
      <c r="M85" s="167">
        <f>TempAdjustmnts!H10</f>
        <v>337.99018163387939</v>
      </c>
      <c r="N85" s="224">
        <f t="shared" si="27"/>
        <v>223.17135631462659</v>
      </c>
      <c r="O85" s="167">
        <f t="shared" si="28"/>
        <v>114.81882531925278</v>
      </c>
      <c r="P85" s="344">
        <v>4.8520000000000001E-2</v>
      </c>
      <c r="Q85" s="338">
        <v>4.7980000000000002E-2</v>
      </c>
      <c r="R85" s="245">
        <f t="shared" si="29"/>
        <v>16.337281447203431</v>
      </c>
      <c r="S85" s="238"/>
      <c r="U85" s="243"/>
      <c r="V85" s="77"/>
      <c r="W85" s="228"/>
      <c r="X85" s="221"/>
      <c r="Y85" s="228"/>
      <c r="Z85" s="242"/>
      <c r="AA85" s="77"/>
      <c r="AB85" s="77"/>
      <c r="AC85" s="167"/>
      <c r="AD85" s="77"/>
      <c r="AE85" s="152"/>
    </row>
    <row r="86" spans="1:35">
      <c r="A86" s="232">
        <v>43831</v>
      </c>
      <c r="B86" s="167">
        <f>TempAdjustmnts!G11</f>
        <v>1587.0972319006946</v>
      </c>
      <c r="C86" s="224">
        <f t="shared" si="24"/>
        <v>702.14504424412416</v>
      </c>
      <c r="D86" s="167">
        <f t="shared" si="25"/>
        <v>884.95218765657046</v>
      </c>
      <c r="E86" s="341">
        <v>5.9119999999999999E-2</v>
      </c>
      <c r="F86" s="335">
        <v>5.4100000000000002E-2</v>
      </c>
      <c r="G86" s="245">
        <f t="shared" si="26"/>
        <v>89.386728367933088</v>
      </c>
      <c r="H86" s="238"/>
      <c r="J86" s="243"/>
      <c r="K86" s="243"/>
      <c r="L86" s="232">
        <v>43831</v>
      </c>
      <c r="M86" s="167">
        <f>TempAdjustmnts!H11</f>
        <v>362.29914112309496</v>
      </c>
      <c r="N86" s="224">
        <f t="shared" si="27"/>
        <v>239.22230617825943</v>
      </c>
      <c r="O86" s="167">
        <f t="shared" si="28"/>
        <v>123.07683494483554</v>
      </c>
      <c r="P86" s="344">
        <v>4.8520000000000001E-2</v>
      </c>
      <c r="Q86" s="338">
        <v>4.7980000000000002E-2</v>
      </c>
      <c r="R86" s="245">
        <f t="shared" si="29"/>
        <v>17.512292836422358</v>
      </c>
      <c r="S86" s="238"/>
      <c r="U86" s="243"/>
      <c r="V86" s="77"/>
      <c r="W86" s="228"/>
      <c r="X86" s="221"/>
      <c r="Y86" s="228"/>
      <c r="Z86" s="242"/>
      <c r="AA86" s="77"/>
      <c r="AB86" s="77"/>
      <c r="AC86" s="167"/>
      <c r="AD86" s="77"/>
      <c r="AE86" s="152"/>
    </row>
    <row r="87" spans="1:35">
      <c r="A87" s="232">
        <v>43862</v>
      </c>
      <c r="B87" s="167">
        <f>TempAdjustmnts!G12</f>
        <v>714.89339343025483</v>
      </c>
      <c r="C87" s="224">
        <f t="shared" si="24"/>
        <v>316.27479606827643</v>
      </c>
      <c r="D87" s="167">
        <f t="shared" si="25"/>
        <v>398.6185973619784</v>
      </c>
      <c r="E87" s="341">
        <v>5.9119999999999999E-2</v>
      </c>
      <c r="F87" s="335">
        <v>5.4100000000000002E-2</v>
      </c>
      <c r="G87" s="245">
        <f t="shared" si="26"/>
        <v>40.263432060839534</v>
      </c>
      <c r="H87" s="238"/>
      <c r="J87" s="243"/>
      <c r="K87" s="243"/>
      <c r="L87" s="232">
        <v>43862</v>
      </c>
      <c r="M87" s="167">
        <f>TempAdjustmnts!H12</f>
        <v>149.37233185059219</v>
      </c>
      <c r="N87" s="224">
        <f t="shared" si="27"/>
        <v>98.628977131309867</v>
      </c>
      <c r="O87" s="167">
        <f t="shared" si="28"/>
        <v>50.74335471928233</v>
      </c>
      <c r="P87" s="344">
        <v>4.8520000000000001E-2</v>
      </c>
      <c r="Q87" s="338">
        <v>4.7980000000000002E-2</v>
      </c>
      <c r="R87" s="245">
        <f t="shared" si="29"/>
        <v>7.2201441298423212</v>
      </c>
      <c r="S87" s="238"/>
      <c r="U87" s="243"/>
      <c r="V87" s="77"/>
      <c r="W87" s="228"/>
      <c r="X87" s="221"/>
      <c r="Y87" s="228"/>
      <c r="Z87" s="242"/>
      <c r="AA87" s="77"/>
      <c r="AB87" s="77"/>
      <c r="AC87" s="167"/>
      <c r="AD87" s="77"/>
      <c r="AE87" s="152"/>
    </row>
    <row r="88" spans="1:35">
      <c r="A88" s="232">
        <v>43891</v>
      </c>
      <c r="B88" s="167">
        <f>TempAdjustmnts!G13</f>
        <v>-205.72033946671783</v>
      </c>
      <c r="C88" s="224">
        <f t="shared" si="24"/>
        <v>-91.012392910412956</v>
      </c>
      <c r="D88" s="167">
        <f t="shared" si="25"/>
        <v>-114.70794655630486</v>
      </c>
      <c r="E88" s="341">
        <v>5.9119999999999999E-2</v>
      </c>
      <c r="F88" s="335">
        <v>5.4100000000000002E-2</v>
      </c>
      <c r="G88" s="245">
        <f t="shared" si="26"/>
        <v>-11.586352577559708</v>
      </c>
      <c r="H88" s="238"/>
      <c r="J88" s="243"/>
      <c r="K88" s="243"/>
      <c r="L88" s="232">
        <v>43891</v>
      </c>
      <c r="M88" s="167">
        <f>TempAdjustmnts!H13</f>
        <v>-46.921401313012517</v>
      </c>
      <c r="N88" s="224">
        <f t="shared" si="27"/>
        <v>-30.981706985059542</v>
      </c>
      <c r="O88" s="167">
        <f t="shared" si="28"/>
        <v>-15.939694327952973</v>
      </c>
      <c r="P88" s="344">
        <v>4.8520000000000001E-2</v>
      </c>
      <c r="Q88" s="338">
        <v>4.7980000000000002E-2</v>
      </c>
      <c r="R88" s="245">
        <f t="shared" si="29"/>
        <v>-2.2680189567702729</v>
      </c>
      <c r="S88" s="238"/>
      <c r="U88" s="243"/>
      <c r="V88" s="77"/>
      <c r="W88" s="228"/>
      <c r="X88" s="221"/>
      <c r="Y88" s="228"/>
      <c r="Z88" s="242"/>
      <c r="AA88" s="77"/>
      <c r="AB88" s="77"/>
      <c r="AC88" s="167"/>
      <c r="AD88" s="77"/>
      <c r="AE88" s="152"/>
    </row>
    <row r="89" spans="1:35">
      <c r="A89" s="232">
        <v>43922</v>
      </c>
      <c r="B89" s="167">
        <f>TempAdjustmnts!G14</f>
        <v>-302.19267970486999</v>
      </c>
      <c r="C89" s="224">
        <f t="shared" si="24"/>
        <v>-133.69256035278798</v>
      </c>
      <c r="D89" s="167">
        <f t="shared" si="25"/>
        <v>-168.50011935208201</v>
      </c>
      <c r="E89" s="341">
        <v>5.9119999999999999E-2</v>
      </c>
      <c r="F89" s="335">
        <v>5.4100000000000002E-2</v>
      </c>
      <c r="G89" s="245">
        <f t="shared" si="26"/>
        <v>-17.019760625004462</v>
      </c>
      <c r="H89" s="238"/>
      <c r="J89" s="243"/>
      <c r="K89" s="243"/>
      <c r="L89" s="232">
        <v>43922</v>
      </c>
      <c r="M89" s="167">
        <f>TempAdjustmnts!H14</f>
        <v>-72.724363207558611</v>
      </c>
      <c r="N89" s="224">
        <f t="shared" si="27"/>
        <v>-48.019130898095661</v>
      </c>
      <c r="O89" s="167">
        <f t="shared" si="28"/>
        <v>-24.705232309462943</v>
      </c>
      <c r="P89" s="344">
        <v>4.8520000000000001E-2</v>
      </c>
      <c r="Q89" s="338">
        <v>4.7980000000000002E-2</v>
      </c>
      <c r="R89" s="245">
        <f t="shared" si="29"/>
        <v>-3.5152452773836336</v>
      </c>
      <c r="S89" s="238"/>
      <c r="U89" s="243"/>
      <c r="V89" s="77"/>
      <c r="W89" s="228"/>
      <c r="X89" s="221"/>
      <c r="Y89" s="228"/>
      <c r="Z89" s="242"/>
      <c r="AA89" s="77"/>
      <c r="AB89" s="77"/>
      <c r="AC89" s="167"/>
      <c r="AD89" s="77"/>
      <c r="AE89" s="152"/>
    </row>
    <row r="90" spans="1:35">
      <c r="A90" s="232">
        <v>43952</v>
      </c>
      <c r="B90" s="167">
        <f>TempAdjustmnts!G15</f>
        <v>89.194200702603652</v>
      </c>
      <c r="C90" s="224">
        <f t="shared" si="24"/>
        <v>39.460257846740134</v>
      </c>
      <c r="D90" s="167">
        <f t="shared" si="25"/>
        <v>49.733942855863525</v>
      </c>
      <c r="E90" s="341">
        <v>5.9119999999999999E-2</v>
      </c>
      <c r="F90" s="335">
        <v>5.4100000000000002E-2</v>
      </c>
      <c r="G90" s="245">
        <f t="shared" si="26"/>
        <v>5.0234967524014937</v>
      </c>
      <c r="H90" s="238"/>
      <c r="J90" s="243"/>
      <c r="K90" s="243"/>
      <c r="L90" s="232">
        <v>43952</v>
      </c>
      <c r="M90" s="167">
        <f>TempAdjustmnts!H15</f>
        <v>22.158564086609314</v>
      </c>
      <c r="N90" s="224">
        <f t="shared" si="27"/>
        <v>14.631066433018194</v>
      </c>
      <c r="O90" s="167">
        <f t="shared" si="28"/>
        <v>7.5274976535911176</v>
      </c>
      <c r="P90" s="344">
        <v>4.8520000000000001E-2</v>
      </c>
      <c r="Q90" s="338">
        <v>4.7980000000000002E-2</v>
      </c>
      <c r="R90" s="245">
        <f t="shared" si="29"/>
        <v>1.0710686807493446</v>
      </c>
      <c r="S90" s="238"/>
      <c r="U90" s="243"/>
      <c r="V90" s="77"/>
      <c r="W90" s="228"/>
      <c r="X90" s="221"/>
      <c r="Y90" s="228"/>
      <c r="Z90" s="242"/>
      <c r="AA90" s="77"/>
      <c r="AB90" s="77"/>
      <c r="AC90" s="167"/>
      <c r="AD90" s="77"/>
      <c r="AE90" s="152"/>
    </row>
    <row r="91" spans="1:35">
      <c r="A91" s="232">
        <v>43983</v>
      </c>
      <c r="B91" s="272">
        <f>TempAdjustmnts!G16</f>
        <v>-273.49921882368045</v>
      </c>
      <c r="C91" s="273">
        <f t="shared" si="24"/>
        <v>-120.99833409179701</v>
      </c>
      <c r="D91" s="274">
        <f t="shared" si="25"/>
        <v>-152.50088473188345</v>
      </c>
      <c r="E91" s="391">
        <v>5.9119999999999999E-2</v>
      </c>
      <c r="F91" s="351">
        <v>5.4100000000000002E-2</v>
      </c>
      <c r="G91" s="246">
        <f t="shared" si="26"/>
        <v>-15.403719375501934</v>
      </c>
      <c r="H91" s="238"/>
      <c r="J91" s="243"/>
      <c r="K91" s="243"/>
      <c r="L91" s="232">
        <v>43983</v>
      </c>
      <c r="M91" s="272">
        <f>TempAdjustmnts!H16</f>
        <v>-71.119909463593231</v>
      </c>
      <c r="N91" s="273">
        <f t="shared" si="27"/>
        <v>-46.959726993361222</v>
      </c>
      <c r="O91" s="274">
        <f t="shared" si="28"/>
        <v>-24.160182470232005</v>
      </c>
      <c r="P91" s="349">
        <v>4.8520000000000001E-2</v>
      </c>
      <c r="Q91" s="351">
        <v>4.7980000000000002E-2</v>
      </c>
      <c r="R91" s="246">
        <f t="shared" si="29"/>
        <v>-3.4376915086396185</v>
      </c>
      <c r="S91" s="238"/>
      <c r="U91" s="243"/>
      <c r="V91" s="77"/>
      <c r="W91" s="228"/>
      <c r="X91" s="221"/>
      <c r="Y91" s="228"/>
      <c r="Z91" s="242"/>
      <c r="AA91" s="77"/>
      <c r="AB91" s="77"/>
      <c r="AC91" s="167"/>
      <c r="AD91" s="77"/>
      <c r="AE91" s="152"/>
    </row>
    <row r="92" spans="1:35">
      <c r="A92" s="77" t="s">
        <v>8</v>
      </c>
      <c r="B92" s="167">
        <f>SUM(B80:B91)</f>
        <v>4681.4141965744939</v>
      </c>
      <c r="C92" s="224">
        <f>SUM(C80:C91)</f>
        <v>2071.0966613194496</v>
      </c>
      <c r="D92" s="167">
        <f>SUM(D80:D91)</f>
        <v>2610.3175352550443</v>
      </c>
      <c r="E92" s="247" t="s">
        <v>29</v>
      </c>
      <c r="F92" s="248" t="s">
        <v>29</v>
      </c>
      <c r="G92" s="249">
        <f>SUM(G80:G91)</f>
        <v>263.66141327450384</v>
      </c>
      <c r="H92" s="238"/>
      <c r="J92" s="243"/>
      <c r="K92" s="243"/>
      <c r="L92" s="77" t="s">
        <v>8</v>
      </c>
      <c r="M92" s="167">
        <f>SUM(M80:M91)</f>
        <v>1046.977606056864</v>
      </c>
      <c r="N92" s="224">
        <f>SUM(N80:N91)</f>
        <v>691.3082837058663</v>
      </c>
      <c r="O92" s="167">
        <f>SUM(O80:O91)</f>
        <v>355.66932235099773</v>
      </c>
      <c r="P92" s="247" t="s">
        <v>29</v>
      </c>
      <c r="Q92" s="248" t="s">
        <v>29</v>
      </c>
      <c r="R92" s="249">
        <f>SUM(R80:R91)</f>
        <v>50.607292011809498</v>
      </c>
      <c r="S92" s="248"/>
      <c r="T92" s="302"/>
      <c r="U92" s="238"/>
      <c r="V92" s="77"/>
      <c r="W92" s="228"/>
      <c r="X92" s="221"/>
      <c r="Y92" s="228"/>
      <c r="Z92" s="242"/>
      <c r="AA92" s="77"/>
      <c r="AB92" s="77"/>
      <c r="AC92" s="167"/>
      <c r="AD92" s="77"/>
      <c r="AE92" s="152"/>
    </row>
    <row r="93" spans="1:35">
      <c r="A93" s="77"/>
      <c r="B93" s="167"/>
      <c r="C93" s="221"/>
      <c r="D93" s="167"/>
      <c r="E93" s="167"/>
      <c r="F93" s="301"/>
      <c r="G93" s="248"/>
      <c r="H93" s="248"/>
      <c r="I93" s="302"/>
      <c r="J93" s="238"/>
      <c r="L93" s="243"/>
      <c r="M93" s="243"/>
      <c r="N93" s="77"/>
      <c r="O93" s="167"/>
      <c r="P93" s="221"/>
      <c r="Q93" s="167"/>
      <c r="R93" s="167"/>
      <c r="S93" s="301"/>
      <c r="T93" s="248"/>
      <c r="U93" s="77"/>
      <c r="V93" s="152"/>
      <c r="Y93" s="243"/>
      <c r="Z93" s="77"/>
      <c r="AA93" s="228"/>
      <c r="AB93" s="221"/>
      <c r="AC93" s="228"/>
      <c r="AD93" s="242"/>
      <c r="AE93" s="77"/>
      <c r="AF93" s="77"/>
      <c r="AG93" s="167"/>
      <c r="AH93" s="77"/>
      <c r="AI93" s="152"/>
    </row>
    <row r="94" spans="1:35">
      <c r="A94" s="77"/>
      <c r="B94" s="167"/>
      <c r="C94" s="167"/>
      <c r="D94" s="167"/>
      <c r="E94" s="167"/>
      <c r="F94" s="167"/>
      <c r="G94" s="167"/>
      <c r="H94" s="167"/>
      <c r="I94" s="167"/>
      <c r="J94" s="167"/>
      <c r="L94" s="243"/>
      <c r="M94" s="77"/>
      <c r="N94" s="228"/>
      <c r="O94" s="221"/>
      <c r="P94" s="228"/>
      <c r="Q94" s="242"/>
      <c r="R94" s="77"/>
      <c r="S94" s="77"/>
      <c r="T94" s="167"/>
    </row>
    <row r="95" spans="1:35">
      <c r="A95" s="129" t="s">
        <v>283</v>
      </c>
      <c r="B95" s="75" t="s">
        <v>11</v>
      </c>
      <c r="C95" s="226"/>
      <c r="D95" s="226" t="s">
        <v>1</v>
      </c>
      <c r="E95" s="167"/>
      <c r="F95" s="167"/>
      <c r="G95" s="167"/>
      <c r="H95" s="167"/>
      <c r="J95" s="243"/>
      <c r="K95" s="77"/>
      <c r="L95" s="228"/>
      <c r="M95" s="221"/>
      <c r="N95" s="228"/>
      <c r="O95" s="242"/>
      <c r="P95" s="77"/>
      <c r="Q95" s="77"/>
      <c r="R95" s="167"/>
      <c r="S95" s="77"/>
      <c r="T95" s="152"/>
    </row>
    <row r="96" spans="1:35">
      <c r="A96" s="2" t="s">
        <v>16</v>
      </c>
      <c r="B96" s="75" t="s">
        <v>14</v>
      </c>
      <c r="C96" s="226" t="s">
        <v>173</v>
      </c>
      <c r="D96" s="226" t="s">
        <v>24</v>
      </c>
      <c r="H96" s="67"/>
      <c r="I96" s="67"/>
    </row>
    <row r="97" spans="1:20">
      <c r="A97" s="75" t="s">
        <v>22</v>
      </c>
      <c r="B97" s="229" t="s">
        <v>21</v>
      </c>
      <c r="C97" s="230" t="s">
        <v>36</v>
      </c>
      <c r="D97" s="231" t="s">
        <v>168</v>
      </c>
      <c r="E97" s="77"/>
      <c r="H97" s="67"/>
      <c r="I97" s="67"/>
      <c r="J97" s="77"/>
      <c r="K97" s="227"/>
      <c r="L97" s="227"/>
      <c r="M97" s="227"/>
      <c r="N97" s="227"/>
    </row>
    <row r="98" spans="1:20">
      <c r="A98" s="232">
        <v>43647</v>
      </c>
      <c r="B98" s="221">
        <f>TempAdjustmnts!I5</f>
        <v>1461.1278677999999</v>
      </c>
      <c r="C98" s="344">
        <v>7.2029999999999997E-2</v>
      </c>
      <c r="D98" s="233">
        <f>ROUND((B98*C98)*1000,2)/1000</f>
        <v>105.24503999999999</v>
      </c>
      <c r="E98" s="167"/>
      <c r="H98" s="67"/>
      <c r="I98" s="67"/>
      <c r="J98" s="77"/>
      <c r="K98" s="228"/>
      <c r="L98" s="228"/>
      <c r="M98" s="228"/>
      <c r="N98" s="69"/>
    </row>
    <row r="99" spans="1:20">
      <c r="A99" s="232">
        <v>43678</v>
      </c>
      <c r="B99" s="221">
        <f>TempAdjustmnts!I6</f>
        <v>-1034.0503485999998</v>
      </c>
      <c r="C99" s="344">
        <v>7.2029999999999997E-2</v>
      </c>
      <c r="D99" s="233">
        <f t="shared" ref="D99:D109" si="30">ROUND((B99*C99)*1000,2)/1000</f>
        <v>-74.482649999999992</v>
      </c>
      <c r="E99" s="167"/>
      <c r="H99" s="67"/>
      <c r="I99" s="67"/>
      <c r="J99" s="77"/>
      <c r="K99" s="69"/>
      <c r="L99" s="69"/>
      <c r="M99" s="69"/>
      <c r="N99" s="69"/>
    </row>
    <row r="100" spans="1:20">
      <c r="A100" s="232">
        <v>43709</v>
      </c>
      <c r="B100" s="221">
        <f>TempAdjustmnts!I7</f>
        <v>61.233562300000003</v>
      </c>
      <c r="C100" s="344">
        <v>7.2029999999999997E-2</v>
      </c>
      <c r="D100" s="233">
        <f>ROUND((B100*C100)*1000,2)/1000</f>
        <v>4.4106499999999995</v>
      </c>
      <c r="E100" s="167"/>
      <c r="H100" s="67"/>
      <c r="I100" s="67"/>
      <c r="J100" s="77"/>
      <c r="K100" s="236"/>
      <c r="L100" s="221"/>
      <c r="M100" s="228"/>
      <c r="N100" s="228"/>
    </row>
    <row r="101" spans="1:20">
      <c r="A101" s="232">
        <v>43739</v>
      </c>
      <c r="B101" s="221">
        <f>TempAdjustmnts!I8</f>
        <v>662.41712760000007</v>
      </c>
      <c r="C101" s="344">
        <v>7.2029999999999997E-2</v>
      </c>
      <c r="D101" s="233">
        <f t="shared" si="30"/>
        <v>47.713910000000006</v>
      </c>
      <c r="E101" s="167"/>
      <c r="H101" s="67"/>
      <c r="I101" s="67"/>
      <c r="J101" s="77"/>
      <c r="K101" s="236"/>
      <c r="L101" s="221"/>
      <c r="M101" s="228"/>
      <c r="N101" s="228"/>
    </row>
    <row r="102" spans="1:20">
      <c r="A102" s="232">
        <v>43770</v>
      </c>
      <c r="B102" s="221">
        <f>TempAdjustmnts!I9</f>
        <v>0</v>
      </c>
      <c r="C102" s="344">
        <v>7.2029999999999997E-2</v>
      </c>
      <c r="D102" s="233">
        <f t="shared" si="30"/>
        <v>0</v>
      </c>
      <c r="E102" s="167"/>
      <c r="G102" s="179"/>
      <c r="H102" s="228"/>
      <c r="I102" s="221"/>
      <c r="J102" s="77"/>
      <c r="K102" s="236"/>
      <c r="L102" s="221"/>
      <c r="M102" s="228"/>
      <c r="N102" s="228"/>
    </row>
    <row r="103" spans="1:20">
      <c r="A103" s="232">
        <v>43800</v>
      </c>
      <c r="B103" s="221">
        <f>TempAdjustmnts!I10</f>
        <v>0</v>
      </c>
      <c r="C103" s="392">
        <v>7.2029999999999997E-2</v>
      </c>
      <c r="D103" s="233">
        <f t="shared" si="30"/>
        <v>0</v>
      </c>
      <c r="E103" s="167"/>
      <c r="H103" s="228"/>
      <c r="I103" s="221"/>
      <c r="J103" s="77"/>
      <c r="K103" s="236"/>
      <c r="L103" s="221"/>
      <c r="M103" s="228"/>
      <c r="N103" s="228"/>
    </row>
    <row r="104" spans="1:20">
      <c r="A104" s="232">
        <v>43831</v>
      </c>
      <c r="B104" s="221">
        <f>TempAdjustmnts!I11</f>
        <v>0</v>
      </c>
      <c r="C104" s="392">
        <v>7.2029999999999997E-2</v>
      </c>
      <c r="D104" s="233">
        <f t="shared" si="30"/>
        <v>0</v>
      </c>
      <c r="E104" s="167"/>
      <c r="J104" s="77"/>
      <c r="K104" s="236"/>
      <c r="L104" s="221"/>
      <c r="M104" s="228"/>
      <c r="N104" s="228"/>
    </row>
    <row r="105" spans="1:20">
      <c r="A105" s="232">
        <v>43862</v>
      </c>
      <c r="B105" s="221">
        <f>TempAdjustmnts!I12</f>
        <v>0</v>
      </c>
      <c r="C105" s="392">
        <v>7.2029999999999997E-2</v>
      </c>
      <c r="D105" s="233">
        <f t="shared" si="30"/>
        <v>0</v>
      </c>
      <c r="E105" s="167"/>
      <c r="J105" s="77"/>
      <c r="K105" s="236"/>
      <c r="L105" s="221"/>
      <c r="M105" s="228"/>
      <c r="N105" s="228"/>
    </row>
    <row r="106" spans="1:20">
      <c r="A106" s="232">
        <v>43891</v>
      </c>
      <c r="B106" s="221">
        <f>TempAdjustmnts!I13</f>
        <v>0</v>
      </c>
      <c r="C106" s="392">
        <v>7.2029999999999997E-2</v>
      </c>
      <c r="D106" s="233">
        <f t="shared" si="30"/>
        <v>0</v>
      </c>
      <c r="E106" s="167"/>
      <c r="J106" s="77"/>
      <c r="K106" s="236"/>
      <c r="L106" s="221"/>
      <c r="M106" s="228"/>
      <c r="N106" s="228"/>
    </row>
    <row r="107" spans="1:20">
      <c r="A107" s="232">
        <v>43922</v>
      </c>
      <c r="B107" s="221">
        <f>TempAdjustmnts!I14</f>
        <v>0</v>
      </c>
      <c r="C107" s="392">
        <v>7.2029999999999997E-2</v>
      </c>
      <c r="D107" s="233">
        <f t="shared" si="30"/>
        <v>0</v>
      </c>
      <c r="E107" s="167"/>
      <c r="J107" s="77"/>
      <c r="K107" s="236"/>
      <c r="L107" s="221"/>
      <c r="M107" s="228"/>
      <c r="N107" s="228"/>
    </row>
    <row r="108" spans="1:20">
      <c r="A108" s="232">
        <v>43952</v>
      </c>
      <c r="B108" s="221">
        <f>TempAdjustmnts!I15</f>
        <v>-369.73385330000002</v>
      </c>
      <c r="C108" s="392">
        <v>7.2029999999999997E-2</v>
      </c>
      <c r="D108" s="233">
        <f t="shared" si="30"/>
        <v>-26.631930000000001</v>
      </c>
      <c r="E108" s="167"/>
      <c r="J108" s="77"/>
      <c r="K108" s="236"/>
      <c r="L108" s="221"/>
      <c r="M108" s="228"/>
      <c r="N108" s="228"/>
    </row>
    <row r="109" spans="1:20">
      <c r="A109" s="232">
        <v>43983</v>
      </c>
      <c r="B109" s="274">
        <f>TempAdjustmnts!I16</f>
        <v>-302.95345150000003</v>
      </c>
      <c r="C109" s="354">
        <v>7.2029999999999997E-2</v>
      </c>
      <c r="D109" s="239">
        <f t="shared" si="30"/>
        <v>-21.821740000000002</v>
      </c>
      <c r="E109" s="167"/>
      <c r="J109" s="77"/>
      <c r="K109" s="236"/>
      <c r="L109" s="221"/>
      <c r="M109" s="228"/>
      <c r="N109" s="228"/>
    </row>
    <row r="110" spans="1:20">
      <c r="A110" s="77" t="s">
        <v>8</v>
      </c>
      <c r="B110" s="167">
        <f>SUM(B98:B109)</f>
        <v>478.04090430000019</v>
      </c>
      <c r="C110" s="240" t="s">
        <v>29</v>
      </c>
      <c r="D110" s="241">
        <f>SUM(D98:D109)</f>
        <v>34.433279999999996</v>
      </c>
      <c r="E110" s="238"/>
      <c r="J110" s="77"/>
      <c r="K110" s="236"/>
      <c r="L110" s="221"/>
      <c r="M110" s="228"/>
      <c r="N110" s="228"/>
    </row>
    <row r="111" spans="1:20">
      <c r="A111" s="208"/>
      <c r="K111" s="77"/>
      <c r="P111" s="77"/>
      <c r="Q111" s="236"/>
      <c r="R111" s="221"/>
      <c r="S111" s="228"/>
      <c r="T111" s="228"/>
    </row>
    <row r="112" spans="1:20">
      <c r="B112" s="250"/>
      <c r="K112" s="77"/>
      <c r="P112" s="77"/>
      <c r="Q112" s="228"/>
      <c r="R112" s="221"/>
      <c r="S112" s="251"/>
      <c r="T112" s="252"/>
    </row>
    <row r="113" spans="1:20">
      <c r="J113" s="253" t="s">
        <v>29</v>
      </c>
      <c r="Q113" s="4"/>
      <c r="R113" s="4"/>
      <c r="S113" s="4"/>
      <c r="T113" s="4"/>
    </row>
    <row r="114" spans="1:20">
      <c r="A114" s="77"/>
      <c r="B114" s="77" t="s">
        <v>23</v>
      </c>
      <c r="C114" s="77" t="s">
        <v>1</v>
      </c>
      <c r="D114" s="77"/>
      <c r="E114" s="77"/>
      <c r="G114" s="77"/>
      <c r="H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</row>
    <row r="115" spans="1:20">
      <c r="A115" s="77" t="s">
        <v>25</v>
      </c>
      <c r="B115" s="167">
        <f>(B22+B40+B58+O75)*1000</f>
        <v>27774336.927165315</v>
      </c>
      <c r="C115" s="254">
        <f>(G22+G40+G58+V75)*1000</f>
        <v>2474118.0100000002</v>
      </c>
      <c r="D115" s="167">
        <f>B115+B117+B119</f>
        <v>36799291.510799997</v>
      </c>
      <c r="E115" s="254">
        <f>C115+C117+C119</f>
        <v>3050015.0652863132</v>
      </c>
      <c r="G115" s="167"/>
      <c r="H115" s="167"/>
      <c r="J115" s="77"/>
      <c r="K115" s="77" t="s">
        <v>29</v>
      </c>
      <c r="L115" s="77"/>
      <c r="M115" s="77"/>
      <c r="N115" s="77"/>
      <c r="O115" s="77"/>
      <c r="P115" s="77"/>
      <c r="Q115" s="77"/>
      <c r="R115" s="77"/>
      <c r="S115" s="77"/>
    </row>
    <row r="117" spans="1:20">
      <c r="A117" s="77" t="s">
        <v>26</v>
      </c>
      <c r="B117" s="167">
        <f>(B75+B92+M92)*1000</f>
        <v>8546913.6793346871</v>
      </c>
      <c r="C117" s="254">
        <f>(I75+G92+R92)*1000</f>
        <v>541463.77528631326</v>
      </c>
      <c r="D117" s="77"/>
      <c r="E117" s="77"/>
      <c r="G117" s="167"/>
      <c r="H117" s="167"/>
      <c r="J117" s="77"/>
      <c r="K117" s="77"/>
      <c r="L117" s="77"/>
      <c r="M117" s="77"/>
      <c r="N117" s="77"/>
      <c r="O117" s="77"/>
      <c r="P117" s="77"/>
      <c r="Q117" s="77"/>
      <c r="R117" s="77"/>
      <c r="S117" s="77"/>
    </row>
    <row r="118" spans="1:20">
      <c r="A118" s="77"/>
      <c r="B118" s="167"/>
      <c r="C118" s="254"/>
      <c r="D118" s="77"/>
      <c r="E118" s="77"/>
      <c r="G118" s="167"/>
      <c r="H118" s="167"/>
      <c r="J118" s="77"/>
      <c r="K118" s="77"/>
      <c r="L118" s="77"/>
      <c r="M118" s="77"/>
      <c r="N118" s="77"/>
      <c r="O118" s="77"/>
      <c r="P118" s="77"/>
      <c r="Q118" s="77"/>
      <c r="R118" s="77"/>
      <c r="S118" s="77"/>
    </row>
    <row r="119" spans="1:20">
      <c r="A119" s="77" t="s">
        <v>181</v>
      </c>
      <c r="B119" s="167">
        <f>(B110)*1000</f>
        <v>478040.90430000017</v>
      </c>
      <c r="C119" s="254">
        <f>(D110)*1000</f>
        <v>34433.279999999999</v>
      </c>
      <c r="D119" s="77"/>
      <c r="E119" s="77"/>
      <c r="G119" s="167"/>
      <c r="H119" s="167"/>
      <c r="J119" s="77"/>
      <c r="K119" s="77"/>
      <c r="L119" s="77"/>
      <c r="M119" s="77"/>
      <c r="N119" s="77"/>
      <c r="O119" s="77"/>
      <c r="P119" s="77"/>
      <c r="Q119" s="77"/>
      <c r="R119" s="77"/>
      <c r="S119" s="77"/>
    </row>
    <row r="121" spans="1:20">
      <c r="A121" s="2" t="s">
        <v>180</v>
      </c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</row>
    <row r="122" spans="1:20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</row>
  </sheetData>
  <phoneticPr fontId="0" type="noConversion"/>
  <printOptions horizontalCentered="1"/>
  <pageMargins left="1" right="0.5" top="0.25" bottom="0.2" header="0.5" footer="0.22"/>
  <pageSetup scale="44" fitToHeight="2" orientation="landscape" r:id="rId1"/>
  <headerFooter alignWithMargins="0">
    <oddFooter>&amp;CPrepared by Pricing&amp;R&amp;D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5"/>
  <sheetViews>
    <sheetView zoomScale="80" zoomScaleNormal="80" zoomScaleSheetLayoutView="70" workbookViewId="0">
      <pane xSplit="2" ySplit="1" topLeftCell="C2" activePane="bottomRight" state="frozen"/>
      <selection pane="topRight"/>
      <selection pane="bottomLeft"/>
      <selection pane="bottomRight" activeCell="C5" sqref="C5:I16"/>
    </sheetView>
  </sheetViews>
  <sheetFormatPr defaultColWidth="9" defaultRowHeight="13.2"/>
  <cols>
    <col min="1" max="1" width="9" style="299"/>
    <col min="2" max="2" width="6.3984375" style="299" customWidth="1"/>
    <col min="3" max="3" width="10.59765625" style="299" bestFit="1" customWidth="1"/>
    <col min="4" max="4" width="9.8984375" style="299" customWidth="1"/>
    <col min="5" max="5" width="10.09765625" style="299" customWidth="1"/>
    <col min="6" max="8" width="9.8984375" style="299" bestFit="1" customWidth="1"/>
    <col min="9" max="11" width="9.5" style="299" customWidth="1"/>
    <col min="12" max="12" width="6.5" style="299" customWidth="1"/>
    <col min="13" max="13" width="6.69921875" style="299" customWidth="1"/>
    <col min="14" max="14" width="6.5" style="299" customWidth="1"/>
    <col min="15" max="15" width="10.3984375" style="299" customWidth="1"/>
    <col min="16" max="16" width="9.59765625" style="299" customWidth="1"/>
    <col min="17" max="17" width="9" style="299"/>
    <col min="18" max="18" width="5.09765625" style="299" customWidth="1"/>
    <col min="19" max="27" width="9" style="299"/>
    <col min="28" max="28" width="9.09765625" style="299" customWidth="1"/>
    <col min="29" max="29" width="9" style="299"/>
    <col min="30" max="30" width="4.19921875" style="299" customWidth="1"/>
    <col min="31" max="16384" width="9" style="299"/>
  </cols>
  <sheetData>
    <row r="1" spans="1:11">
      <c r="A1" s="362"/>
      <c r="B1" s="362"/>
      <c r="C1" s="293"/>
      <c r="D1" s="293"/>
      <c r="E1" s="293"/>
      <c r="F1" s="293"/>
      <c r="G1" s="293"/>
      <c r="H1" s="293"/>
      <c r="I1" s="293"/>
      <c r="J1" s="293"/>
      <c r="K1" s="293"/>
    </row>
    <row r="2" spans="1:11" s="283" customFormat="1">
      <c r="A2" s="281" t="s">
        <v>314</v>
      </c>
      <c r="B2" s="281"/>
      <c r="C2" s="282"/>
      <c r="D2" s="282"/>
      <c r="E2" s="282"/>
      <c r="F2" s="282"/>
      <c r="G2" s="282"/>
      <c r="H2" s="282"/>
      <c r="I2" s="282"/>
      <c r="J2" s="282"/>
      <c r="K2" s="282"/>
    </row>
    <row r="3" spans="1:11">
      <c r="A3" s="284"/>
      <c r="B3" s="285"/>
      <c r="C3" s="284" t="s">
        <v>284</v>
      </c>
      <c r="D3" s="285"/>
      <c r="E3" s="286"/>
      <c r="F3" s="284" t="s">
        <v>285</v>
      </c>
      <c r="G3" s="285"/>
      <c r="H3" s="285"/>
      <c r="I3" s="287" t="s">
        <v>286</v>
      </c>
      <c r="J3" s="284" t="s">
        <v>287</v>
      </c>
      <c r="K3" s="286"/>
    </row>
    <row r="4" spans="1:11">
      <c r="A4" s="288" t="s">
        <v>288</v>
      </c>
      <c r="B4" s="289" t="s">
        <v>22</v>
      </c>
      <c r="C4" s="288" t="s">
        <v>289</v>
      </c>
      <c r="D4" s="289" t="s">
        <v>290</v>
      </c>
      <c r="E4" s="290" t="s">
        <v>291</v>
      </c>
      <c r="F4" s="288" t="s">
        <v>292</v>
      </c>
      <c r="G4" s="289" t="s">
        <v>293</v>
      </c>
      <c r="H4" s="289" t="s">
        <v>294</v>
      </c>
      <c r="I4" s="291" t="s">
        <v>295</v>
      </c>
      <c r="J4" s="288" t="s">
        <v>292</v>
      </c>
      <c r="K4" s="290" t="s">
        <v>293</v>
      </c>
    </row>
    <row r="5" spans="1:11" ht="12.75" customHeight="1">
      <c r="A5" s="377">
        <v>2019</v>
      </c>
      <c r="B5" s="378">
        <v>7</v>
      </c>
      <c r="C5" s="379">
        <v>9622.563018889452</v>
      </c>
      <c r="D5" s="380">
        <v>426.23164835862167</v>
      </c>
      <c r="E5" s="381">
        <v>18.054802851926574</v>
      </c>
      <c r="F5" s="379">
        <v>1973.7044751934077</v>
      </c>
      <c r="G5" s="380">
        <v>3220.4570597785132</v>
      </c>
      <c r="H5" s="381">
        <v>762.89772232807979</v>
      </c>
      <c r="I5" s="382">
        <v>1461.1278677999999</v>
      </c>
      <c r="J5" s="295">
        <v>0</v>
      </c>
      <c r="K5" s="296">
        <v>0</v>
      </c>
    </row>
    <row r="6" spans="1:11" ht="12.75" customHeight="1">
      <c r="A6" s="383">
        <v>2019</v>
      </c>
      <c r="B6" s="384">
        <v>8</v>
      </c>
      <c r="C6" s="379">
        <v>-1930.7605507033236</v>
      </c>
      <c r="D6" s="380">
        <v>-82.075463618588529</v>
      </c>
      <c r="E6" s="381">
        <v>-3.4932580780881741</v>
      </c>
      <c r="F6" s="379">
        <v>-539.74128567096329</v>
      </c>
      <c r="G6" s="380">
        <v>-790.2945125487721</v>
      </c>
      <c r="H6" s="381">
        <v>-196.47051368026447</v>
      </c>
      <c r="I6" s="382">
        <v>-1034.0503485999998</v>
      </c>
      <c r="J6" s="292">
        <v>0</v>
      </c>
      <c r="K6" s="294">
        <v>0</v>
      </c>
    </row>
    <row r="7" spans="1:11" ht="12.75" customHeight="1">
      <c r="A7" s="383">
        <v>2019</v>
      </c>
      <c r="B7" s="384">
        <v>9</v>
      </c>
      <c r="C7" s="379">
        <v>-2393.5261374342672</v>
      </c>
      <c r="D7" s="380">
        <v>-104.83053222942941</v>
      </c>
      <c r="E7" s="381">
        <v>-4.4499623363032068</v>
      </c>
      <c r="F7" s="379">
        <v>25.540783016447488</v>
      </c>
      <c r="G7" s="380">
        <v>44.433197612331092</v>
      </c>
      <c r="H7" s="381">
        <v>10.111671671221432</v>
      </c>
      <c r="I7" s="382">
        <v>61.233562300000003</v>
      </c>
      <c r="J7" s="292">
        <v>0</v>
      </c>
      <c r="K7" s="294">
        <v>0</v>
      </c>
    </row>
    <row r="8" spans="1:11" ht="12.75" customHeight="1">
      <c r="A8" s="383">
        <v>2019</v>
      </c>
      <c r="B8" s="384">
        <v>10</v>
      </c>
      <c r="C8" s="379">
        <v>-15511.383971533156</v>
      </c>
      <c r="D8" s="380">
        <v>-854.58757296805823</v>
      </c>
      <c r="E8" s="381">
        <v>-27.03652329878722</v>
      </c>
      <c r="F8" s="379">
        <v>-202.37113042664441</v>
      </c>
      <c r="G8" s="380">
        <v>-391.2213500574083</v>
      </c>
      <c r="H8" s="381">
        <v>-89.169216215947287</v>
      </c>
      <c r="I8" s="382">
        <v>662.41712760000007</v>
      </c>
      <c r="J8" s="292">
        <v>0</v>
      </c>
      <c r="K8" s="294">
        <v>0</v>
      </c>
    </row>
    <row r="9" spans="1:11" ht="12.75" customHeight="1">
      <c r="A9" s="383">
        <v>2019</v>
      </c>
      <c r="B9" s="384">
        <v>11</v>
      </c>
      <c r="C9" s="379">
        <v>-7262.6516371178514</v>
      </c>
      <c r="D9" s="380">
        <v>-436.09259416462692</v>
      </c>
      <c r="E9" s="381">
        <v>-11.024392717521495</v>
      </c>
      <c r="F9" s="379">
        <v>-251.72415185792732</v>
      </c>
      <c r="G9" s="380">
        <v>-474.72638918583567</v>
      </c>
      <c r="H9" s="381">
        <v>-121.44660275623697</v>
      </c>
      <c r="I9" s="382">
        <v>0</v>
      </c>
      <c r="J9" s="292">
        <v>0</v>
      </c>
      <c r="K9" s="294">
        <v>0</v>
      </c>
    </row>
    <row r="10" spans="1:11" ht="12.75" customHeight="1">
      <c r="A10" s="383">
        <v>2019</v>
      </c>
      <c r="B10" s="384">
        <v>12</v>
      </c>
      <c r="C10" s="379">
        <v>15459.618340898138</v>
      </c>
      <c r="D10" s="380">
        <v>865.39182857674393</v>
      </c>
      <c r="E10" s="381">
        <v>20.628263925121093</v>
      </c>
      <c r="F10" s="379">
        <v>905.68272462874097</v>
      </c>
      <c r="G10" s="380">
        <v>1462.99360293738</v>
      </c>
      <c r="H10" s="381">
        <v>337.99018163387939</v>
      </c>
      <c r="I10" s="382">
        <v>0</v>
      </c>
      <c r="J10" s="292">
        <v>0</v>
      </c>
      <c r="K10" s="294">
        <v>0</v>
      </c>
    </row>
    <row r="11" spans="1:11" ht="12.75" customHeight="1">
      <c r="A11" s="383">
        <v>2020</v>
      </c>
      <c r="B11" s="384">
        <v>1</v>
      </c>
      <c r="C11" s="379">
        <v>17853.213483927517</v>
      </c>
      <c r="D11" s="380">
        <v>1019.2358181183185</v>
      </c>
      <c r="E11" s="381">
        <v>25.09926105416378</v>
      </c>
      <c r="F11" s="379">
        <v>1016.0794076762102</v>
      </c>
      <c r="G11" s="380">
        <v>1587.0972319006946</v>
      </c>
      <c r="H11" s="381">
        <v>362.29914112309496</v>
      </c>
      <c r="I11" s="382">
        <v>0</v>
      </c>
      <c r="J11" s="292">
        <v>0</v>
      </c>
      <c r="K11" s="294">
        <v>0</v>
      </c>
    </row>
    <row r="12" spans="1:11" ht="12.75" customHeight="1">
      <c r="A12" s="383">
        <v>2020</v>
      </c>
      <c r="B12" s="384">
        <v>2</v>
      </c>
      <c r="C12" s="379">
        <v>8210.1866779130705</v>
      </c>
      <c r="D12" s="380">
        <v>478.35775186618037</v>
      </c>
      <c r="E12" s="381">
        <v>11.765097720747825</v>
      </c>
      <c r="F12" s="379">
        <v>426.24331971915291</v>
      </c>
      <c r="G12" s="380">
        <v>714.89339343025483</v>
      </c>
      <c r="H12" s="381">
        <v>149.37233185059219</v>
      </c>
      <c r="I12" s="382">
        <v>0</v>
      </c>
      <c r="J12" s="292">
        <v>0</v>
      </c>
      <c r="K12" s="294">
        <v>0</v>
      </c>
    </row>
    <row r="13" spans="1:11" ht="12.75" customHeight="1">
      <c r="A13" s="383">
        <v>2020</v>
      </c>
      <c r="B13" s="384">
        <v>3</v>
      </c>
      <c r="C13" s="379">
        <v>-3663.5984147739055</v>
      </c>
      <c r="D13" s="380">
        <v>-210.69513161057563</v>
      </c>
      <c r="E13" s="381">
        <v>-5.6975978155189351</v>
      </c>
      <c r="F13" s="379">
        <v>-132.12990492026967</v>
      </c>
      <c r="G13" s="380">
        <v>-205.72033946671783</v>
      </c>
      <c r="H13" s="381">
        <v>-46.921401313012517</v>
      </c>
      <c r="I13" s="382">
        <v>0</v>
      </c>
      <c r="J13" s="292">
        <v>0</v>
      </c>
      <c r="K13" s="294">
        <v>0</v>
      </c>
    </row>
    <row r="14" spans="1:11" ht="12.75" customHeight="1">
      <c r="A14" s="383">
        <v>2020</v>
      </c>
      <c r="B14" s="384">
        <v>4</v>
      </c>
      <c r="C14" s="379">
        <v>4158.2921266957301</v>
      </c>
      <c r="D14" s="380">
        <v>219.9877703693395</v>
      </c>
      <c r="E14" s="381">
        <v>6.9712480349299426</v>
      </c>
      <c r="F14" s="379">
        <v>-180.11916888757133</v>
      </c>
      <c r="G14" s="380">
        <v>-302.19267970486999</v>
      </c>
      <c r="H14" s="381">
        <v>-72.724363207558611</v>
      </c>
      <c r="I14" s="382">
        <v>0</v>
      </c>
      <c r="J14" s="292">
        <v>0</v>
      </c>
      <c r="K14" s="294">
        <v>0</v>
      </c>
    </row>
    <row r="15" spans="1:11" ht="12.75" customHeight="1">
      <c r="A15" s="383">
        <v>2020</v>
      </c>
      <c r="B15" s="384">
        <v>5</v>
      </c>
      <c r="C15" s="379">
        <v>2264.3666263708083</v>
      </c>
      <c r="D15" s="380">
        <v>111.99612499642954</v>
      </c>
      <c r="E15" s="381">
        <v>3.9919355327622612</v>
      </c>
      <c r="F15" s="379">
        <v>53.810940510787034</v>
      </c>
      <c r="G15" s="380">
        <v>89.194200702603652</v>
      </c>
      <c r="H15" s="381">
        <v>22.158564086609314</v>
      </c>
      <c r="I15" s="382">
        <v>-369.73385330000002</v>
      </c>
      <c r="J15" s="292">
        <v>0</v>
      </c>
      <c r="K15" s="294">
        <v>0</v>
      </c>
    </row>
    <row r="16" spans="1:11" ht="12.75" customHeight="1">
      <c r="A16" s="385">
        <v>2020</v>
      </c>
      <c r="B16" s="386">
        <v>6</v>
      </c>
      <c r="C16" s="387">
        <v>-585.49186580523235</v>
      </c>
      <c r="D16" s="388">
        <v>-27.882109589053798</v>
      </c>
      <c r="E16" s="389">
        <v>-1.0631454057138303</v>
      </c>
      <c r="F16" s="387">
        <v>-161.72817001272637</v>
      </c>
      <c r="G16" s="388">
        <v>-273.49921882368045</v>
      </c>
      <c r="H16" s="389">
        <v>-71.119909463593231</v>
      </c>
      <c r="I16" s="390">
        <v>-302.95345150000003</v>
      </c>
      <c r="J16" s="297">
        <v>0</v>
      </c>
      <c r="K16" s="298">
        <v>0</v>
      </c>
    </row>
    <row r="17" spans="3:11">
      <c r="C17" s="363"/>
      <c r="D17" s="363"/>
      <c r="E17" s="363"/>
      <c r="F17" s="363"/>
      <c r="G17" s="363"/>
      <c r="H17" s="363"/>
      <c r="I17" s="363"/>
      <c r="J17" s="363"/>
      <c r="K17" s="363"/>
    </row>
    <row r="18" spans="3:11">
      <c r="E18" s="364"/>
    </row>
    <row r="19" spans="3:11">
      <c r="E19" s="364"/>
    </row>
    <row r="20" spans="3:11">
      <c r="E20" s="364"/>
    </row>
    <row r="21" spans="3:11">
      <c r="E21" s="364"/>
    </row>
    <row r="22" spans="3:11">
      <c r="E22" s="364"/>
    </row>
    <row r="23" spans="3:11">
      <c r="E23" s="364"/>
    </row>
    <row r="24" spans="3:11">
      <c r="E24" s="364"/>
    </row>
    <row r="25" spans="3:11">
      <c r="E25" s="364"/>
    </row>
    <row r="26" spans="3:11">
      <c r="H26" s="299" t="s">
        <v>29</v>
      </c>
    </row>
    <row r="35" spans="13:13">
      <c r="M35" s="299" t="s">
        <v>29</v>
      </c>
    </row>
  </sheetData>
  <pageMargins left="0.75" right="0.75" top="1" bottom="1" header="0.5" footer="0.5"/>
  <pageSetup scale="29" orientation="landscape" r:id="rId1"/>
  <headerFooter alignWithMargins="0">
    <oddFooter>&amp;L&amp;F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/>
  <dimension ref="A2:M22"/>
  <sheetViews>
    <sheetView workbookViewId="0">
      <selection activeCell="B21" sqref="B21"/>
    </sheetView>
  </sheetViews>
  <sheetFormatPr defaultColWidth="9" defaultRowHeight="15.6"/>
  <cols>
    <col min="1" max="1" width="25.5" style="2" bestFit="1" customWidth="1"/>
    <col min="2" max="2" width="13.19921875" style="219" bestFit="1" customWidth="1"/>
    <col min="3" max="3" width="11.09765625" style="2" bestFit="1" customWidth="1"/>
    <col min="4" max="4" width="11" style="2" bestFit="1" customWidth="1"/>
    <col min="5" max="5" width="14.8984375" style="2" bestFit="1" customWidth="1"/>
    <col min="6" max="6" width="10.09765625" style="2" bestFit="1" customWidth="1"/>
    <col min="7" max="9" width="9.09765625" style="2" bestFit="1" customWidth="1"/>
    <col min="10" max="16384" width="9" style="2"/>
  </cols>
  <sheetData>
    <row r="2" spans="1:13"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>
      <c r="A3" s="495" t="s">
        <v>239</v>
      </c>
      <c r="B3" s="496"/>
    </row>
    <row r="4" spans="1:13">
      <c r="A4" s="255" t="s">
        <v>224</v>
      </c>
      <c r="B4" s="256">
        <f>-SUMIF('305 Inputs'!$I:$I,$D4,'305 Inputs'!$F:$F)</f>
        <v>0</v>
      </c>
      <c r="D4" s="2" t="s">
        <v>343</v>
      </c>
      <c r="E4" s="257"/>
    </row>
    <row r="5" spans="1:13">
      <c r="A5" s="255" t="s">
        <v>207</v>
      </c>
      <c r="B5" s="256">
        <f>-SUMIF('305 Inputs'!$I:$I,$D5,'305 Inputs'!$F:$F)</f>
        <v>0</v>
      </c>
      <c r="D5" s="2" t="s">
        <v>341</v>
      </c>
      <c r="E5" s="257"/>
    </row>
    <row r="6" spans="1:13">
      <c r="A6" s="255" t="s">
        <v>151</v>
      </c>
      <c r="B6" s="256">
        <f>-SUMIF('305 Inputs'!$I:$I,$D6,'305 Inputs'!$F:$F)</f>
        <v>0</v>
      </c>
      <c r="C6" s="179"/>
      <c r="D6" s="258" t="s">
        <v>340</v>
      </c>
      <c r="E6" s="259"/>
      <c r="F6" s="179"/>
      <c r="G6" s="258"/>
      <c r="H6" s="158"/>
      <c r="I6" s="179"/>
      <c r="J6" s="260"/>
      <c r="K6" s="261"/>
      <c r="L6" s="261"/>
      <c r="M6" s="261"/>
    </row>
    <row r="7" spans="1:13">
      <c r="A7" s="255" t="s">
        <v>234</v>
      </c>
      <c r="B7" s="256">
        <f>-SUMIF('305 Inputs'!$I:$I,$D7,'305 Inputs'!$F:$F)</f>
        <v>0</v>
      </c>
      <c r="C7" s="179"/>
      <c r="D7" s="258" t="s">
        <v>236</v>
      </c>
      <c r="E7" s="259"/>
      <c r="F7" s="179"/>
      <c r="G7" s="258"/>
      <c r="H7" s="158"/>
      <c r="I7" s="179"/>
      <c r="J7" s="260"/>
      <c r="K7" s="261"/>
      <c r="L7" s="261"/>
      <c r="M7" s="261"/>
    </row>
    <row r="8" spans="1:13">
      <c r="A8" s="255" t="s">
        <v>240</v>
      </c>
      <c r="B8" s="256">
        <f>-SUMIF('305 Inputs'!$I:$I,$D8,'305 Inputs'!$F:$F)</f>
        <v>16851846.640000001</v>
      </c>
      <c r="C8" s="179"/>
      <c r="D8" s="258" t="s">
        <v>203</v>
      </c>
      <c r="E8" s="259"/>
      <c r="F8" s="179"/>
      <c r="G8" s="258"/>
      <c r="H8" s="158"/>
      <c r="I8" s="179"/>
      <c r="J8" s="260"/>
      <c r="K8" s="261"/>
      <c r="L8" s="261"/>
      <c r="M8" s="261"/>
    </row>
    <row r="9" spans="1:13">
      <c r="A9" s="255" t="s">
        <v>237</v>
      </c>
      <c r="B9" s="256">
        <f>-SUMIF('305 Inputs'!$I:$I,$D9,'305 Inputs'!$F:$F)</f>
        <v>132000</v>
      </c>
      <c r="C9" s="179"/>
      <c r="D9" s="258" t="s">
        <v>344</v>
      </c>
      <c r="E9" s="259"/>
      <c r="F9" s="179"/>
      <c r="G9" s="258"/>
      <c r="H9" s="158"/>
      <c r="I9" s="179"/>
      <c r="J9" s="260"/>
      <c r="K9" s="261"/>
      <c r="L9" s="261"/>
      <c r="M9" s="261"/>
    </row>
    <row r="10" spans="1:13">
      <c r="A10" s="255" t="s">
        <v>169</v>
      </c>
      <c r="B10" s="256">
        <f>-'WA SBC'!O48</f>
        <v>-10560898.84252</v>
      </c>
      <c r="C10" s="179"/>
      <c r="D10" s="258"/>
      <c r="E10" s="259"/>
      <c r="F10" s="179"/>
      <c r="G10" s="258"/>
      <c r="H10" s="158"/>
      <c r="I10" s="179"/>
      <c r="J10" s="260"/>
      <c r="K10" s="261"/>
      <c r="L10" s="261"/>
      <c r="M10" s="261"/>
    </row>
    <row r="11" spans="1:13">
      <c r="A11" s="255" t="s">
        <v>431</v>
      </c>
      <c r="B11" s="256">
        <f>-'WA PCAM'!P29</f>
        <v>6780352.5999999996</v>
      </c>
      <c r="C11" s="179"/>
      <c r="D11" s="258"/>
      <c r="E11" s="259"/>
      <c r="F11" s="179"/>
      <c r="G11" s="258"/>
      <c r="H11" s="158"/>
      <c r="I11" s="179"/>
      <c r="J11" s="260"/>
      <c r="K11" s="261"/>
      <c r="L11" s="261"/>
      <c r="M11" s="261"/>
    </row>
    <row r="12" spans="1:13">
      <c r="A12" s="255" t="s">
        <v>456</v>
      </c>
      <c r="B12" s="256">
        <f>-'WA FTAA'!O48</f>
        <v>8120269.3709200006</v>
      </c>
      <c r="C12" s="179"/>
      <c r="D12" s="258"/>
      <c r="E12" s="259"/>
      <c r="F12" s="179"/>
      <c r="G12" s="258"/>
      <c r="H12" s="158"/>
      <c r="I12" s="179"/>
      <c r="J12" s="260"/>
      <c r="K12" s="261"/>
      <c r="L12" s="261"/>
      <c r="M12" s="261"/>
    </row>
    <row r="13" spans="1:13">
      <c r="A13" s="255" t="s">
        <v>275</v>
      </c>
      <c r="B13" s="256">
        <f>-SUMIF('305 Inputs'!$I:$I,$D13,'305 Inputs'!$F:$F)</f>
        <v>-10621585.710000001</v>
      </c>
      <c r="C13" s="179"/>
      <c r="D13" s="258" t="s">
        <v>273</v>
      </c>
      <c r="E13" s="259"/>
      <c r="F13" s="179"/>
      <c r="G13" s="258"/>
      <c r="H13" s="158"/>
      <c r="I13" s="179"/>
      <c r="J13" s="260"/>
      <c r="K13" s="261"/>
      <c r="L13" s="261"/>
      <c r="M13" s="261"/>
    </row>
    <row r="14" spans="1:13">
      <c r="A14" s="255" t="s">
        <v>276</v>
      </c>
      <c r="B14" s="256">
        <f>-SUMIF('305 Inputs'!$I:$I,$D14,'305 Inputs'!$F:$F)</f>
        <v>-201810.21</v>
      </c>
      <c r="C14" s="179"/>
      <c r="D14" s="258" t="s">
        <v>274</v>
      </c>
      <c r="E14" s="259"/>
      <c r="F14" s="179"/>
      <c r="G14" s="258"/>
      <c r="H14" s="158"/>
      <c r="I14" s="179"/>
      <c r="J14" s="260"/>
      <c r="K14" s="261"/>
      <c r="L14" s="261"/>
      <c r="M14" s="261"/>
    </row>
    <row r="15" spans="1:13">
      <c r="A15" s="255" t="s">
        <v>162</v>
      </c>
      <c r="B15" s="256">
        <f>-SUMIF('305 Inputs'!$I:$I,$D15,'305 Inputs'!$F:$F)</f>
        <v>0</v>
      </c>
      <c r="C15" s="179" t="s">
        <v>29</v>
      </c>
      <c r="D15" s="258" t="s">
        <v>342</v>
      </c>
      <c r="E15" s="259"/>
      <c r="F15" s="179"/>
      <c r="G15" s="258"/>
      <c r="H15" s="158"/>
      <c r="I15" s="179"/>
      <c r="J15" s="260"/>
      <c r="K15" s="261"/>
      <c r="L15" s="261"/>
      <c r="M15" s="261"/>
    </row>
    <row r="16" spans="1:13">
      <c r="A16" s="255" t="s">
        <v>406</v>
      </c>
      <c r="B16" s="256">
        <f>-SUMIF('305 Inputs'!$I:$I,$D16,'305 Inputs'!$F:$F)</f>
        <v>0</v>
      </c>
      <c r="C16" s="179"/>
      <c r="D16" s="258" t="s">
        <v>407</v>
      </c>
      <c r="E16" s="259"/>
      <c r="F16" s="179"/>
      <c r="G16" s="258"/>
      <c r="H16" s="158"/>
      <c r="I16" s="179"/>
      <c r="J16" s="260"/>
      <c r="K16" s="261"/>
      <c r="L16" s="261"/>
      <c r="M16" s="261"/>
    </row>
    <row r="17" spans="1:13">
      <c r="A17" s="255" t="s">
        <v>405</v>
      </c>
      <c r="B17" s="256">
        <f>-SUMIF('305 Inputs'!$I:$I,$D17,'305 Inputs'!$F:$F)</f>
        <v>17589533.82</v>
      </c>
      <c r="C17" s="179"/>
      <c r="D17" s="258" t="s">
        <v>408</v>
      </c>
      <c r="E17" s="259"/>
      <c r="F17" s="179"/>
      <c r="G17" s="258"/>
      <c r="H17" s="158"/>
      <c r="I17" s="179"/>
      <c r="J17" s="260"/>
      <c r="K17" s="261"/>
      <c r="L17" s="261"/>
      <c r="M17" s="261"/>
    </row>
    <row r="18" spans="1:13">
      <c r="A18" s="255" t="s">
        <v>296</v>
      </c>
      <c r="B18" s="393">
        <f>'Table 3'!H139</f>
        <v>13542671.52</v>
      </c>
      <c r="E18" s="83"/>
    </row>
    <row r="19" spans="1:13" ht="16.2" thickBot="1">
      <c r="A19" s="280" t="s">
        <v>416</v>
      </c>
      <c r="B19" s="404">
        <f>-'WA Decoupling'!O43</f>
        <v>6042779.2871279931</v>
      </c>
      <c r="E19" s="83"/>
    </row>
    <row r="20" spans="1:13">
      <c r="B20" s="219">
        <f>SUM(B4:B19)</f>
        <v>47675158.475527994</v>
      </c>
      <c r="E20" s="83"/>
    </row>
    <row r="21" spans="1:13">
      <c r="A21" s="4" t="s">
        <v>155</v>
      </c>
      <c r="B21" s="219">
        <f>B20-SUM(B4:B17,B19)-B18</f>
        <v>0</v>
      </c>
    </row>
    <row r="22" spans="1:13">
      <c r="E22" s="83"/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O45"/>
  <sheetViews>
    <sheetView zoomScale="85" zoomScaleNormal="85" workbookViewId="0"/>
  </sheetViews>
  <sheetFormatPr defaultColWidth="9.59765625" defaultRowHeight="15.6"/>
  <cols>
    <col min="1" max="1" width="14.5" style="2" customWidth="1"/>
    <col min="2" max="2" width="16.19921875" style="2" customWidth="1"/>
    <col min="3" max="3" width="14.59765625" style="2" customWidth="1"/>
    <col min="4" max="4" width="13.69921875" style="2" bestFit="1" customWidth="1"/>
    <col min="5" max="5" width="13.5" style="2" bestFit="1" customWidth="1"/>
    <col min="6" max="6" width="13.5" style="2" customWidth="1"/>
    <col min="7" max="7" width="14.09765625" style="2" bestFit="1" customWidth="1"/>
    <col min="8" max="13" width="13.59765625" style="2" customWidth="1"/>
    <col min="14" max="14" width="15.59765625" style="2" customWidth="1"/>
    <col min="15" max="15" width="13.5" style="2" bestFit="1" customWidth="1"/>
    <col min="16" max="18" width="9.59765625" style="2"/>
    <col min="19" max="19" width="9.69921875" style="2" bestFit="1" customWidth="1"/>
    <col min="20" max="16384" width="9.59765625" style="2"/>
  </cols>
  <sheetData>
    <row r="1" spans="1:15">
      <c r="A1" s="77"/>
      <c r="B1" s="77"/>
      <c r="C1" s="77"/>
      <c r="D1" s="77"/>
      <c r="E1" s="77"/>
      <c r="F1" s="77"/>
      <c r="G1" s="77"/>
      <c r="L1" s="129" t="s">
        <v>0</v>
      </c>
      <c r="O1" s="77"/>
    </row>
    <row r="2" spans="1:15">
      <c r="A2" s="77"/>
      <c r="B2" s="77"/>
      <c r="C2" s="77"/>
      <c r="D2" s="77"/>
      <c r="E2" s="77"/>
      <c r="F2" s="77"/>
      <c r="G2" s="77"/>
      <c r="L2" s="129" t="s">
        <v>1</v>
      </c>
      <c r="O2" s="77"/>
    </row>
    <row r="3" spans="1:15" ht="17.399999999999999">
      <c r="A3" s="130" t="s">
        <v>251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75"/>
      <c r="N3" s="75"/>
      <c r="O3" s="77"/>
    </row>
    <row r="4" spans="1:15" ht="17.399999999999999">
      <c r="A4" s="130" t="s">
        <v>44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75"/>
      <c r="N4" s="75"/>
      <c r="O4" s="77"/>
    </row>
    <row r="5" spans="1:15" ht="17.399999999999999">
      <c r="A5" s="130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75"/>
      <c r="N5" s="75"/>
      <c r="O5" s="77"/>
    </row>
    <row r="6" spans="1:15" ht="17.399999999999999">
      <c r="A6" s="130" t="s">
        <v>464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326"/>
      <c r="N6" s="75"/>
      <c r="O6" s="77"/>
    </row>
    <row r="7" spans="1:15">
      <c r="M7" s="195"/>
      <c r="N7" s="195"/>
    </row>
    <row r="8" spans="1:15" ht="20.399999999999999">
      <c r="F8" s="25"/>
      <c r="M8" s="195"/>
      <c r="N8" s="195"/>
    </row>
    <row r="10" spans="1:15">
      <c r="A10" s="77"/>
      <c r="B10" s="77"/>
      <c r="C10" s="75" t="s">
        <v>3</v>
      </c>
      <c r="D10" s="75" t="s">
        <v>4</v>
      </c>
      <c r="E10" s="75" t="s">
        <v>5</v>
      </c>
      <c r="F10" s="75" t="s">
        <v>6</v>
      </c>
      <c r="G10" s="75" t="s">
        <v>7</v>
      </c>
      <c r="H10" s="75" t="s">
        <v>320</v>
      </c>
      <c r="I10" s="75" t="s">
        <v>329</v>
      </c>
      <c r="J10" s="75" t="s">
        <v>330</v>
      </c>
      <c r="K10" s="75" t="s">
        <v>357</v>
      </c>
      <c r="L10" s="75" t="s">
        <v>358</v>
      </c>
    </row>
    <row r="11" spans="1:15">
      <c r="A11" s="77"/>
      <c r="B11" s="7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5">
      <c r="A12" s="77"/>
      <c r="B12" s="77"/>
      <c r="C12" s="132"/>
      <c r="D12" s="78"/>
      <c r="E12" s="78"/>
      <c r="F12" s="78" t="s">
        <v>8</v>
      </c>
      <c r="G12" s="133" t="s">
        <v>246</v>
      </c>
      <c r="H12" s="320"/>
      <c r="I12" s="319" t="s">
        <v>8</v>
      </c>
      <c r="J12" s="320"/>
      <c r="K12" s="319" t="s">
        <v>8</v>
      </c>
      <c r="L12" s="78" t="s">
        <v>8</v>
      </c>
      <c r="M12" s="77"/>
    </row>
    <row r="13" spans="1:15">
      <c r="A13" s="77"/>
      <c r="B13" s="77"/>
      <c r="C13" s="134" t="s">
        <v>8</v>
      </c>
      <c r="D13" s="135" t="s">
        <v>10</v>
      </c>
      <c r="E13" s="44" t="s">
        <v>11</v>
      </c>
      <c r="F13" s="44" t="s">
        <v>246</v>
      </c>
      <c r="G13" s="135" t="s">
        <v>12</v>
      </c>
      <c r="H13" s="135" t="s">
        <v>328</v>
      </c>
      <c r="I13" s="44" t="s">
        <v>321</v>
      </c>
      <c r="J13" s="135" t="s">
        <v>328</v>
      </c>
      <c r="K13" s="44" t="s">
        <v>351</v>
      </c>
      <c r="L13" s="135" t="s">
        <v>70</v>
      </c>
      <c r="M13" s="136"/>
    </row>
    <row r="14" spans="1:15" ht="18.600000000000001">
      <c r="A14" s="77"/>
      <c r="B14" s="77"/>
      <c r="C14" s="134" t="s">
        <v>1</v>
      </c>
      <c r="D14" s="135" t="s">
        <v>242</v>
      </c>
      <c r="E14" s="44" t="s">
        <v>14</v>
      </c>
      <c r="F14" s="69" t="s">
        <v>13</v>
      </c>
      <c r="G14" s="137" t="s">
        <v>1</v>
      </c>
      <c r="H14" s="79" t="s">
        <v>158</v>
      </c>
      <c r="I14" s="44" t="s">
        <v>13</v>
      </c>
      <c r="J14" s="79" t="s">
        <v>158</v>
      </c>
      <c r="K14" s="44" t="s">
        <v>13</v>
      </c>
      <c r="L14" s="135" t="s">
        <v>1</v>
      </c>
      <c r="M14" s="75"/>
    </row>
    <row r="15" spans="1:15">
      <c r="A15" s="77"/>
      <c r="B15" s="77"/>
      <c r="C15" s="79"/>
      <c r="D15" s="138"/>
      <c r="E15" s="79"/>
      <c r="F15" s="79"/>
      <c r="H15" s="79"/>
      <c r="I15" s="44"/>
      <c r="J15" s="79"/>
      <c r="K15" s="44"/>
      <c r="L15" s="79"/>
      <c r="M15" s="75"/>
    </row>
    <row r="16" spans="1:15" ht="34.950000000000003" customHeight="1">
      <c r="A16" s="139" t="s">
        <v>15</v>
      </c>
      <c r="B16" s="140"/>
      <c r="C16" s="80">
        <f>'Table 2'!J36</f>
        <v>124334265.18000001</v>
      </c>
      <c r="D16" s="80">
        <f>'Table 2'!K36-E16</f>
        <v>27327573.820009999</v>
      </c>
      <c r="E16" s="80">
        <f>'Table 3'!I36</f>
        <v>0</v>
      </c>
      <c r="F16" s="80">
        <f>SUM(D16:E16)</f>
        <v>27327573.820009999</v>
      </c>
      <c r="G16" s="80">
        <f>C16+F16</f>
        <v>151661839.00001001</v>
      </c>
      <c r="H16" s="80">
        <f>'Table 3'!N36</f>
        <v>0</v>
      </c>
      <c r="I16" s="80">
        <f>H16</f>
        <v>0</v>
      </c>
      <c r="J16" s="80">
        <f>'Table 3'!Q36</f>
        <v>0</v>
      </c>
      <c r="K16" s="80">
        <f>J16</f>
        <v>0</v>
      </c>
      <c r="L16" s="80">
        <f t="shared" ref="L16:L21" si="0">G16+I16+K16</f>
        <v>151661839.00001001</v>
      </c>
      <c r="M16" s="141"/>
    </row>
    <row r="17" spans="1:14" ht="34.950000000000003" customHeight="1">
      <c r="A17" s="142" t="s">
        <v>16</v>
      </c>
      <c r="B17" s="143"/>
      <c r="C17" s="80">
        <f>'Table 2'!J65</f>
        <v>109796049.08000001</v>
      </c>
      <c r="D17" s="80">
        <f>'Table 2'!K65-E17</f>
        <v>16747945.089537993</v>
      </c>
      <c r="E17" s="80">
        <f>'Table 3'!I65</f>
        <v>0</v>
      </c>
      <c r="F17" s="80">
        <f>SUM(D17:E17)</f>
        <v>16747945.089537993</v>
      </c>
      <c r="G17" s="80">
        <f>C17+F17</f>
        <v>126543994.16953801</v>
      </c>
      <c r="H17" s="80">
        <f>'Table 3'!N65</f>
        <v>0</v>
      </c>
      <c r="I17" s="80">
        <f t="shared" ref="I17:K20" si="1">H17</f>
        <v>0</v>
      </c>
      <c r="J17" s="80">
        <f>'Table 3'!Q65</f>
        <v>0</v>
      </c>
      <c r="K17" s="80">
        <f t="shared" si="1"/>
        <v>0</v>
      </c>
      <c r="L17" s="80">
        <f t="shared" si="0"/>
        <v>126543994.16953801</v>
      </c>
      <c r="M17" s="141"/>
    </row>
    <row r="18" spans="1:14" ht="34.950000000000003" customHeight="1">
      <c r="A18" s="142" t="s">
        <v>28</v>
      </c>
      <c r="B18" s="143"/>
      <c r="C18" s="80">
        <f>'Table 2'!J95</f>
        <v>51143266.900000006</v>
      </c>
      <c r="D18" s="80">
        <f>'Table 2'!K95-E18</f>
        <v>960674.14673999941</v>
      </c>
      <c r="E18" s="80">
        <f>'Table 3'!I95</f>
        <v>0</v>
      </c>
      <c r="F18" s="80">
        <f>SUM(D18:E18)</f>
        <v>960674.14673999941</v>
      </c>
      <c r="G18" s="80">
        <f>C18+F18</f>
        <v>52103941.046740003</v>
      </c>
      <c r="H18" s="80">
        <f>'Table 3'!N95</f>
        <v>0</v>
      </c>
      <c r="I18" s="80">
        <f t="shared" si="1"/>
        <v>0</v>
      </c>
      <c r="J18" s="80">
        <f>'Table 3'!Q95</f>
        <v>0</v>
      </c>
      <c r="K18" s="80">
        <f t="shared" si="1"/>
        <v>0</v>
      </c>
      <c r="L18" s="80">
        <f t="shared" si="0"/>
        <v>52103941.046740003</v>
      </c>
      <c r="M18" s="141"/>
    </row>
    <row r="19" spans="1:14" ht="34.950000000000003" customHeight="1">
      <c r="A19" s="142" t="s">
        <v>171</v>
      </c>
      <c r="B19" s="143"/>
      <c r="C19" s="80">
        <f>'Table 2'!J116</f>
        <v>12749857.010000002</v>
      </c>
      <c r="D19" s="80">
        <f>'Table 2'!K116-E19</f>
        <v>2602869.6394399996</v>
      </c>
      <c r="E19" s="80">
        <f>'Table 3'!I116</f>
        <v>0</v>
      </c>
      <c r="F19" s="80">
        <f>SUM(D19:E19)</f>
        <v>2602869.6394399996</v>
      </c>
      <c r="G19" s="80">
        <f>C19+F19</f>
        <v>15352726.649440002</v>
      </c>
      <c r="H19" s="80">
        <f>'Table 3'!N116</f>
        <v>0</v>
      </c>
      <c r="I19" s="80">
        <f t="shared" si="1"/>
        <v>0</v>
      </c>
      <c r="J19" s="80">
        <f>'Table 3'!Q116</f>
        <v>0</v>
      </c>
      <c r="K19" s="80">
        <f t="shared" si="1"/>
        <v>0</v>
      </c>
      <c r="L19" s="80">
        <f t="shared" si="0"/>
        <v>15352726.649440002</v>
      </c>
      <c r="M19" s="141"/>
      <c r="N19" s="2" t="s">
        <v>29</v>
      </c>
    </row>
    <row r="20" spans="1:14" ht="34.950000000000003" customHeight="1" thickBot="1">
      <c r="A20" s="144" t="s">
        <v>17</v>
      </c>
      <c r="B20" s="145"/>
      <c r="C20" s="127">
        <f>'Table 2'!J136</f>
        <v>820053.22000000009</v>
      </c>
      <c r="D20" s="127">
        <f>'Table 2'!K136-E20</f>
        <v>36095.779800000048</v>
      </c>
      <c r="E20" s="127">
        <f>'Table 3'!I136</f>
        <v>0</v>
      </c>
      <c r="F20" s="127">
        <f>SUM(D20:E20)</f>
        <v>36095.779800000048</v>
      </c>
      <c r="G20" s="127">
        <f>C20+F20</f>
        <v>856148.99980000011</v>
      </c>
      <c r="H20" s="80">
        <f>'Table 3'!N136</f>
        <v>0</v>
      </c>
      <c r="I20" s="80">
        <f t="shared" si="1"/>
        <v>0</v>
      </c>
      <c r="J20" s="80">
        <f>'Table 3'!Q136</f>
        <v>0</v>
      </c>
      <c r="K20" s="80">
        <f t="shared" si="1"/>
        <v>0</v>
      </c>
      <c r="L20" s="80">
        <f t="shared" si="0"/>
        <v>856148.99980000011</v>
      </c>
      <c r="M20" s="141"/>
    </row>
    <row r="21" spans="1:14" ht="34.950000000000003" customHeight="1" thickTop="1" thickBot="1">
      <c r="A21" s="146" t="s">
        <v>71</v>
      </c>
      <c r="B21" s="147"/>
      <c r="C21" s="128">
        <f t="shared" ref="C21:I21" si="2">SUM(C16:C20)</f>
        <v>298843491.39000005</v>
      </c>
      <c r="D21" s="128">
        <f t="shared" si="2"/>
        <v>47675158.475527987</v>
      </c>
      <c r="E21" s="128">
        <f t="shared" si="2"/>
        <v>0</v>
      </c>
      <c r="F21" s="128">
        <f t="shared" si="2"/>
        <v>47675158.475527987</v>
      </c>
      <c r="G21" s="128">
        <f t="shared" si="2"/>
        <v>346518649.86552805</v>
      </c>
      <c r="H21" s="128">
        <f t="shared" si="2"/>
        <v>0</v>
      </c>
      <c r="I21" s="128">
        <f t="shared" si="2"/>
        <v>0</v>
      </c>
      <c r="J21" s="128">
        <f>SUM(J16:J20)</f>
        <v>0</v>
      </c>
      <c r="K21" s="128">
        <f>SUM(K16:K20)</f>
        <v>0</v>
      </c>
      <c r="L21" s="128">
        <f t="shared" si="0"/>
        <v>346518649.86552805</v>
      </c>
      <c r="M21" s="141"/>
    </row>
    <row r="22" spans="1:14" ht="20.25" hidden="1" customHeight="1" thickTop="1">
      <c r="A22" s="148" t="s">
        <v>85</v>
      </c>
      <c r="B22" s="149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77"/>
    </row>
    <row r="23" spans="1:14" ht="34.950000000000003" hidden="1" customHeight="1">
      <c r="A23" s="144" t="s">
        <v>82</v>
      </c>
      <c r="B23" s="145"/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/>
      <c r="I23" s="80"/>
      <c r="J23" s="80"/>
      <c r="K23" s="80"/>
      <c r="L23" s="80">
        <v>0</v>
      </c>
      <c r="M23" s="77"/>
    </row>
    <row r="24" spans="1:14" ht="34.950000000000003" hidden="1" customHeight="1">
      <c r="A24" s="144" t="s">
        <v>83</v>
      </c>
      <c r="B24" s="145"/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/>
      <c r="I24" s="80"/>
      <c r="J24" s="80"/>
      <c r="K24" s="80"/>
      <c r="L24" s="80">
        <v>0</v>
      </c>
      <c r="M24" s="77"/>
    </row>
    <row r="25" spans="1:14" ht="34.950000000000003" hidden="1" customHeight="1" thickBot="1">
      <c r="A25" s="150" t="s">
        <v>84</v>
      </c>
      <c r="B25" s="151"/>
      <c r="C25" s="82">
        <f t="shared" ref="C25:L25" si="3">+C21+C23+C24</f>
        <v>298843491.39000005</v>
      </c>
      <c r="D25" s="82">
        <f t="shared" si="3"/>
        <v>47675158.475527987</v>
      </c>
      <c r="E25" s="82">
        <f t="shared" si="3"/>
        <v>0</v>
      </c>
      <c r="F25" s="82">
        <f t="shared" si="3"/>
        <v>47675158.475527987</v>
      </c>
      <c r="G25" s="82">
        <f t="shared" si="3"/>
        <v>346518649.86552805</v>
      </c>
      <c r="H25" s="82"/>
      <c r="I25" s="82"/>
      <c r="J25" s="82"/>
      <c r="K25" s="82"/>
      <c r="L25" s="82">
        <f t="shared" si="3"/>
        <v>346518649.86552805</v>
      </c>
      <c r="M25" s="77"/>
    </row>
    <row r="26" spans="1:14" ht="16.2" thickTop="1">
      <c r="A26" s="144"/>
      <c r="B26" s="145"/>
      <c r="C26" s="45"/>
      <c r="D26" s="44"/>
      <c r="E26" s="44"/>
      <c r="F26" s="44"/>
      <c r="G26" s="44"/>
      <c r="H26" s="44"/>
      <c r="I26" s="44"/>
      <c r="J26" s="44"/>
      <c r="K26" s="44"/>
      <c r="L26" s="44"/>
      <c r="M26" s="77"/>
    </row>
    <row r="27" spans="1:14">
      <c r="A27" s="144"/>
      <c r="B27" s="145"/>
      <c r="C27" s="45"/>
      <c r="D27" s="45"/>
      <c r="E27" s="44" t="s">
        <v>18</v>
      </c>
      <c r="F27" s="44"/>
      <c r="G27" s="44"/>
      <c r="H27" s="44"/>
      <c r="I27" s="44"/>
      <c r="J27" s="44"/>
      <c r="K27" s="44"/>
      <c r="L27" s="44"/>
      <c r="M27" s="152"/>
    </row>
    <row r="28" spans="1:14">
      <c r="A28" s="144" t="s">
        <v>19</v>
      </c>
      <c r="B28" s="145"/>
      <c r="C28" s="45" t="s">
        <v>157</v>
      </c>
      <c r="D28" s="44" t="s">
        <v>91</v>
      </c>
      <c r="E28" s="44" t="s">
        <v>20</v>
      </c>
      <c r="F28" s="44" t="s">
        <v>41</v>
      </c>
      <c r="G28" s="44" t="s">
        <v>40</v>
      </c>
      <c r="H28" s="44" t="s">
        <v>27</v>
      </c>
      <c r="I28" s="153" t="s">
        <v>320</v>
      </c>
      <c r="J28" s="44" t="s">
        <v>27</v>
      </c>
      <c r="K28" s="153" t="s">
        <v>330</v>
      </c>
      <c r="L28" s="153" t="s">
        <v>359</v>
      </c>
      <c r="M28" s="154"/>
    </row>
    <row r="29" spans="1:14" ht="15" customHeight="1">
      <c r="A29" s="144"/>
      <c r="B29" s="145"/>
      <c r="C29" s="45"/>
      <c r="D29" s="44"/>
      <c r="E29" s="44" t="s">
        <v>27</v>
      </c>
      <c r="F29" s="44"/>
      <c r="G29" s="44"/>
      <c r="H29" s="44"/>
      <c r="I29" s="44"/>
      <c r="J29" s="44"/>
      <c r="K29" s="44"/>
      <c r="L29" s="44"/>
      <c r="M29" s="77"/>
    </row>
    <row r="30" spans="1:14" ht="16.5" customHeight="1">
      <c r="A30" s="142"/>
      <c r="B30" s="143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77"/>
    </row>
    <row r="31" spans="1:14">
      <c r="A31" s="155"/>
    </row>
    <row r="32" spans="1:14">
      <c r="A32" s="155"/>
    </row>
    <row r="33" spans="1:14" ht="18.600000000000001">
      <c r="A33" s="155" t="s">
        <v>465</v>
      </c>
      <c r="B33" s="329"/>
      <c r="C33" s="329"/>
      <c r="D33" s="329"/>
      <c r="E33" s="329"/>
      <c r="F33" s="329"/>
      <c r="G33" s="329"/>
      <c r="H33" s="329"/>
      <c r="I33" s="329"/>
      <c r="J33" s="155"/>
      <c r="K33" s="155"/>
      <c r="L33" s="155"/>
      <c r="M33" s="126"/>
      <c r="N33" s="126"/>
    </row>
    <row r="34" spans="1:14">
      <c r="A34" s="155" t="s">
        <v>468</v>
      </c>
      <c r="B34" s="329"/>
      <c r="C34" s="329"/>
      <c r="D34" s="329"/>
      <c r="E34" s="329"/>
      <c r="F34" s="329"/>
      <c r="G34" s="329"/>
      <c r="H34" s="329"/>
      <c r="I34" s="329"/>
      <c r="J34" s="155"/>
      <c r="K34" s="155"/>
      <c r="L34" s="155"/>
      <c r="M34" s="126"/>
      <c r="N34" s="126"/>
    </row>
    <row r="35" spans="1:14" ht="18" customHeight="1">
      <c r="A35" s="26" t="s">
        <v>29</v>
      </c>
      <c r="B35" s="77"/>
      <c r="C35" s="77"/>
      <c r="D35" s="77"/>
      <c r="E35" s="77"/>
      <c r="F35" s="77"/>
      <c r="G35" s="77"/>
    </row>
    <row r="36" spans="1:14" ht="18" customHeight="1">
      <c r="A36" s="67"/>
      <c r="C36" s="152"/>
      <c r="D36" s="77"/>
      <c r="E36" s="77"/>
      <c r="F36" s="77"/>
      <c r="G36" s="77"/>
    </row>
    <row r="37" spans="1:14" ht="24">
      <c r="A37" s="65"/>
      <c r="B37" s="77"/>
      <c r="C37" s="411"/>
      <c r="D37" s="412"/>
      <c r="E37" s="77"/>
      <c r="F37" s="77"/>
      <c r="G37" s="77"/>
    </row>
    <row r="38" spans="1:14">
      <c r="B38" s="157"/>
      <c r="C38" s="211"/>
      <c r="D38" s="73"/>
    </row>
    <row r="39" spans="1:14">
      <c r="B39" s="157"/>
      <c r="C39" s="211"/>
      <c r="D39" s="73"/>
      <c r="J39" s="2" t="s">
        <v>29</v>
      </c>
    </row>
    <row r="40" spans="1:14">
      <c r="B40" s="157"/>
      <c r="C40" s="211"/>
      <c r="D40" s="412"/>
    </row>
    <row r="41" spans="1:14">
      <c r="B41" s="157"/>
      <c r="C41" s="211"/>
      <c r="D41" s="412"/>
    </row>
    <row r="42" spans="1:14">
      <c r="B42" s="157"/>
      <c r="C42" s="211"/>
      <c r="D42" s="412"/>
    </row>
    <row r="43" spans="1:14">
      <c r="B43" s="157"/>
      <c r="C43" s="211"/>
      <c r="D43" s="412"/>
    </row>
    <row r="44" spans="1:14">
      <c r="B44" s="157"/>
      <c r="C44" s="211"/>
      <c r="D44" s="412"/>
      <c r="G44" s="158"/>
    </row>
    <row r="45" spans="1:14">
      <c r="B45" s="157"/>
      <c r="D45" s="412"/>
    </row>
  </sheetData>
  <phoneticPr fontId="0" type="noConversion"/>
  <printOptions horizontalCentered="1"/>
  <pageMargins left="0.22" right="0.5" top="0.5" bottom="0.55000000000000004" header="0.5" footer="0.38"/>
  <pageSetup scale="86" orientation="landscape" r:id="rId1"/>
  <headerFooter alignWithMargins="0">
    <oddFooter>&amp;C&amp;8Prepared by Pricing &amp;D&amp;R&amp;8&amp;F&amp;A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2"/>
  <dimension ref="B1:AD38"/>
  <sheetViews>
    <sheetView zoomScale="85" zoomScaleNormal="85" workbookViewId="0"/>
  </sheetViews>
  <sheetFormatPr defaultColWidth="9.59765625" defaultRowHeight="15.6"/>
  <cols>
    <col min="1" max="1" width="9.59765625" style="2" customWidth="1"/>
    <col min="2" max="2" width="14.5" style="2" customWidth="1"/>
    <col min="3" max="3" width="14.69921875" style="2" customWidth="1"/>
    <col min="4" max="4" width="17" style="2" customWidth="1"/>
    <col min="5" max="5" width="13.5" style="2" customWidth="1"/>
    <col min="6" max="6" width="15.8984375" style="2" customWidth="1"/>
    <col min="7" max="7" width="12.59765625" style="2" customWidth="1"/>
    <col min="8" max="8" width="9.59765625" style="2"/>
    <col min="9" max="11" width="15.59765625" style="2" customWidth="1"/>
    <col min="12" max="16384" width="9.59765625" style="2"/>
  </cols>
  <sheetData>
    <row r="1" spans="2:30">
      <c r="B1" s="77"/>
      <c r="C1" s="77"/>
      <c r="D1" s="77"/>
      <c r="E1" s="77"/>
      <c r="F1" s="77"/>
      <c r="G1" s="77" t="s">
        <v>81</v>
      </c>
      <c r="H1" s="77"/>
      <c r="I1" s="77"/>
      <c r="J1" s="77"/>
    </row>
    <row r="2" spans="2:30">
      <c r="B2" s="77"/>
      <c r="C2" s="77"/>
      <c r="D2" s="77"/>
      <c r="E2" s="77"/>
      <c r="F2" s="77"/>
      <c r="G2" s="77" t="s">
        <v>75</v>
      </c>
      <c r="H2" s="77"/>
      <c r="I2" s="77"/>
      <c r="J2" s="77"/>
    </row>
    <row r="3" spans="2:30" ht="22.8">
      <c r="B3" s="159" t="s">
        <v>251</v>
      </c>
      <c r="C3" s="160"/>
      <c r="D3" s="160"/>
      <c r="E3" s="160"/>
      <c r="F3" s="67"/>
      <c r="G3" s="77"/>
      <c r="H3" s="77"/>
      <c r="I3" s="77"/>
      <c r="J3" s="77"/>
    </row>
    <row r="4" spans="2:30" ht="22.8">
      <c r="B4" s="159" t="s">
        <v>44</v>
      </c>
      <c r="C4" s="160"/>
      <c r="D4" s="160"/>
      <c r="E4" s="160"/>
      <c r="F4" s="67"/>
      <c r="G4" s="77"/>
      <c r="H4" s="77"/>
      <c r="I4" s="77"/>
      <c r="J4" s="77"/>
    </row>
    <row r="5" spans="2:30" ht="22.8">
      <c r="B5" s="159" t="s">
        <v>2</v>
      </c>
      <c r="C5" s="160"/>
      <c r="D5" s="160"/>
      <c r="E5" s="160"/>
      <c r="F5" s="67"/>
      <c r="G5" s="77"/>
      <c r="H5" s="77"/>
      <c r="I5" s="77"/>
      <c r="J5" s="77"/>
    </row>
    <row r="6" spans="2:30" ht="22.8">
      <c r="B6" s="159" t="str">
        <f>'Table 1-Revenues'!A6</f>
        <v>12 Months Ended June 2020</v>
      </c>
      <c r="C6" s="160"/>
      <c r="D6" s="160"/>
      <c r="E6" s="160"/>
      <c r="F6" s="67"/>
      <c r="G6" s="77"/>
      <c r="H6" s="77"/>
      <c r="I6" s="77"/>
      <c r="J6" s="77"/>
    </row>
    <row r="8" spans="2:30" ht="22.8">
      <c r="B8" s="29" t="s">
        <v>156</v>
      </c>
      <c r="C8" s="161"/>
      <c r="D8" s="161"/>
      <c r="E8" s="161"/>
      <c r="F8" s="161"/>
    </row>
    <row r="10" spans="2:30">
      <c r="B10" s="77"/>
      <c r="C10" s="77"/>
      <c r="D10" s="75" t="s">
        <v>3</v>
      </c>
      <c r="E10" s="75" t="s">
        <v>4</v>
      </c>
      <c r="F10" s="75" t="s">
        <v>5</v>
      </c>
      <c r="G10" s="77"/>
      <c r="H10" s="77"/>
      <c r="I10" s="77"/>
      <c r="J10" s="77"/>
    </row>
    <row r="11" spans="2:30">
      <c r="B11" s="77"/>
      <c r="C11" s="77"/>
      <c r="D11" s="67"/>
      <c r="E11" s="67"/>
      <c r="F11" s="67"/>
      <c r="G11" s="67"/>
      <c r="H11" s="67"/>
      <c r="I11" s="77"/>
      <c r="J11" s="77"/>
    </row>
    <row r="12" spans="2:30">
      <c r="B12" s="77"/>
      <c r="C12" s="77"/>
      <c r="D12" s="132"/>
      <c r="E12" s="162" t="s">
        <v>29</v>
      </c>
      <c r="F12" s="132" t="s">
        <v>29</v>
      </c>
      <c r="G12" s="77"/>
      <c r="H12" s="77"/>
      <c r="I12" s="77"/>
      <c r="J12" s="77"/>
    </row>
    <row r="13" spans="2:30">
      <c r="B13" s="77"/>
      <c r="C13" s="77"/>
      <c r="D13" s="134" t="s">
        <v>8</v>
      </c>
      <c r="E13" s="44" t="s">
        <v>8</v>
      </c>
      <c r="F13" s="135" t="s">
        <v>8</v>
      </c>
      <c r="G13" s="77"/>
      <c r="H13" s="77"/>
      <c r="I13" s="77"/>
      <c r="J13" s="75"/>
    </row>
    <row r="14" spans="2:30" ht="18.600000000000001">
      <c r="B14" s="77"/>
      <c r="C14" s="77"/>
      <c r="D14" s="134" t="s">
        <v>75</v>
      </c>
      <c r="E14" s="44" t="s">
        <v>242</v>
      </c>
      <c r="F14" s="135" t="s">
        <v>12</v>
      </c>
      <c r="G14" s="77"/>
      <c r="H14" s="77"/>
      <c r="I14" s="77"/>
      <c r="J14" s="77"/>
    </row>
    <row r="15" spans="2:30">
      <c r="B15" s="77"/>
      <c r="C15" s="77"/>
      <c r="D15" s="79"/>
      <c r="E15" s="79" t="s">
        <v>75</v>
      </c>
      <c r="F15" s="163" t="s">
        <v>156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2:30" ht="34.950000000000003" customHeight="1">
      <c r="B16" s="139" t="s">
        <v>15</v>
      </c>
      <c r="C16" s="140"/>
      <c r="D16" s="164">
        <f>'Table 2'!F36</f>
        <v>1620702435</v>
      </c>
      <c r="E16" s="165">
        <f>'Table 2'!H36</f>
        <v>0</v>
      </c>
      <c r="F16" s="166">
        <f>D16+E16</f>
        <v>1620702435</v>
      </c>
      <c r="G16" s="167"/>
      <c r="H16" s="77"/>
      <c r="I16" s="152"/>
      <c r="J16" s="16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</row>
    <row r="17" spans="2:30" ht="34.950000000000003" customHeight="1">
      <c r="B17" s="142" t="s">
        <v>16</v>
      </c>
      <c r="C17" s="143"/>
      <c r="D17" s="166">
        <f>'Table 2'!F65</f>
        <v>1512427747</v>
      </c>
      <c r="E17" s="165">
        <f>'Table 2'!H65</f>
        <v>0</v>
      </c>
      <c r="F17" s="166">
        <f>D17+E17</f>
        <v>1512427747</v>
      </c>
      <c r="G17" s="167"/>
      <c r="H17" s="77"/>
      <c r="I17" s="152"/>
      <c r="J17" s="16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>
        <v>4.8740385218734944E-2</v>
      </c>
    </row>
    <row r="18" spans="2:30" ht="34.950000000000003" customHeight="1">
      <c r="B18" s="142" t="s">
        <v>28</v>
      </c>
      <c r="C18" s="143"/>
      <c r="D18" s="166">
        <f>'Table 2'!F95</f>
        <v>778482306</v>
      </c>
      <c r="E18" s="165">
        <f>'Table 2'!H95</f>
        <v>0</v>
      </c>
      <c r="F18" s="166">
        <f>D18+E18</f>
        <v>778482306</v>
      </c>
      <c r="G18" s="167"/>
      <c r="H18" s="77"/>
      <c r="I18" s="152"/>
      <c r="J18" s="16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</row>
    <row r="19" spans="2:30" ht="34.950000000000003" customHeight="1">
      <c r="B19" s="142" t="s">
        <v>171</v>
      </c>
      <c r="C19" s="143"/>
      <c r="D19" s="166">
        <f>'Table 2'!F116</f>
        <v>160293907</v>
      </c>
      <c r="E19" s="165">
        <f>'Table 2'!H116</f>
        <v>0</v>
      </c>
      <c r="F19" s="166">
        <f>D19+E19</f>
        <v>160293907</v>
      </c>
      <c r="G19" s="77"/>
      <c r="H19" s="77"/>
      <c r="I19" s="152"/>
      <c r="J19" s="16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2:30" ht="34.950000000000003" customHeight="1">
      <c r="B20" s="168" t="s">
        <v>17</v>
      </c>
      <c r="C20" s="169"/>
      <c r="D20" s="170">
        <f>'Table 2'!F136</f>
        <v>5332540</v>
      </c>
      <c r="E20" s="171">
        <f>'Table 2'!H136</f>
        <v>0</v>
      </c>
      <c r="F20" s="170">
        <f>D20+E20</f>
        <v>5332540</v>
      </c>
      <c r="G20" s="77"/>
      <c r="H20" s="77"/>
      <c r="I20" s="152"/>
      <c r="J20" s="16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</row>
    <row r="21" spans="2:30" ht="34.950000000000003" customHeight="1" thickBot="1">
      <c r="B21" s="150" t="s">
        <v>71</v>
      </c>
      <c r="C21" s="151"/>
      <c r="D21" s="172">
        <f>SUM(D16:D20)</f>
        <v>4077238935</v>
      </c>
      <c r="E21" s="172">
        <f>SUM(E16:E20)</f>
        <v>0</v>
      </c>
      <c r="F21" s="172">
        <f>SUM(F16:F20)</f>
        <v>4077238935</v>
      </c>
      <c r="G21" s="77"/>
      <c r="H21" s="77"/>
      <c r="I21" s="152"/>
      <c r="J21" s="16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</row>
    <row r="22" spans="2:30" ht="16.2" hidden="1" thickTop="1">
      <c r="B22" s="142" t="s">
        <v>85</v>
      </c>
      <c r="C22" s="143"/>
      <c r="D22" s="166"/>
      <c r="E22" s="173"/>
      <c r="F22" s="166"/>
      <c r="G22" s="77"/>
      <c r="H22" s="77"/>
      <c r="I22" s="152"/>
      <c r="J22" s="16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</row>
    <row r="23" spans="2:30" ht="34.950000000000003" hidden="1" customHeight="1">
      <c r="B23" s="142" t="s">
        <v>82</v>
      </c>
      <c r="C23" s="143"/>
      <c r="D23" s="166">
        <v>0</v>
      </c>
      <c r="E23" s="165">
        <v>0</v>
      </c>
      <c r="F23" s="166">
        <f>D23+E23</f>
        <v>0</v>
      </c>
      <c r="G23" s="77"/>
      <c r="H23" s="77"/>
      <c r="I23" s="152"/>
      <c r="J23" s="16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</row>
    <row r="24" spans="2:30" ht="34.950000000000003" hidden="1" customHeight="1" thickBot="1">
      <c r="B24" s="174" t="s">
        <v>83</v>
      </c>
      <c r="C24" s="175"/>
      <c r="D24" s="176">
        <v>0</v>
      </c>
      <c r="E24" s="177">
        <v>0</v>
      </c>
      <c r="F24" s="176">
        <f>D24+E24</f>
        <v>0</v>
      </c>
      <c r="G24" s="77"/>
      <c r="H24" s="77"/>
      <c r="I24" s="152"/>
      <c r="J24" s="16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</row>
    <row r="25" spans="2:30" ht="34.950000000000003" hidden="1" customHeight="1" thickTop="1">
      <c r="B25" s="142" t="s">
        <v>84</v>
      </c>
      <c r="C25" s="143"/>
      <c r="D25" s="166">
        <f>SUM(D21:D24)</f>
        <v>4077238935</v>
      </c>
      <c r="E25" s="173">
        <f>SUM(E21:E24)</f>
        <v>0</v>
      </c>
      <c r="F25" s="166">
        <f>SUM(F21:F24)</f>
        <v>4077238935</v>
      </c>
      <c r="G25" s="77"/>
      <c r="H25" s="77"/>
      <c r="I25" s="152"/>
      <c r="J25" s="16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</row>
    <row r="26" spans="2:30" ht="16.2" thickTop="1">
      <c r="B26" s="144"/>
      <c r="C26" s="145"/>
      <c r="D26" s="45"/>
      <c r="E26" s="44"/>
      <c r="F26" s="44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</row>
    <row r="27" spans="2:30">
      <c r="B27" s="144" t="s">
        <v>19</v>
      </c>
      <c r="C27" s="145"/>
      <c r="D27" s="45" t="s">
        <v>157</v>
      </c>
      <c r="E27" s="44" t="s">
        <v>91</v>
      </c>
      <c r="F27" s="44" t="s">
        <v>227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</row>
    <row r="28" spans="2:30" ht="15" customHeight="1">
      <c r="B28" s="144"/>
      <c r="C28" s="145"/>
      <c r="D28" s="45"/>
      <c r="E28" s="44" t="s">
        <v>29</v>
      </c>
      <c r="F28" s="44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</row>
    <row r="29" spans="2:30" ht="16.5" customHeight="1">
      <c r="B29" s="142"/>
      <c r="C29" s="143"/>
      <c r="D29" s="46"/>
      <c r="E29" s="46" t="s">
        <v>29</v>
      </c>
      <c r="F29" s="46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</row>
    <row r="30" spans="2:30">
      <c r="B30" s="155"/>
    </row>
    <row r="31" spans="2:30">
      <c r="B31" s="155"/>
    </row>
    <row r="32" spans="2:30" ht="18" customHeight="1">
      <c r="B32" s="26" t="s">
        <v>469</v>
      </c>
      <c r="C32" s="77"/>
      <c r="D32" s="77"/>
      <c r="E32" s="77"/>
      <c r="F32" s="77"/>
    </row>
    <row r="33" spans="2:6">
      <c r="B33" s="178"/>
      <c r="F33" s="179"/>
    </row>
    <row r="34" spans="2:6">
      <c r="B34" s="129"/>
      <c r="C34" s="17"/>
    </row>
    <row r="35" spans="2:6" ht="18" customHeight="1">
      <c r="B35" s="180" t="s">
        <v>29</v>
      </c>
      <c r="C35" s="77"/>
      <c r="D35" s="77"/>
      <c r="E35" s="77"/>
      <c r="F35" s="77"/>
    </row>
    <row r="36" spans="2:6" ht="18" customHeight="1">
      <c r="B36" s="180" t="s">
        <v>29</v>
      </c>
      <c r="C36" s="77"/>
      <c r="D36" s="77"/>
      <c r="E36" s="77"/>
      <c r="F36" s="77"/>
    </row>
    <row r="37" spans="2:6" ht="18" customHeight="1">
      <c r="B37" s="67"/>
      <c r="C37" s="77"/>
      <c r="D37" s="77"/>
      <c r="E37" s="77"/>
      <c r="F37" s="77"/>
    </row>
    <row r="38" spans="2:6">
      <c r="B38" s="77"/>
      <c r="C38" s="77"/>
      <c r="D38" s="156"/>
      <c r="E38" s="77"/>
      <c r="F38" s="77"/>
    </row>
  </sheetData>
  <phoneticPr fontId="0" type="noConversion"/>
  <printOptions horizontalCentered="1"/>
  <pageMargins left="1" right="0.5" top="0.5" bottom="0.55000000000000004" header="0.5" footer="0.38"/>
  <pageSetup scale="72" orientation="landscape" r:id="rId1"/>
  <headerFooter alignWithMargins="0">
    <oddFooter>&amp;C&amp;8Prepared by Pricing &amp;D&amp;R&amp;8&amp;F&amp;A</oddFooter>
  </headerFooter>
  <colBreaks count="1" manualBreakCount="1">
    <brk id="8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W146"/>
  <sheetViews>
    <sheetView view="pageBreakPreview" topLeftCell="A3" zoomScale="70" zoomScaleNormal="70" zoomScaleSheetLayoutView="70" workbookViewId="0">
      <pane ySplit="9" topLeftCell="A12" activePane="bottomLeft" state="frozen"/>
      <selection pane="bottomLeft" activeCell="I24" sqref="I24"/>
    </sheetView>
  </sheetViews>
  <sheetFormatPr defaultColWidth="9" defaultRowHeight="15.6"/>
  <cols>
    <col min="1" max="1" width="5.8984375" style="2" customWidth="1"/>
    <col min="2" max="2" width="15.5" style="2" customWidth="1"/>
    <col min="3" max="4" width="7.59765625" style="2" customWidth="1"/>
    <col min="5" max="5" width="13" style="2" customWidth="1"/>
    <col min="6" max="7" width="17.69921875" style="2" customWidth="1"/>
    <col min="8" max="8" width="15.69921875" style="2" customWidth="1"/>
    <col min="9" max="9" width="18.19921875" style="2" customWidth="1"/>
    <col min="10" max="14" width="15.59765625" style="2" customWidth="1"/>
    <col min="15" max="15" width="14.69921875" style="2" bestFit="1" customWidth="1"/>
    <col min="16" max="16" width="9" style="2"/>
    <col min="17" max="18" width="14.59765625" style="2" bestFit="1" customWidth="1"/>
    <col min="19" max="21" width="11.09765625" style="2" bestFit="1" customWidth="1"/>
    <col min="22" max="22" width="9" style="2"/>
    <col min="23" max="23" width="10.3984375" style="2" customWidth="1"/>
    <col min="24" max="24" width="9" style="2"/>
    <col min="25" max="26" width="15.19921875" style="2" bestFit="1" customWidth="1"/>
    <col min="27" max="27" width="12.69921875" style="2" bestFit="1" customWidth="1"/>
    <col min="28" max="31" width="9" style="2"/>
    <col min="32" max="34" width="13.59765625" style="2" bestFit="1" customWidth="1"/>
    <col min="35" max="16384" width="9" style="2"/>
  </cols>
  <sheetData>
    <row r="1" spans="1:23" hidden="1">
      <c r="J1" s="195"/>
      <c r="K1" s="195"/>
      <c r="O1" s="2" t="s">
        <v>91</v>
      </c>
    </row>
    <row r="2" spans="1:23" hidden="1">
      <c r="O2" s="2" t="s">
        <v>159</v>
      </c>
    </row>
    <row r="3" spans="1:23" ht="17.399999999999999">
      <c r="A3" s="130" t="s">
        <v>252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9"/>
      <c r="Q3" s="129"/>
      <c r="R3" s="129"/>
      <c r="S3" s="129"/>
      <c r="T3" s="77"/>
      <c r="U3" s="77"/>
      <c r="V3" s="77"/>
      <c r="W3" s="77"/>
    </row>
    <row r="4" spans="1:23" ht="17.399999999999999">
      <c r="A4" s="130" t="s">
        <v>44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129"/>
      <c r="Q4" s="129"/>
      <c r="R4" s="129"/>
      <c r="S4" s="129"/>
      <c r="T4" s="77"/>
      <c r="U4" s="77"/>
      <c r="V4" s="77"/>
      <c r="W4" s="77"/>
    </row>
    <row r="5" spans="1:23" ht="17.399999999999999">
      <c r="A5" s="130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129"/>
      <c r="Q5" s="129"/>
      <c r="R5" s="129"/>
      <c r="S5" s="129"/>
      <c r="T5" s="77"/>
      <c r="U5" s="77"/>
      <c r="V5" s="77"/>
      <c r="W5" s="77"/>
    </row>
    <row r="6" spans="1:23" ht="17.399999999999999">
      <c r="A6" s="130" t="str">
        <f>'Table 1-Revenues'!A6</f>
        <v>12 Months Ended June 2020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129"/>
      <c r="Q6" s="129"/>
      <c r="R6" s="196"/>
      <c r="S6" s="129"/>
      <c r="T6" s="77"/>
      <c r="U6" s="77"/>
      <c r="V6" s="77"/>
      <c r="W6" s="77"/>
    </row>
    <row r="7" spans="1:23" ht="17.399999999999999">
      <c r="A7" s="197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129"/>
      <c r="Q7" s="129"/>
      <c r="R7" s="196"/>
      <c r="S7" s="129"/>
      <c r="T7" s="77"/>
      <c r="U7" s="77"/>
      <c r="V7" s="77"/>
      <c r="W7" s="77"/>
    </row>
    <row r="8" spans="1:23" ht="17.399999999999999">
      <c r="A8" s="130"/>
      <c r="B8" s="67"/>
      <c r="C8" s="67"/>
      <c r="D8" s="67"/>
      <c r="E8" s="75"/>
      <c r="F8" s="75"/>
      <c r="G8" s="75" t="s">
        <v>246</v>
      </c>
      <c r="H8" s="75"/>
      <c r="I8" s="75"/>
      <c r="J8" s="75"/>
      <c r="K8" s="75"/>
      <c r="L8" s="75"/>
      <c r="M8" s="75"/>
      <c r="N8" s="75"/>
      <c r="O8" s="75"/>
      <c r="P8" s="129"/>
      <c r="Q8" s="129"/>
      <c r="R8" s="196"/>
      <c r="S8" s="129"/>
      <c r="T8" s="77"/>
      <c r="U8" s="77"/>
      <c r="V8" s="77"/>
      <c r="W8" s="77"/>
    </row>
    <row r="9" spans="1:23" ht="17.399999999999999">
      <c r="A9" s="130"/>
      <c r="B9" s="67"/>
      <c r="C9" s="67"/>
      <c r="D9" s="67"/>
      <c r="E9" s="75"/>
      <c r="F9" s="75"/>
      <c r="G9" s="69" t="s">
        <v>11</v>
      </c>
      <c r="H9" s="69" t="s">
        <v>8</v>
      </c>
      <c r="I9" s="71"/>
      <c r="J9" s="75" t="s">
        <v>39</v>
      </c>
      <c r="K9" s="75" t="s">
        <v>246</v>
      </c>
      <c r="L9" s="75" t="s">
        <v>321</v>
      </c>
      <c r="M9" s="75" t="s">
        <v>351</v>
      </c>
      <c r="N9" s="75"/>
      <c r="O9" s="75"/>
      <c r="P9" s="67"/>
      <c r="Q9" s="67"/>
      <c r="R9" s="131"/>
      <c r="S9" s="67"/>
      <c r="T9" s="77"/>
      <c r="U9" s="77"/>
      <c r="V9" s="77"/>
      <c r="W9" s="77"/>
    </row>
    <row r="10" spans="1:23" ht="18.600000000000001">
      <c r="A10" s="130"/>
      <c r="B10" s="67"/>
      <c r="C10" s="67"/>
      <c r="D10" s="67"/>
      <c r="E10" s="69" t="s">
        <v>37</v>
      </c>
      <c r="F10" s="23" t="s">
        <v>39</v>
      </c>
      <c r="G10" s="23" t="s">
        <v>242</v>
      </c>
      <c r="H10" s="23" t="s">
        <v>69</v>
      </c>
      <c r="I10" s="71" t="s">
        <v>12</v>
      </c>
      <c r="J10" s="23" t="s">
        <v>35</v>
      </c>
      <c r="K10" s="23" t="s">
        <v>220</v>
      </c>
      <c r="L10" s="23" t="s">
        <v>13</v>
      </c>
      <c r="M10" s="23" t="s">
        <v>13</v>
      </c>
      <c r="N10" s="75" t="s">
        <v>8</v>
      </c>
      <c r="O10" s="75" t="s">
        <v>12</v>
      </c>
      <c r="P10" s="67"/>
      <c r="Q10" s="67"/>
      <c r="R10" s="131"/>
      <c r="S10" s="67"/>
      <c r="T10" s="77"/>
      <c r="U10" s="77"/>
      <c r="V10" s="77"/>
      <c r="W10" s="77"/>
    </row>
    <row r="11" spans="1:23">
      <c r="B11" s="3"/>
      <c r="C11" s="4"/>
      <c r="D11" s="4"/>
      <c r="E11" s="14" t="s">
        <v>38</v>
      </c>
      <c r="F11" s="14" t="s">
        <v>75</v>
      </c>
      <c r="G11" s="14" t="s">
        <v>75</v>
      </c>
      <c r="H11" s="14" t="s">
        <v>75</v>
      </c>
      <c r="I11" s="15" t="s">
        <v>75</v>
      </c>
      <c r="J11" s="14" t="s">
        <v>66</v>
      </c>
      <c r="K11" s="14" t="s">
        <v>66</v>
      </c>
      <c r="L11" s="14" t="s">
        <v>66</v>
      </c>
      <c r="M11" s="14" t="s">
        <v>66</v>
      </c>
      <c r="N11" s="14" t="s">
        <v>13</v>
      </c>
      <c r="O11" s="14" t="s">
        <v>1</v>
      </c>
    </row>
    <row r="12" spans="1:23" ht="15.75" customHeight="1">
      <c r="A12" s="3" t="s">
        <v>15</v>
      </c>
      <c r="B12" s="3"/>
      <c r="D12" s="155" t="s">
        <v>463</v>
      </c>
      <c r="E12" s="181"/>
      <c r="F12" s="181"/>
      <c r="G12" s="181"/>
      <c r="H12" s="181"/>
      <c r="I12" s="182"/>
      <c r="J12" s="4"/>
      <c r="K12" s="4"/>
      <c r="L12" s="4"/>
      <c r="M12" s="4"/>
      <c r="N12" s="4"/>
      <c r="S12" s="32"/>
    </row>
    <row r="13" spans="1:23" ht="15.75" customHeight="1">
      <c r="B13" s="2" t="s">
        <v>45</v>
      </c>
      <c r="D13" s="66">
        <v>16</v>
      </c>
      <c r="E13" s="17">
        <f>SUMIFS('305 Inputs'!$G:$G,'305 Inputs'!$J:$J,$D13,'305 Inputs'!$C:$C,$D$12)</f>
        <v>102244.91666666701</v>
      </c>
      <c r="F13" s="17">
        <f>SUMIFS('305 Inputs'!$H:$H,'305 Inputs'!$J:$J,$D13,'305 Inputs'!$C:$C,$D$12)</f>
        <v>1448331345</v>
      </c>
      <c r="G13" s="17">
        <v>0</v>
      </c>
      <c r="H13" s="17">
        <f t="shared" ref="H13:H19" si="0">G13</f>
        <v>0</v>
      </c>
      <c r="I13" s="183">
        <f t="shared" ref="I13:I19" si="1">H13+F13</f>
        <v>1448331345</v>
      </c>
      <c r="J13" s="16">
        <f>'Table 3'!E13</f>
        <v>123197771.08</v>
      </c>
      <c r="K13" s="16">
        <f>'Table 3'!J13</f>
        <v>16768321.064083684</v>
      </c>
      <c r="L13" s="16">
        <f>'Table 3'!N13</f>
        <v>0</v>
      </c>
      <c r="M13" s="16">
        <f>'Table 3'!R13</f>
        <v>0</v>
      </c>
      <c r="N13" s="16">
        <f t="shared" ref="N13:N19" si="2">K13+L13+M13</f>
        <v>16768321.064083684</v>
      </c>
      <c r="O13" s="16">
        <f t="shared" ref="O13:O19" si="3">N13+J13</f>
        <v>139966092.14408368</v>
      </c>
      <c r="Q13" s="5"/>
      <c r="R13" s="5"/>
      <c r="S13" s="32"/>
    </row>
    <row r="14" spans="1:23" ht="15.75" customHeight="1">
      <c r="B14" s="2" t="s">
        <v>86</v>
      </c>
      <c r="D14" s="66">
        <v>17</v>
      </c>
      <c r="E14" s="17">
        <f>SUMIFS('305 Inputs'!$G:$G,'305 Inputs'!$J:$J,$D14,'305 Inputs'!$C:$C,$D$12)</f>
        <v>5246.3333333333303</v>
      </c>
      <c r="F14" s="17">
        <f>SUMIFS('305 Inputs'!$H:$H,'305 Inputs'!$J:$J,$D14,'305 Inputs'!$C:$C,$D$12)</f>
        <v>77253428</v>
      </c>
      <c r="G14" s="17">
        <v>0</v>
      </c>
      <c r="H14" s="17">
        <f t="shared" si="0"/>
        <v>0</v>
      </c>
      <c r="I14" s="183">
        <f t="shared" si="1"/>
        <v>77253428</v>
      </c>
      <c r="J14" s="16">
        <f>'Table 3'!E14</f>
        <v>6585628.8099999996</v>
      </c>
      <c r="K14" s="16">
        <f>'Table 3'!J14</f>
        <v>879183.36622211454</v>
      </c>
      <c r="L14" s="16">
        <f>'Table 3'!N14</f>
        <v>0</v>
      </c>
      <c r="M14" s="16">
        <f>'Table 3'!R14</f>
        <v>0</v>
      </c>
      <c r="N14" s="16">
        <f t="shared" si="2"/>
        <v>879183.36622211454</v>
      </c>
      <c r="O14" s="16">
        <f t="shared" si="3"/>
        <v>7464812.1762221139</v>
      </c>
      <c r="Q14" s="5"/>
      <c r="R14" s="5"/>
      <c r="S14" s="32"/>
    </row>
    <row r="15" spans="1:23" ht="15.75" customHeight="1">
      <c r="B15" s="2" t="s">
        <v>46</v>
      </c>
      <c r="D15" s="66">
        <v>18</v>
      </c>
      <c r="E15" s="17">
        <f>SUMIFS('305 Inputs'!$G:$G,'305 Inputs'!$J:$J,$D15,'305 Inputs'!$C:$C,$D$12)</f>
        <v>77.75</v>
      </c>
      <c r="F15" s="17">
        <f>SUMIFS('305 Inputs'!$H:$H,'305 Inputs'!$J:$J,$D15,'305 Inputs'!$C:$C,$D$12)</f>
        <v>2067389</v>
      </c>
      <c r="G15" s="17">
        <v>0</v>
      </c>
      <c r="H15" s="17">
        <f t="shared" si="0"/>
        <v>0</v>
      </c>
      <c r="I15" s="183">
        <f t="shared" si="1"/>
        <v>2067389</v>
      </c>
      <c r="J15" s="16">
        <f>'Table 3'!E15</f>
        <v>195248.62</v>
      </c>
      <c r="K15" s="16">
        <f>'Table 3'!J15</f>
        <v>25517.116875002423</v>
      </c>
      <c r="L15" s="16">
        <f>'Table 3'!N15</f>
        <v>0</v>
      </c>
      <c r="M15" s="16">
        <f>'Table 3'!R15</f>
        <v>0</v>
      </c>
      <c r="N15" s="16">
        <f t="shared" si="2"/>
        <v>25517.116875002423</v>
      </c>
      <c r="O15" s="16">
        <f t="shared" si="3"/>
        <v>220765.73687500242</v>
      </c>
      <c r="Q15" s="5"/>
      <c r="R15" s="5"/>
      <c r="S15" s="32"/>
    </row>
    <row r="16" spans="1:23" ht="15.75" customHeight="1">
      <c r="B16" s="4" t="s">
        <v>150</v>
      </c>
      <c r="D16" s="66" t="s">
        <v>149</v>
      </c>
      <c r="E16" s="17">
        <f>SUMIFS('305 Inputs'!$G:$G,'305 Inputs'!$J:$J,$D16,'305 Inputs'!$C:$C,$D$12)</f>
        <v>11.25</v>
      </c>
      <c r="F16" s="17">
        <f>SUMIFS('305 Inputs'!$H:$H,'305 Inputs'!$J:$J,$D16,'305 Inputs'!$C:$C,$D$12)</f>
        <v>279021</v>
      </c>
      <c r="G16" s="17">
        <v>0</v>
      </c>
      <c r="H16" s="17">
        <f t="shared" si="0"/>
        <v>0</v>
      </c>
      <c r="I16" s="183">
        <f t="shared" si="1"/>
        <v>279021</v>
      </c>
      <c r="J16" s="16">
        <f>'Table 3'!E16</f>
        <v>25916.9</v>
      </c>
      <c r="K16" s="16">
        <f>'Table 3'!J16</f>
        <v>2712.6134156179864</v>
      </c>
      <c r="L16" s="16">
        <f>'Table 3'!N16</f>
        <v>0</v>
      </c>
      <c r="M16" s="16">
        <f>'Table 3'!R16</f>
        <v>0</v>
      </c>
      <c r="N16" s="16">
        <f t="shared" si="2"/>
        <v>2712.6134156179864</v>
      </c>
      <c r="O16" s="16">
        <f t="shared" si="3"/>
        <v>28629.513415617988</v>
      </c>
      <c r="Q16" s="5"/>
      <c r="R16" s="5"/>
      <c r="S16" s="32"/>
    </row>
    <row r="17" spans="2:19" ht="15.75" customHeight="1">
      <c r="B17" s="4" t="s">
        <v>218</v>
      </c>
      <c r="D17" s="66">
        <v>135</v>
      </c>
      <c r="E17" s="17">
        <f>SUMIFS('305 Inputs'!$G:$G,'305 Inputs'!$J:$J,$D17,'305 Inputs'!$C:$C,$D$12)</f>
        <v>1286.1666666666699</v>
      </c>
      <c r="F17" s="17">
        <f>SUMIFS('305 Inputs'!$H:$H,'305 Inputs'!$J:$J,$D17,'305 Inputs'!$C:$C,$D$12)</f>
        <v>11715967</v>
      </c>
      <c r="G17" s="17">
        <v>0</v>
      </c>
      <c r="H17" s="17">
        <f t="shared" si="0"/>
        <v>0</v>
      </c>
      <c r="I17" s="183">
        <f t="shared" si="1"/>
        <v>11715967</v>
      </c>
      <c r="J17" s="16">
        <f>'Table 3'!E17</f>
        <v>1088892.49</v>
      </c>
      <c r="K17" s="16">
        <f>'Table 3'!J17</f>
        <v>111527.18583856766</v>
      </c>
      <c r="L17" s="16">
        <f>'Table 3'!N17</f>
        <v>0</v>
      </c>
      <c r="M17" s="16">
        <f>'Table 3'!R17</f>
        <v>0</v>
      </c>
      <c r="N17" s="16">
        <f t="shared" si="2"/>
        <v>111527.18583856766</v>
      </c>
      <c r="O17" s="16">
        <f t="shared" si="3"/>
        <v>1200419.6758385675</v>
      </c>
      <c r="Q17" s="5"/>
      <c r="R17" s="5"/>
      <c r="S17" s="32"/>
    </row>
    <row r="18" spans="2:19" ht="15.75" customHeight="1">
      <c r="B18" s="4" t="s">
        <v>281</v>
      </c>
      <c r="D18" s="66">
        <v>24</v>
      </c>
      <c r="E18" s="17">
        <f>SUMIFS('305 Inputs'!$G:$G,'305 Inputs'!$J:$J,$D18,'305 Inputs'!$C:$C,$D$12)</f>
        <v>3463.25</v>
      </c>
      <c r="F18" s="17">
        <f>SUMIFS('305 Inputs'!$H:$H,'305 Inputs'!$J:$J,$D18,'305 Inputs'!$C:$C,$D$12)</f>
        <v>20247070</v>
      </c>
      <c r="G18" s="17">
        <v>0</v>
      </c>
      <c r="H18" s="17">
        <f t="shared" si="0"/>
        <v>0</v>
      </c>
      <c r="I18" s="183">
        <f t="shared" si="1"/>
        <v>20247070</v>
      </c>
      <c r="J18" s="16">
        <f>'Table 3'!E18</f>
        <v>2240223.7799999998</v>
      </c>
      <c r="K18" s="16">
        <f>'Table 3'!J18</f>
        <v>265290.25817374035</v>
      </c>
      <c r="L18" s="16">
        <f>'Table 3'!N18</f>
        <v>0</v>
      </c>
      <c r="M18" s="16">
        <f>'Table 3'!R18</f>
        <v>0</v>
      </c>
      <c r="N18" s="16">
        <f t="shared" si="2"/>
        <v>265290.25817374035</v>
      </c>
      <c r="O18" s="16">
        <f t="shared" si="3"/>
        <v>2505514.0381737403</v>
      </c>
      <c r="Q18" s="5"/>
      <c r="R18" s="5"/>
      <c r="S18" s="32"/>
    </row>
    <row r="19" spans="2:19" ht="15.75" customHeight="1">
      <c r="B19" s="4" t="s">
        <v>366</v>
      </c>
      <c r="D19" s="66">
        <v>36</v>
      </c>
      <c r="E19" s="184">
        <f>SUMIFS('305 Inputs'!$G:$G,'305 Inputs'!$J:$J,$D19,'305 Inputs'!$C:$C,$D$12)</f>
        <v>2</v>
      </c>
      <c r="F19" s="184">
        <f>SUMIFS('305 Inputs'!$H:$H,'305 Inputs'!$J:$J,$D19,'305 Inputs'!$C:$C,$D$12)</f>
        <v>1626500</v>
      </c>
      <c r="G19" s="184">
        <v>0</v>
      </c>
      <c r="H19" s="184">
        <f t="shared" si="0"/>
        <v>0</v>
      </c>
      <c r="I19" s="185">
        <f t="shared" si="1"/>
        <v>1626500</v>
      </c>
      <c r="J19" s="186">
        <f>'Table 3'!E19</f>
        <v>111232.04999999999</v>
      </c>
      <c r="K19" s="186">
        <f>'Table 3'!J19</f>
        <v>14828.949599999998</v>
      </c>
      <c r="L19" s="186">
        <f>'Table 3'!N19</f>
        <v>0</v>
      </c>
      <c r="M19" s="186">
        <f>'Table 3'!R19</f>
        <v>0</v>
      </c>
      <c r="N19" s="186">
        <f t="shared" si="2"/>
        <v>14828.949599999998</v>
      </c>
      <c r="O19" s="186">
        <f t="shared" si="3"/>
        <v>126060.99959999998</v>
      </c>
      <c r="Q19" s="5"/>
      <c r="R19" s="5"/>
      <c r="S19" s="32"/>
    </row>
    <row r="20" spans="2:19" ht="15.75" customHeight="1">
      <c r="B20" s="4" t="s">
        <v>33</v>
      </c>
      <c r="C20" s="6"/>
      <c r="D20" s="66"/>
      <c r="E20" s="17">
        <f t="shared" ref="E20:O20" si="4">SUM(E13:E19)</f>
        <v>112331.66666666701</v>
      </c>
      <c r="F20" s="17">
        <f t="shared" si="4"/>
        <v>1561520720</v>
      </c>
      <c r="G20" s="17">
        <f t="shared" si="4"/>
        <v>0</v>
      </c>
      <c r="H20" s="17">
        <f t="shared" si="4"/>
        <v>0</v>
      </c>
      <c r="I20" s="17">
        <f t="shared" si="4"/>
        <v>1561520720</v>
      </c>
      <c r="J20" s="16">
        <f t="shared" si="4"/>
        <v>133444913.73</v>
      </c>
      <c r="K20" s="16">
        <f t="shared" si="4"/>
        <v>18067380.554208729</v>
      </c>
      <c r="L20" s="16">
        <f t="shared" si="4"/>
        <v>0</v>
      </c>
      <c r="M20" s="16">
        <f t="shared" si="4"/>
        <v>0</v>
      </c>
      <c r="N20" s="16">
        <f t="shared" si="4"/>
        <v>18067380.554208729</v>
      </c>
      <c r="O20" s="16">
        <f t="shared" si="4"/>
        <v>151512294.28420869</v>
      </c>
      <c r="Q20" s="5"/>
      <c r="R20" s="5"/>
      <c r="S20" s="32"/>
    </row>
    <row r="21" spans="2:19" ht="15.75" customHeight="1">
      <c r="B21" s="4"/>
      <c r="C21" s="6"/>
      <c r="D21" s="66"/>
      <c r="E21" s="181"/>
      <c r="F21" s="181"/>
      <c r="G21" s="181"/>
      <c r="H21" s="181"/>
      <c r="I21" s="182"/>
      <c r="J21" s="16"/>
      <c r="K21" s="16"/>
      <c r="L21" s="16"/>
      <c r="M21" s="16"/>
      <c r="N21" s="16"/>
      <c r="O21" s="5"/>
      <c r="Q21" s="5"/>
      <c r="R21" s="5"/>
      <c r="S21" s="32"/>
    </row>
    <row r="22" spans="2:19" ht="15.75" customHeight="1">
      <c r="B22" s="2" t="s">
        <v>47</v>
      </c>
      <c r="C22" s="6"/>
      <c r="D22" s="66" t="s">
        <v>148</v>
      </c>
      <c r="E22" s="184">
        <f>SUMIFS('305 Inputs'!$G:$G,'305 Inputs'!$J:$J,$D22,'305 Inputs'!$C:$C,$D$12)</f>
        <v>1010.25</v>
      </c>
      <c r="F22" s="184">
        <f>SUMIFS('305 Inputs'!$H:$H,'305 Inputs'!$J:$J,$D22,'305 Inputs'!$C:$C,$D$12)</f>
        <v>918715</v>
      </c>
      <c r="G22" s="184">
        <v>0</v>
      </c>
      <c r="H22" s="184">
        <f>G22</f>
        <v>0</v>
      </c>
      <c r="I22" s="185">
        <f>H22+F22</f>
        <v>918715</v>
      </c>
      <c r="J22" s="186">
        <f>'Table 3'!E22</f>
        <v>136806</v>
      </c>
      <c r="K22" s="186">
        <f>'Table 3'!J22</f>
        <v>11426.1958012698</v>
      </c>
      <c r="L22" s="186">
        <f>'Table 3'!N22</f>
        <v>0</v>
      </c>
      <c r="M22" s="186">
        <f>'Table 3'!R22</f>
        <v>0</v>
      </c>
      <c r="N22" s="186">
        <f>K22+L22+M22</f>
        <v>11426.1958012698</v>
      </c>
      <c r="O22" s="186">
        <f>N22+J22</f>
        <v>148232.19580126979</v>
      </c>
      <c r="Q22" s="5"/>
      <c r="R22" s="5"/>
      <c r="S22" s="32"/>
    </row>
    <row r="23" spans="2:19" ht="15.75" customHeight="1">
      <c r="B23" s="2" t="s">
        <v>33</v>
      </c>
      <c r="D23" s="66"/>
      <c r="E23" s="17">
        <f>SUM(E22:E22)</f>
        <v>1010.25</v>
      </c>
      <c r="F23" s="17">
        <f>SUM(F22:F22)</f>
        <v>918715</v>
      </c>
      <c r="G23" s="17">
        <f t="shared" ref="G23:O23" si="5">SUM(G22)</f>
        <v>0</v>
      </c>
      <c r="H23" s="17">
        <f t="shared" si="5"/>
        <v>0</v>
      </c>
      <c r="I23" s="183">
        <f t="shared" si="5"/>
        <v>918715</v>
      </c>
      <c r="J23" s="16">
        <f t="shared" si="5"/>
        <v>136806</v>
      </c>
      <c r="K23" s="16">
        <f t="shared" si="5"/>
        <v>11426.1958012698</v>
      </c>
      <c r="L23" s="16">
        <f>SUM(L22:L22)</f>
        <v>0</v>
      </c>
      <c r="M23" s="16">
        <f>SUM(M22:M22)</f>
        <v>0</v>
      </c>
      <c r="N23" s="16">
        <f t="shared" si="5"/>
        <v>11426.1958012698</v>
      </c>
      <c r="O23" s="16">
        <f t="shared" si="5"/>
        <v>148232.19580126979</v>
      </c>
      <c r="Q23" s="7"/>
      <c r="R23" s="7"/>
      <c r="S23" s="10"/>
    </row>
    <row r="24" spans="2:19" ht="15.75" customHeight="1">
      <c r="D24" s="66"/>
      <c r="E24" s="181"/>
      <c r="F24" s="181"/>
      <c r="G24" s="181"/>
      <c r="H24" s="181"/>
      <c r="I24" s="182"/>
      <c r="J24" s="16"/>
      <c r="K24" s="16"/>
      <c r="L24" s="16"/>
      <c r="M24" s="16"/>
      <c r="N24" s="16"/>
      <c r="O24" s="16"/>
      <c r="Q24" s="7"/>
      <c r="R24" s="7"/>
      <c r="S24" s="10"/>
    </row>
    <row r="25" spans="2:19" s="6" customFormat="1" ht="15.75" customHeight="1">
      <c r="B25" s="2" t="s">
        <v>32</v>
      </c>
      <c r="D25" s="66" t="s">
        <v>138</v>
      </c>
      <c r="E25" s="184">
        <f>SUMIFS('305 Inputs'!$G:$G,'305 Inputs'!$I:$I,$D25,'305 Inputs'!$C:$C,$D$12)</f>
        <v>0</v>
      </c>
      <c r="F25" s="184">
        <f>SUMIFS('305 Inputs'!$H:$H,'305 Inputs'!$J:$J,$D25,'305 Inputs'!$C:$C,$D$12)</f>
        <v>0</v>
      </c>
      <c r="G25" s="184">
        <v>0</v>
      </c>
      <c r="H25" s="184">
        <f>G25</f>
        <v>0</v>
      </c>
      <c r="I25" s="185">
        <f>H25+F25</f>
        <v>0</v>
      </c>
      <c r="J25" s="186">
        <f>'Table 3'!E25</f>
        <v>1312.52</v>
      </c>
      <c r="K25" s="186">
        <f>'Table 3'!J25</f>
        <v>0</v>
      </c>
      <c r="L25" s="186">
        <f>'Table 3'!N25</f>
        <v>0</v>
      </c>
      <c r="M25" s="186">
        <f>'Table 3'!R25</f>
        <v>0</v>
      </c>
      <c r="N25" s="186">
        <f>K25+L25+M25</f>
        <v>0</v>
      </c>
      <c r="O25" s="186">
        <f>N25+J25</f>
        <v>1312.52</v>
      </c>
      <c r="Q25" s="7"/>
      <c r="R25" s="7"/>
      <c r="S25" s="10"/>
    </row>
    <row r="26" spans="2:19" s="6" customFormat="1" ht="15.75" customHeight="1">
      <c r="B26" s="2"/>
      <c r="D26" s="66"/>
      <c r="E26" s="184"/>
      <c r="F26" s="184"/>
      <c r="G26" s="184"/>
      <c r="H26" s="184"/>
      <c r="I26" s="185"/>
      <c r="J26" s="186"/>
      <c r="K26" s="186"/>
      <c r="L26" s="186"/>
      <c r="M26" s="186"/>
      <c r="N26" s="186"/>
      <c r="O26" s="186"/>
      <c r="Q26" s="7"/>
      <c r="R26" s="7"/>
      <c r="S26" s="10"/>
    </row>
    <row r="27" spans="2:19" ht="15.75" customHeight="1">
      <c r="B27" s="2" t="s">
        <v>235</v>
      </c>
      <c r="D27" s="66" t="s">
        <v>203</v>
      </c>
      <c r="E27" s="184">
        <f>SUMIFS('305 Inputs'!$G:$G,'305 Inputs'!$I:$I,$D27,'305 Inputs'!$C:$C,$D$12)</f>
        <v>0</v>
      </c>
      <c r="F27" s="184">
        <f>SUMIFS('305 Inputs'!$H:$H,'305 Inputs'!$J:$J,$D27,'305 Inputs'!$C:$C,$D$12)</f>
        <v>0</v>
      </c>
      <c r="G27" s="184">
        <v>0</v>
      </c>
      <c r="H27" s="184">
        <f t="shared" ref="H27:H32" si="6">G27</f>
        <v>0</v>
      </c>
      <c r="I27" s="185">
        <f t="shared" ref="I27:I32" si="7">H27+F27</f>
        <v>0</v>
      </c>
      <c r="J27" s="186">
        <f>'Table 3'!E27</f>
        <v>-7749988.9299999997</v>
      </c>
      <c r="K27" s="186">
        <f>'Table 3'!J27</f>
        <v>7749988.9299999997</v>
      </c>
      <c r="L27" s="186">
        <f>'Table 3'!N27</f>
        <v>0</v>
      </c>
      <c r="M27" s="186">
        <f>'Table 3'!R27</f>
        <v>0</v>
      </c>
      <c r="N27" s="186">
        <f t="shared" ref="N27:N30" si="8">K27+L27+M27</f>
        <v>7749988.9299999997</v>
      </c>
      <c r="O27" s="186">
        <f t="shared" ref="O27:O30" si="9">N27+J27</f>
        <v>0</v>
      </c>
      <c r="Q27" s="7"/>
      <c r="R27" s="7"/>
      <c r="S27" s="10"/>
    </row>
    <row r="28" spans="2:19" s="6" customFormat="1" ht="15.75" customHeight="1">
      <c r="B28" s="2" t="s">
        <v>280</v>
      </c>
      <c r="D28" s="66" t="s">
        <v>273</v>
      </c>
      <c r="E28" s="184">
        <f>SUMIFS('305 Inputs'!$G:$G,'305 Inputs'!$I:$I,$D28,'305 Inputs'!$C:$C,$D$12)</f>
        <v>0</v>
      </c>
      <c r="F28" s="184">
        <f>SUMIFS('305 Inputs'!$H:$H,'305 Inputs'!$J:$J,$D28,'305 Inputs'!$C:$C,$D$12)</f>
        <v>0</v>
      </c>
      <c r="G28" s="184">
        <v>0</v>
      </c>
      <c r="H28" s="184">
        <f t="shared" si="6"/>
        <v>0</v>
      </c>
      <c r="I28" s="185">
        <f t="shared" si="7"/>
        <v>0</v>
      </c>
      <c r="J28" s="186">
        <f>'Table 3'!E28</f>
        <v>4575740.38</v>
      </c>
      <c r="K28" s="186">
        <f>'Table 3'!J28</f>
        <v>-4575740.38</v>
      </c>
      <c r="L28" s="186">
        <f>'Table 3'!N28</f>
        <v>0</v>
      </c>
      <c r="M28" s="186">
        <f>'Table 3'!R28</f>
        <v>0</v>
      </c>
      <c r="N28" s="186">
        <f t="shared" si="8"/>
        <v>-4575740.38</v>
      </c>
      <c r="O28" s="186">
        <f t="shared" si="9"/>
        <v>0</v>
      </c>
      <c r="Q28" s="7"/>
      <c r="R28" s="7"/>
      <c r="S28" s="10"/>
    </row>
    <row r="29" spans="2:19" s="6" customFormat="1" ht="15.75" customHeight="1">
      <c r="B29" s="2" t="s">
        <v>276</v>
      </c>
      <c r="D29" s="66" t="s">
        <v>274</v>
      </c>
      <c r="E29" s="184">
        <f>SUMIFS('305 Inputs'!$G:$G,'305 Inputs'!$I:$I,$D29,'305 Inputs'!$C:$C,$D$12)</f>
        <v>0</v>
      </c>
      <c r="F29" s="184">
        <f>SUMIFS('305 Inputs'!$H:$H,'305 Inputs'!$J:$J,$D29,'305 Inputs'!$C:$C,$D$12)</f>
        <v>0</v>
      </c>
      <c r="G29" s="184">
        <v>0</v>
      </c>
      <c r="H29" s="184">
        <f t="shared" si="6"/>
        <v>0</v>
      </c>
      <c r="I29" s="185">
        <f t="shared" si="7"/>
        <v>0</v>
      </c>
      <c r="J29" s="186">
        <f>'Table 3'!E29</f>
        <v>176097.5</v>
      </c>
      <c r="K29" s="186">
        <f>'Table 3'!J29</f>
        <v>-176097.5</v>
      </c>
      <c r="L29" s="186">
        <f>'Table 3'!N29</f>
        <v>0</v>
      </c>
      <c r="M29" s="186">
        <f>'Table 3'!R29</f>
        <v>0</v>
      </c>
      <c r="N29" s="186">
        <f t="shared" si="8"/>
        <v>-176097.5</v>
      </c>
      <c r="O29" s="186">
        <f t="shared" si="9"/>
        <v>0</v>
      </c>
      <c r="Q29" s="7"/>
      <c r="R29" s="7"/>
      <c r="S29" s="10"/>
    </row>
    <row r="30" spans="2:19" s="6" customFormat="1" ht="15.75" customHeight="1">
      <c r="B30" s="2" t="s">
        <v>76</v>
      </c>
      <c r="D30" s="66" t="s">
        <v>140</v>
      </c>
      <c r="E30" s="184">
        <f>SUMIFS('305 Inputs'!$G:$G,'305 Inputs'!$I:$I,$D30,'305 Inputs'!$C:$C,$D$12)</f>
        <v>0</v>
      </c>
      <c r="F30" s="184">
        <f>SUMIFS('305 Inputs'!$H:$H,'305 Inputs'!$J:$J,$D30,'305 Inputs'!$C:$C,$D$12)</f>
        <v>0</v>
      </c>
      <c r="G30" s="184">
        <v>0</v>
      </c>
      <c r="H30" s="184">
        <f t="shared" si="6"/>
        <v>0</v>
      </c>
      <c r="I30" s="185">
        <f t="shared" si="7"/>
        <v>0</v>
      </c>
      <c r="J30" s="186">
        <f>'Table 3'!E30</f>
        <v>-525128.25</v>
      </c>
      <c r="K30" s="186">
        <f>'Table 3'!J30</f>
        <v>525128.25</v>
      </c>
      <c r="L30" s="186">
        <f>'Table 3'!N30</f>
        <v>0</v>
      </c>
      <c r="M30" s="186">
        <f>'Table 3'!R30</f>
        <v>0</v>
      </c>
      <c r="N30" s="186">
        <f t="shared" si="8"/>
        <v>525128.25</v>
      </c>
      <c r="O30" s="186">
        <f t="shared" si="9"/>
        <v>0</v>
      </c>
      <c r="Q30" s="7"/>
      <c r="R30" s="7"/>
      <c r="S30" s="10"/>
    </row>
    <row r="31" spans="2:19" s="6" customFormat="1" ht="15.75" customHeight="1">
      <c r="B31" s="2" t="s">
        <v>406</v>
      </c>
      <c r="D31" s="66" t="s">
        <v>407</v>
      </c>
      <c r="E31" s="184">
        <f>SUMIFS('305 Inputs'!$G:$G,'305 Inputs'!$I:$I,$D31,'305 Inputs'!$C:$C,$D$12)</f>
        <v>0</v>
      </c>
      <c r="F31" s="184">
        <f>SUMIFS('305 Inputs'!$H:$H,'305 Inputs'!$J:$J,$D31,'305 Inputs'!$C:$C,$D$12)</f>
        <v>0</v>
      </c>
      <c r="G31" s="184">
        <v>0</v>
      </c>
      <c r="H31" s="184">
        <f t="shared" si="6"/>
        <v>0</v>
      </c>
      <c r="I31" s="185">
        <f t="shared" si="7"/>
        <v>0</v>
      </c>
      <c r="J31" s="186">
        <f>'Table 3'!E31</f>
        <v>0</v>
      </c>
      <c r="K31" s="186">
        <f>'Table 3'!J31</f>
        <v>0</v>
      </c>
      <c r="L31" s="186">
        <f>'Table 3'!N31</f>
        <v>0</v>
      </c>
      <c r="M31" s="186">
        <f>'Table 3'!R31</f>
        <v>0</v>
      </c>
      <c r="N31" s="186">
        <f t="shared" ref="N31:N32" si="10">K31+L31+M31</f>
        <v>0</v>
      </c>
      <c r="O31" s="186">
        <f t="shared" ref="O31:O32" si="11">N31+J31</f>
        <v>0</v>
      </c>
      <c r="Q31" s="7"/>
      <c r="R31" s="7"/>
      <c r="S31" s="10"/>
    </row>
    <row r="32" spans="2:19" s="6" customFormat="1" ht="15.75" customHeight="1">
      <c r="B32" s="2" t="s">
        <v>405</v>
      </c>
      <c r="D32" s="66" t="s">
        <v>408</v>
      </c>
      <c r="E32" s="184">
        <f>SUMIFS('305 Inputs'!$G:$G,'305 Inputs'!$I:$I,$D32,'305 Inputs'!$C:$C,$D$12)</f>
        <v>0</v>
      </c>
      <c r="F32" s="184">
        <f>SUMIFS('305 Inputs'!$H:$H,'305 Inputs'!$J:$J,$D32,'305 Inputs'!$C:$C,$D$12)</f>
        <v>0</v>
      </c>
      <c r="G32" s="184">
        <v>0</v>
      </c>
      <c r="H32" s="184">
        <f t="shared" si="6"/>
        <v>0</v>
      </c>
      <c r="I32" s="185">
        <f t="shared" si="7"/>
        <v>0</v>
      </c>
      <c r="J32" s="186">
        <f>'Table 3'!E32</f>
        <v>-8795487.7699999996</v>
      </c>
      <c r="K32" s="186">
        <f>'Table 3'!J32</f>
        <v>8795487.7699999996</v>
      </c>
      <c r="L32" s="186">
        <f>'Table 3'!N32</f>
        <v>0</v>
      </c>
      <c r="M32" s="186">
        <f>'Table 3'!R32</f>
        <v>0</v>
      </c>
      <c r="N32" s="186">
        <f t="shared" si="10"/>
        <v>8795487.7699999996</v>
      </c>
      <c r="O32" s="186">
        <f t="shared" si="11"/>
        <v>0</v>
      </c>
      <c r="Q32" s="7"/>
      <c r="R32" s="7"/>
      <c r="S32" s="10"/>
    </row>
    <row r="33" spans="1:19" ht="15.75" customHeight="1">
      <c r="B33" s="6"/>
      <c r="D33" s="66"/>
      <c r="E33" s="181"/>
      <c r="F33" s="181"/>
      <c r="G33" s="181"/>
      <c r="H33" s="181"/>
      <c r="I33" s="182"/>
      <c r="J33" s="16"/>
      <c r="K33" s="16"/>
      <c r="L33" s="16"/>
      <c r="M33" s="16"/>
      <c r="N33" s="16"/>
      <c r="O33" s="16"/>
      <c r="Q33" s="7"/>
      <c r="R33" s="7"/>
      <c r="S33" s="10"/>
    </row>
    <row r="34" spans="1:19" s="6" customFormat="1" ht="15.75" customHeight="1">
      <c r="B34" s="2" t="s">
        <v>74</v>
      </c>
      <c r="D34" s="66" t="s">
        <v>141</v>
      </c>
      <c r="E34" s="184">
        <f>SUMIFS('305 Inputs'!$G:$G,'305 Inputs'!$I:$I,$D34,'305 Inputs'!$C:$C,$D$12)</f>
        <v>0</v>
      </c>
      <c r="F34" s="184">
        <f>SUMIFS('305 Inputs'!$H:$H,'305 Inputs'!$J:$J,$D34,'305 Inputs'!$C:$C,$D$12)</f>
        <v>58263000</v>
      </c>
      <c r="G34" s="184">
        <v>0</v>
      </c>
      <c r="H34" s="184">
        <f>G34</f>
        <v>0</v>
      </c>
      <c r="I34" s="185">
        <f>H34+F34</f>
        <v>58263000</v>
      </c>
      <c r="J34" s="186">
        <f>'Table 3'!E34</f>
        <v>3070000</v>
      </c>
      <c r="K34" s="186">
        <f>'Table 3'!J34</f>
        <v>-3070000</v>
      </c>
      <c r="L34" s="186">
        <f>'Table 3'!N34</f>
        <v>0</v>
      </c>
      <c r="M34" s="186">
        <f>'Table 3'!R34</f>
        <v>0</v>
      </c>
      <c r="N34" s="186">
        <f>K34+L34+M34</f>
        <v>-3070000</v>
      </c>
      <c r="O34" s="186">
        <f>N34+J34</f>
        <v>0</v>
      </c>
      <c r="Q34" s="7"/>
      <c r="R34" s="7"/>
      <c r="S34" s="10"/>
    </row>
    <row r="35" spans="1:19" ht="15.75" customHeight="1">
      <c r="D35" s="66"/>
      <c r="E35" s="188"/>
      <c r="F35" s="188"/>
      <c r="G35" s="188"/>
      <c r="H35" s="188"/>
      <c r="I35" s="189"/>
      <c r="J35" s="187"/>
      <c r="K35" s="187"/>
      <c r="L35" s="187"/>
      <c r="M35" s="187"/>
      <c r="N35" s="187"/>
      <c r="O35" s="5"/>
      <c r="Q35" s="7"/>
      <c r="R35" s="7"/>
      <c r="S35" s="10"/>
    </row>
    <row r="36" spans="1:19" ht="15.75" customHeight="1">
      <c r="B36" s="18" t="s">
        <v>8</v>
      </c>
      <c r="C36" s="19"/>
      <c r="D36" s="323"/>
      <c r="E36" s="190">
        <f t="shared" ref="E36:O36" si="12">+E20+E23+E25+SUM(E27:E34)</f>
        <v>113341.91666666701</v>
      </c>
      <c r="F36" s="190">
        <f t="shared" si="12"/>
        <v>1620702435</v>
      </c>
      <c r="G36" s="190">
        <f t="shared" si="12"/>
        <v>0</v>
      </c>
      <c r="H36" s="190">
        <f t="shared" si="12"/>
        <v>0</v>
      </c>
      <c r="I36" s="308">
        <f t="shared" si="12"/>
        <v>1620702435</v>
      </c>
      <c r="J36" s="202">
        <f t="shared" si="12"/>
        <v>124334265.18000001</v>
      </c>
      <c r="K36" s="191">
        <f t="shared" si="12"/>
        <v>27327573.820009999</v>
      </c>
      <c r="L36" s="191">
        <f t="shared" si="12"/>
        <v>0</v>
      </c>
      <c r="M36" s="191">
        <f t="shared" si="12"/>
        <v>0</v>
      </c>
      <c r="N36" s="191">
        <f t="shared" si="12"/>
        <v>27327573.820009999</v>
      </c>
      <c r="O36" s="191">
        <f t="shared" si="12"/>
        <v>151661839.00000995</v>
      </c>
      <c r="Q36" s="5"/>
      <c r="R36" s="5"/>
      <c r="S36" s="32"/>
    </row>
    <row r="37" spans="1:19" ht="15.75" customHeight="1">
      <c r="D37" s="66"/>
      <c r="E37" s="181"/>
      <c r="F37" s="181"/>
      <c r="G37" s="181"/>
      <c r="H37" s="181"/>
      <c r="I37" s="182"/>
      <c r="J37" s="16"/>
      <c r="K37" s="73"/>
      <c r="L37" s="73"/>
      <c r="M37" s="73"/>
      <c r="N37" s="73"/>
      <c r="O37" s="5"/>
      <c r="Q37" s="5"/>
      <c r="R37" s="5"/>
      <c r="S37" s="32"/>
    </row>
    <row r="38" spans="1:19" ht="15.75" customHeight="1">
      <c r="A38" s="3" t="s">
        <v>16</v>
      </c>
      <c r="B38" s="3"/>
      <c r="D38" s="155" t="s">
        <v>460</v>
      </c>
      <c r="E38" s="181"/>
      <c r="F38" s="181"/>
      <c r="G38" s="181"/>
      <c r="H38" s="181"/>
      <c r="I38" s="182"/>
      <c r="J38" s="16"/>
      <c r="K38" s="16"/>
      <c r="L38" s="16"/>
      <c r="M38" s="16"/>
      <c r="N38" s="16"/>
      <c r="O38" s="5"/>
      <c r="Q38" s="5"/>
      <c r="R38" s="5"/>
      <c r="S38" s="32"/>
    </row>
    <row r="39" spans="1:19" ht="15.75" customHeight="1">
      <c r="B39" s="198" t="s">
        <v>48</v>
      </c>
      <c r="D39" s="66">
        <v>24</v>
      </c>
      <c r="E39" s="17">
        <f>SUMIFS('305 Inputs'!$G:$G,'305 Inputs'!$J:$J,$D39,'305 Inputs'!$C:$C,$D$38)</f>
        <v>16156.916666666637</v>
      </c>
      <c r="F39" s="17">
        <f>SUMIFS('305 Inputs'!$H:$H,'305 Inputs'!$J:$J,$D39,'305 Inputs'!$C:$C,$D$38)</f>
        <v>495065986</v>
      </c>
      <c r="G39" s="17">
        <v>0</v>
      </c>
      <c r="H39" s="17">
        <f>G39</f>
        <v>0</v>
      </c>
      <c r="I39" s="183">
        <f>H39+F39</f>
        <v>495065986</v>
      </c>
      <c r="J39" s="16">
        <f>'Table 3'!E39</f>
        <v>44443416.000000007</v>
      </c>
      <c r="K39" s="16">
        <f>'Table 3'!J39</f>
        <v>1315474.3476574821</v>
      </c>
      <c r="L39" s="16">
        <f>'Table 3'!N39</f>
        <v>0</v>
      </c>
      <c r="M39" s="16">
        <f>'Table 3'!R39</f>
        <v>0</v>
      </c>
      <c r="N39" s="16">
        <f>K39+L39+M39</f>
        <v>1315474.3476574821</v>
      </c>
      <c r="O39" s="16">
        <f>N39+J39</f>
        <v>45758890.347657487</v>
      </c>
      <c r="Q39" s="5"/>
      <c r="R39" s="5"/>
      <c r="S39" s="32"/>
    </row>
    <row r="40" spans="1:19" s="6" customFormat="1" ht="15.75" customHeight="1">
      <c r="B40" s="198" t="s">
        <v>49</v>
      </c>
      <c r="D40" s="66" t="s">
        <v>137</v>
      </c>
      <c r="E40" s="17">
        <f>SUMIFS('305 Inputs'!$G:$G,'305 Inputs'!$J:$J,$D40,'305 Inputs'!$C:$C,$D$38)</f>
        <v>109.74999999999967</v>
      </c>
      <c r="F40" s="17">
        <f>SUMIFS('305 Inputs'!$H:$H,'305 Inputs'!$J:$J,$D40,'305 Inputs'!$C:$C,$D$38)</f>
        <v>1225679</v>
      </c>
      <c r="G40" s="17">
        <v>0</v>
      </c>
      <c r="H40" s="17">
        <f>G40</f>
        <v>0</v>
      </c>
      <c r="I40" s="183">
        <f>H40+F40</f>
        <v>1225679</v>
      </c>
      <c r="J40" s="16">
        <f>'Table 3'!E40</f>
        <v>166469.92000000001</v>
      </c>
      <c r="K40" s="16">
        <f>'Table 3'!J40</f>
        <v>-2111.5311798986527</v>
      </c>
      <c r="L40" s="16">
        <f>'Table 3'!N40</f>
        <v>0</v>
      </c>
      <c r="M40" s="16">
        <f>'Table 3'!R40</f>
        <v>0</v>
      </c>
      <c r="N40" s="16">
        <f>K40+L40+M40</f>
        <v>-2111.5311798986527</v>
      </c>
      <c r="O40" s="16">
        <f>N40+J40</f>
        <v>164358.38882010136</v>
      </c>
      <c r="Q40" s="7"/>
      <c r="R40" s="7"/>
      <c r="S40" s="10"/>
    </row>
    <row r="41" spans="1:19" ht="15.75" customHeight="1">
      <c r="B41" s="198" t="s">
        <v>54</v>
      </c>
      <c r="D41" s="66" t="s">
        <v>144</v>
      </c>
      <c r="E41" s="184">
        <f>SUMIFS('305 Inputs'!$G:$G,'305 Inputs'!$J:$J,$D41,'305 Inputs'!$C:$C,$D$38)</f>
        <v>70.5</v>
      </c>
      <c r="F41" s="184">
        <f>SUMIFS('305 Inputs'!$H:$H,'305 Inputs'!$J:$J,$D41,'305 Inputs'!$C:$C,$D$38)</f>
        <v>875776</v>
      </c>
      <c r="G41" s="184">
        <v>0</v>
      </c>
      <c r="H41" s="184">
        <f>G41</f>
        <v>0</v>
      </c>
      <c r="I41" s="185">
        <f>H41+F41</f>
        <v>875776</v>
      </c>
      <c r="J41" s="186">
        <f>'Table 3'!E41</f>
        <v>121960.01</v>
      </c>
      <c r="K41" s="186">
        <f>'Table 3'!J41</f>
        <v>4741.6349257051879</v>
      </c>
      <c r="L41" s="186">
        <f>'Table 3'!N41</f>
        <v>0</v>
      </c>
      <c r="M41" s="186">
        <f>'Table 3'!R41</f>
        <v>0</v>
      </c>
      <c r="N41" s="186">
        <f>K41+L41+M41</f>
        <v>4741.6349257051879</v>
      </c>
      <c r="O41" s="186">
        <f>N41+J41</f>
        <v>126701.64492570519</v>
      </c>
      <c r="Q41" s="5"/>
      <c r="R41" s="5"/>
      <c r="S41" s="32"/>
    </row>
    <row r="42" spans="1:19" ht="15.75" customHeight="1">
      <c r="B42" s="2" t="s">
        <v>33</v>
      </c>
      <c r="D42" s="66"/>
      <c r="E42" s="17">
        <f>SUM(E39:E41)</f>
        <v>16337.166666666637</v>
      </c>
      <c r="F42" s="17">
        <f>SUM(F39:F41)</f>
        <v>497167441</v>
      </c>
      <c r="G42" s="17">
        <f t="shared" ref="G42:O42" si="13">SUM(G39:G41)</f>
        <v>0</v>
      </c>
      <c r="H42" s="17">
        <f t="shared" si="13"/>
        <v>0</v>
      </c>
      <c r="I42" s="183">
        <f t="shared" si="13"/>
        <v>497167441</v>
      </c>
      <c r="J42" s="17">
        <f t="shared" si="13"/>
        <v>44731845.930000007</v>
      </c>
      <c r="K42" s="17">
        <f t="shared" si="13"/>
        <v>1318104.4514032886</v>
      </c>
      <c r="L42" s="17">
        <f t="shared" si="13"/>
        <v>0</v>
      </c>
      <c r="M42" s="17">
        <f>SUM(M39:M41)</f>
        <v>0</v>
      </c>
      <c r="N42" s="17">
        <f t="shared" si="13"/>
        <v>1318104.4514032886</v>
      </c>
      <c r="O42" s="17">
        <f t="shared" si="13"/>
        <v>46049950.381403297</v>
      </c>
      <c r="S42" s="32"/>
    </row>
    <row r="43" spans="1:19" ht="15.75" customHeight="1">
      <c r="D43" s="66"/>
      <c r="E43" s="181"/>
      <c r="F43" s="181"/>
      <c r="G43" s="181"/>
      <c r="H43" s="181"/>
      <c r="I43" s="182" t="s">
        <v>29</v>
      </c>
      <c r="J43" s="16"/>
      <c r="K43" s="16"/>
      <c r="L43" s="16"/>
      <c r="M43" s="16"/>
      <c r="N43" s="16"/>
      <c r="O43" s="5"/>
      <c r="Q43" s="5"/>
      <c r="R43" s="5"/>
      <c r="S43" s="32"/>
    </row>
    <row r="44" spans="1:19" ht="15.75" customHeight="1">
      <c r="B44" s="198" t="s">
        <v>50</v>
      </c>
      <c r="D44" s="66">
        <v>36</v>
      </c>
      <c r="E44" s="184">
        <f>SUMIFS('305 Inputs'!$G:$G,'305 Inputs'!$J:$J,$D44,'305 Inputs'!$C:$C,$D$38)</f>
        <v>969.66666666666629</v>
      </c>
      <c r="F44" s="184">
        <f>SUMIFS('305 Inputs'!$H:$H,'305 Inputs'!$J:$J,$D44,'305 Inputs'!$C:$C,$D$38)</f>
        <v>829507994</v>
      </c>
      <c r="G44" s="184">
        <v>0</v>
      </c>
      <c r="H44" s="184">
        <f>G44</f>
        <v>0</v>
      </c>
      <c r="I44" s="185">
        <f>H44+F44</f>
        <v>829507994</v>
      </c>
      <c r="J44" s="186">
        <f>'Table 3'!E44</f>
        <v>62528098.890000001</v>
      </c>
      <c r="K44" s="186">
        <f>'Table 3'!J44</f>
        <v>2742215.6989677669</v>
      </c>
      <c r="L44" s="186">
        <f>'Table 3'!N44</f>
        <v>0</v>
      </c>
      <c r="M44" s="186">
        <f>'Table 3'!R44</f>
        <v>0</v>
      </c>
      <c r="N44" s="186">
        <f>K44+L44+M44</f>
        <v>2742215.6989677669</v>
      </c>
      <c r="O44" s="186">
        <f>N44+J44</f>
        <v>65270314.58896777</v>
      </c>
      <c r="Q44" s="5"/>
      <c r="R44" s="5"/>
      <c r="S44" s="32"/>
    </row>
    <row r="45" spans="1:19" ht="15.75" customHeight="1">
      <c r="B45" s="2" t="s">
        <v>33</v>
      </c>
      <c r="D45" s="66"/>
      <c r="E45" s="17">
        <f>SUM(E44:E44)</f>
        <v>969.66666666666629</v>
      </c>
      <c r="F45" s="17">
        <f>SUM(F44:F44)</f>
        <v>829507994</v>
      </c>
      <c r="G45" s="17">
        <f t="shared" ref="G45:O45" si="14">SUM(G44)</f>
        <v>0</v>
      </c>
      <c r="H45" s="17">
        <f t="shared" si="14"/>
        <v>0</v>
      </c>
      <c r="I45" s="183">
        <f t="shared" si="14"/>
        <v>829507994</v>
      </c>
      <c r="J45" s="16">
        <f t="shared" si="14"/>
        <v>62528098.890000001</v>
      </c>
      <c r="K45" s="16">
        <f t="shared" si="14"/>
        <v>2742215.6989677669</v>
      </c>
      <c r="L45" s="16">
        <f>SUM(L44:L44)</f>
        <v>0</v>
      </c>
      <c r="M45" s="16">
        <f>SUM(M44:M44)</f>
        <v>0</v>
      </c>
      <c r="N45" s="16">
        <f t="shared" si="14"/>
        <v>2742215.6989677669</v>
      </c>
      <c r="O45" s="16">
        <f t="shared" si="14"/>
        <v>65270314.58896777</v>
      </c>
      <c r="Q45" s="5"/>
      <c r="R45" s="5"/>
      <c r="S45" s="32"/>
    </row>
    <row r="46" spans="1:19" ht="15.75" customHeight="1">
      <c r="D46" s="66"/>
      <c r="E46" s="181"/>
      <c r="F46" s="181"/>
      <c r="G46" s="181" t="s">
        <v>29</v>
      </c>
      <c r="H46" s="181" t="s">
        <v>29</v>
      </c>
      <c r="I46" s="182" t="s">
        <v>29</v>
      </c>
      <c r="J46" s="16" t="s">
        <v>29</v>
      </c>
      <c r="K46" s="16" t="s">
        <v>29</v>
      </c>
      <c r="L46" s="16" t="s">
        <v>29</v>
      </c>
      <c r="M46" s="16" t="s">
        <v>29</v>
      </c>
      <c r="N46" s="16"/>
      <c r="O46" s="16" t="s">
        <v>29</v>
      </c>
      <c r="Q46" s="5"/>
      <c r="R46" s="5"/>
      <c r="S46" s="32"/>
    </row>
    <row r="47" spans="1:19" ht="15.75" customHeight="1">
      <c r="B47" s="198" t="s">
        <v>51</v>
      </c>
      <c r="C47" s="6"/>
      <c r="D47" s="66" t="s">
        <v>143</v>
      </c>
      <c r="E47" s="184">
        <f>SUMIFS('305 Inputs'!$G:$G,'305 Inputs'!$J:$J,$D47,'305 Inputs'!$C:$C,$D$38)</f>
        <v>39.3333333333333</v>
      </c>
      <c r="F47" s="184">
        <f>SUMIFS('305 Inputs'!$H:$H,'305 Inputs'!$J:$J,$D47,'305 Inputs'!$C:$C,$D$38)</f>
        <v>195881120</v>
      </c>
      <c r="G47" s="184">
        <v>0</v>
      </c>
      <c r="H47" s="184">
        <f>G47</f>
        <v>0</v>
      </c>
      <c r="I47" s="185">
        <f>H47+F47</f>
        <v>195881120</v>
      </c>
      <c r="J47" s="186">
        <f>'Table 3'!E47</f>
        <v>14306332.110000001</v>
      </c>
      <c r="K47" s="186">
        <f>'Table 3'!J47</f>
        <v>19465.164695807471</v>
      </c>
      <c r="L47" s="186">
        <f>'Table 3'!N47</f>
        <v>0</v>
      </c>
      <c r="M47" s="186">
        <f>'Table 3'!R47</f>
        <v>0</v>
      </c>
      <c r="N47" s="186">
        <f>K47+L47+M47</f>
        <v>19465.164695807471</v>
      </c>
      <c r="O47" s="186">
        <f>N47+J47</f>
        <v>14325797.274695808</v>
      </c>
      <c r="S47" s="32"/>
    </row>
    <row r="48" spans="1:19" ht="15.75" customHeight="1">
      <c r="B48" s="2" t="s">
        <v>33</v>
      </c>
      <c r="D48" s="66"/>
      <c r="E48" s="17">
        <f>SUM(E47)</f>
        <v>39.3333333333333</v>
      </c>
      <c r="F48" s="17">
        <f>SUM(F47)</f>
        <v>195881120</v>
      </c>
      <c r="G48" s="17">
        <f t="shared" ref="G48:O48" si="15">SUM(G47)</f>
        <v>0</v>
      </c>
      <c r="H48" s="17">
        <f t="shared" si="15"/>
        <v>0</v>
      </c>
      <c r="I48" s="183">
        <f t="shared" si="15"/>
        <v>195881120</v>
      </c>
      <c r="J48" s="16">
        <f t="shared" si="15"/>
        <v>14306332.110000001</v>
      </c>
      <c r="K48" s="16">
        <f t="shared" si="15"/>
        <v>19465.164695807471</v>
      </c>
      <c r="L48" s="16">
        <f t="shared" si="15"/>
        <v>0</v>
      </c>
      <c r="M48" s="16">
        <f>SUM(M47)</f>
        <v>0</v>
      </c>
      <c r="N48" s="16">
        <f t="shared" si="15"/>
        <v>19465.164695807471</v>
      </c>
      <c r="O48" s="16">
        <f t="shared" si="15"/>
        <v>14325797.274695808</v>
      </c>
      <c r="Q48" s="5"/>
      <c r="R48" s="5"/>
      <c r="S48" s="32"/>
    </row>
    <row r="49" spans="2:19" ht="15.75" customHeight="1">
      <c r="D49" s="66"/>
      <c r="E49" s="181"/>
      <c r="F49" s="181"/>
      <c r="G49" s="181" t="s">
        <v>29</v>
      </c>
      <c r="H49" s="181" t="s">
        <v>29</v>
      </c>
      <c r="I49" s="182" t="s">
        <v>29</v>
      </c>
      <c r="J49" s="16" t="s">
        <v>29</v>
      </c>
      <c r="K49" s="16" t="s">
        <v>29</v>
      </c>
      <c r="L49" s="16" t="s">
        <v>29</v>
      </c>
      <c r="M49" s="16" t="s">
        <v>29</v>
      </c>
      <c r="N49" s="16"/>
      <c r="O49" s="16" t="s">
        <v>29</v>
      </c>
      <c r="Q49" s="5"/>
      <c r="R49" s="5"/>
      <c r="S49" s="32"/>
    </row>
    <row r="50" spans="2:19" ht="15.75" customHeight="1">
      <c r="B50" s="198" t="s">
        <v>52</v>
      </c>
      <c r="D50" s="66" t="s">
        <v>139</v>
      </c>
      <c r="E50" s="17">
        <f>SUMIFS('305 Inputs'!$G:$G,'305 Inputs'!$J:$J,$D50,'305 Inputs'!$C:$C,$D$38)</f>
        <v>1228.5</v>
      </c>
      <c r="F50" s="17">
        <f>SUMIFS('305 Inputs'!$H:$H,'305 Inputs'!$J:$J,$D50,'305 Inputs'!$C:$C,$D$38)</f>
        <v>1912397</v>
      </c>
      <c r="G50" s="17">
        <v>0</v>
      </c>
      <c r="H50" s="17">
        <f>G50</f>
        <v>0</v>
      </c>
      <c r="I50" s="183">
        <f>H50+F50</f>
        <v>1912397</v>
      </c>
      <c r="J50" s="16">
        <f>'Table 3'!E50</f>
        <v>281190.39</v>
      </c>
      <c r="K50" s="16">
        <f>'Table 3'!J50</f>
        <v>3045.3703638145953</v>
      </c>
      <c r="L50" s="16">
        <f>'Table 3'!N50</f>
        <v>0</v>
      </c>
      <c r="M50" s="16">
        <f>'Table 3'!R50</f>
        <v>0</v>
      </c>
      <c r="N50" s="16">
        <f>K50+L50+M50</f>
        <v>3045.3703638145953</v>
      </c>
      <c r="O50" s="16">
        <f>N50+J50</f>
        <v>284235.7603638146</v>
      </c>
      <c r="Q50" s="5"/>
      <c r="R50" s="5"/>
      <c r="S50" s="32"/>
    </row>
    <row r="51" spans="2:19" ht="15.75" customHeight="1">
      <c r="B51" s="198" t="s">
        <v>53</v>
      </c>
      <c r="D51" s="66">
        <v>54</v>
      </c>
      <c r="E51" s="184">
        <f>SUMIFS('305 Inputs'!$G:$G,'305 Inputs'!$J:$J,$D51,'305 Inputs'!$C:$C,$D$38)</f>
        <v>26.6666666666667</v>
      </c>
      <c r="F51" s="184">
        <f>SUMIFS('305 Inputs'!$H:$H,'305 Inputs'!$J:$J,$D51,'305 Inputs'!$C:$C,$D$38)</f>
        <v>259795</v>
      </c>
      <c r="G51" s="184">
        <v>0</v>
      </c>
      <c r="H51" s="184">
        <f>G51</f>
        <v>0</v>
      </c>
      <c r="I51" s="185">
        <f>H51+F51</f>
        <v>259795</v>
      </c>
      <c r="J51" s="186">
        <f>'Table 3'!E51</f>
        <v>23704.91</v>
      </c>
      <c r="K51" s="186">
        <f>'Table 3'!J51</f>
        <v>102.27410731558405</v>
      </c>
      <c r="L51" s="186">
        <f>'Table 3'!N51</f>
        <v>0</v>
      </c>
      <c r="M51" s="186">
        <f>'Table 3'!R51</f>
        <v>0</v>
      </c>
      <c r="N51" s="186">
        <f>K51+L51+M51</f>
        <v>102.27410731558405</v>
      </c>
      <c r="O51" s="186">
        <f>N51+J51</f>
        <v>23807.184107315585</v>
      </c>
      <c r="Q51" s="5"/>
      <c r="R51" s="5"/>
      <c r="S51" s="32"/>
    </row>
    <row r="52" spans="2:19" ht="15.75" customHeight="1">
      <c r="B52" s="2" t="s">
        <v>33</v>
      </c>
      <c r="D52" s="66"/>
      <c r="E52" s="17">
        <f>SUM(E50:E51)</f>
        <v>1255.1666666666667</v>
      </c>
      <c r="F52" s="17">
        <f>SUM(F50:F51)</f>
        <v>2172192</v>
      </c>
      <c r="G52" s="17">
        <f t="shared" ref="G52:O52" si="16">SUM(G50:G51)</f>
        <v>0</v>
      </c>
      <c r="H52" s="17">
        <f t="shared" si="16"/>
        <v>0</v>
      </c>
      <c r="I52" s="183">
        <f t="shared" si="16"/>
        <v>2172192</v>
      </c>
      <c r="J52" s="16">
        <f t="shared" si="16"/>
        <v>304895.3</v>
      </c>
      <c r="K52" s="16">
        <f t="shared" si="16"/>
        <v>3147.6444711301792</v>
      </c>
      <c r="L52" s="16">
        <f t="shared" si="16"/>
        <v>0</v>
      </c>
      <c r="M52" s="16">
        <f>SUM(M50:M51)</f>
        <v>0</v>
      </c>
      <c r="N52" s="16">
        <f t="shared" si="16"/>
        <v>3147.6444711301792</v>
      </c>
      <c r="O52" s="16">
        <f t="shared" si="16"/>
        <v>308042.94447113021</v>
      </c>
      <c r="S52" s="32"/>
    </row>
    <row r="53" spans="2:19" ht="15.75" customHeight="1">
      <c r="D53" s="66"/>
      <c r="E53" s="181"/>
      <c r="F53" s="181"/>
      <c r="G53" s="181" t="s">
        <v>29</v>
      </c>
      <c r="H53" s="181" t="s">
        <v>29</v>
      </c>
      <c r="I53" s="182" t="s">
        <v>29</v>
      </c>
      <c r="J53" s="16" t="s">
        <v>29</v>
      </c>
      <c r="K53" s="16" t="s">
        <v>29</v>
      </c>
      <c r="L53" s="16" t="s">
        <v>29</v>
      </c>
      <c r="M53" s="16" t="s">
        <v>29</v>
      </c>
      <c r="N53" s="16"/>
      <c r="O53" s="5"/>
      <c r="Q53" s="5"/>
      <c r="R53" s="5"/>
      <c r="S53" s="32"/>
    </row>
    <row r="54" spans="2:19" s="6" customFormat="1" ht="15.75" customHeight="1">
      <c r="B54" s="2" t="s">
        <v>32</v>
      </c>
      <c r="D54" s="66" t="s">
        <v>138</v>
      </c>
      <c r="E54" s="184">
        <f>SUMIFS('305 Inputs'!$G:$G,'305 Inputs'!$I:$I,$D54,'305 Inputs'!$C:$C,$D$38)</f>
        <v>0</v>
      </c>
      <c r="F54" s="184">
        <f>SUMIFS('305 Inputs'!$H:$H,'305 Inputs'!$J:$J,$D54,'305 Inputs'!$C:$C,$D$38)</f>
        <v>0</v>
      </c>
      <c r="G54" s="184">
        <v>0</v>
      </c>
      <c r="H54" s="184">
        <f>G54</f>
        <v>0</v>
      </c>
      <c r="I54" s="185">
        <f>H54+F54</f>
        <v>0</v>
      </c>
      <c r="J54" s="186">
        <f>'Table 3'!E54</f>
        <v>589888.98</v>
      </c>
      <c r="K54" s="186">
        <f>'Table 3'!J54</f>
        <v>0</v>
      </c>
      <c r="L54" s="186">
        <f>'Table 3'!N54</f>
        <v>0</v>
      </c>
      <c r="M54" s="186">
        <f>'Table 3'!R54</f>
        <v>0</v>
      </c>
      <c r="N54" s="186">
        <f>K54+L54+M54</f>
        <v>0</v>
      </c>
      <c r="O54" s="186">
        <f>N54+J54</f>
        <v>589888.98</v>
      </c>
      <c r="Q54" s="7"/>
      <c r="R54" s="7"/>
      <c r="S54" s="10"/>
    </row>
    <row r="55" spans="2:19" s="6" customFormat="1" ht="15.75" customHeight="1">
      <c r="B55" s="2"/>
      <c r="D55" s="66"/>
      <c r="E55" s="184"/>
      <c r="F55" s="184"/>
      <c r="G55" s="184"/>
      <c r="H55" s="184"/>
      <c r="I55" s="185"/>
      <c r="J55" s="186"/>
      <c r="K55" s="186"/>
      <c r="L55" s="186"/>
      <c r="M55" s="186"/>
      <c r="N55" s="186"/>
      <c r="O55" s="186"/>
      <c r="Q55" s="7"/>
      <c r="R55" s="7"/>
      <c r="S55" s="10"/>
    </row>
    <row r="56" spans="2:19" ht="15.75" customHeight="1">
      <c r="B56" s="2" t="s">
        <v>235</v>
      </c>
      <c r="D56" s="66" t="s">
        <v>203</v>
      </c>
      <c r="E56" s="184">
        <f>SUMIFS('305 Inputs'!$G:$G,'305 Inputs'!$I:$I,$D56,'305 Inputs'!$C:$C,$D$38)</f>
        <v>0</v>
      </c>
      <c r="F56" s="184">
        <f>SUMIFS('305 Inputs'!$H:$H,'305 Inputs'!$J:$J,$D56,'305 Inputs'!$C:$C,$D$38)</f>
        <v>0</v>
      </c>
      <c r="G56" s="184">
        <v>0</v>
      </c>
      <c r="H56" s="184">
        <f t="shared" ref="H56:H59" si="17">G56</f>
        <v>0</v>
      </c>
      <c r="I56" s="185">
        <f t="shared" ref="I56:I59" si="18">H56+F56</f>
        <v>0</v>
      </c>
      <c r="J56" s="186">
        <f>'Table 3'!E56</f>
        <v>-7352379.21</v>
      </c>
      <c r="K56" s="186">
        <f>'Table 3'!J56</f>
        <v>7352379.21</v>
      </c>
      <c r="L56" s="186">
        <f>'Table 3'!N56</f>
        <v>0</v>
      </c>
      <c r="M56" s="186">
        <f>'Table 3'!R56</f>
        <v>0</v>
      </c>
      <c r="N56" s="186">
        <f t="shared" ref="N56:N59" si="19">K56+L56+M56</f>
        <v>7352379.21</v>
      </c>
      <c r="O56" s="186">
        <f t="shared" ref="O56:O59" si="20">N56+J56</f>
        <v>0</v>
      </c>
      <c r="Q56" s="5"/>
      <c r="R56" s="5"/>
      <c r="S56" s="32"/>
    </row>
    <row r="57" spans="2:19" s="6" customFormat="1" ht="15.75" customHeight="1">
      <c r="B57" s="2" t="s">
        <v>280</v>
      </c>
      <c r="D57" s="66" t="s">
        <v>273</v>
      </c>
      <c r="E57" s="184">
        <f>SUMIFS('305 Inputs'!$G:$G,'305 Inputs'!$I:$I,$D57,'305 Inputs'!$C:$C,$D$38)</f>
        <v>0</v>
      </c>
      <c r="F57" s="184">
        <f>SUMIFS('305 Inputs'!$H:$H,'305 Inputs'!$J:$J,$D57,'305 Inputs'!$C:$C,$D$38)</f>
        <v>0</v>
      </c>
      <c r="G57" s="184">
        <v>0</v>
      </c>
      <c r="H57" s="184">
        <f t="shared" si="17"/>
        <v>0</v>
      </c>
      <c r="I57" s="185">
        <f t="shared" si="18"/>
        <v>0</v>
      </c>
      <c r="J57" s="186">
        <f>'Table 3'!E57</f>
        <v>3896022.27</v>
      </c>
      <c r="K57" s="186">
        <f>'Table 3'!J57</f>
        <v>-3896022.27</v>
      </c>
      <c r="L57" s="186">
        <f>'Table 3'!N57</f>
        <v>0</v>
      </c>
      <c r="M57" s="186">
        <f>'Table 3'!R57</f>
        <v>0</v>
      </c>
      <c r="N57" s="186">
        <f t="shared" si="19"/>
        <v>-3896022.27</v>
      </c>
      <c r="O57" s="186">
        <f t="shared" si="20"/>
        <v>0</v>
      </c>
      <c r="Q57" s="7"/>
      <c r="R57" s="7"/>
      <c r="S57" s="10"/>
    </row>
    <row r="58" spans="2:19" s="6" customFormat="1" ht="15.75" customHeight="1">
      <c r="B58" s="2" t="s">
        <v>276</v>
      </c>
      <c r="D58" s="66" t="s">
        <v>274</v>
      </c>
      <c r="E58" s="184">
        <v>0</v>
      </c>
      <c r="F58" s="184">
        <f>SUMIFS('305 Inputs'!$H:$H,'305 Inputs'!$J:$J,$D58,'305 Inputs'!$C:$C,$D$38)</f>
        <v>0</v>
      </c>
      <c r="G58" s="184">
        <v>0</v>
      </c>
      <c r="H58" s="184">
        <f t="shared" si="17"/>
        <v>0</v>
      </c>
      <c r="I58" s="185">
        <f t="shared" si="18"/>
        <v>0</v>
      </c>
      <c r="J58" s="186">
        <f>'Table 3'!E58</f>
        <v>24654.6</v>
      </c>
      <c r="K58" s="186">
        <f>'Table 3'!J58</f>
        <v>-24654.6</v>
      </c>
      <c r="L58" s="186">
        <f>'Table 3'!N58</f>
        <v>0</v>
      </c>
      <c r="M58" s="186">
        <f>'Table 3'!R58</f>
        <v>0</v>
      </c>
      <c r="N58" s="186">
        <f t="shared" si="19"/>
        <v>-24654.6</v>
      </c>
      <c r="O58" s="186">
        <f t="shared" si="20"/>
        <v>0</v>
      </c>
      <c r="Q58" s="7"/>
      <c r="R58" s="7"/>
      <c r="S58" s="10"/>
    </row>
    <row r="59" spans="2:19" s="6" customFormat="1" ht="15.75" customHeight="1">
      <c r="B59" s="2" t="s">
        <v>88</v>
      </c>
      <c r="D59" s="66" t="s">
        <v>140</v>
      </c>
      <c r="E59" s="184">
        <f>SUMIFS('305 Inputs'!$G:$G,'305 Inputs'!$I:$I,$D59,'305 Inputs'!$C:$C,$D$38)</f>
        <v>0</v>
      </c>
      <c r="F59" s="184">
        <f>SUMIFS('305 Inputs'!$H:$H,'305 Inputs'!$J:$J,$D59,'305 Inputs'!$C:$C,$D$38)</f>
        <v>0</v>
      </c>
      <c r="G59" s="184">
        <v>0</v>
      </c>
      <c r="H59" s="184">
        <f t="shared" si="17"/>
        <v>0</v>
      </c>
      <c r="I59" s="185">
        <f t="shared" si="18"/>
        <v>0</v>
      </c>
      <c r="J59" s="186">
        <f>'Table 3'!E59</f>
        <v>-21879.03</v>
      </c>
      <c r="K59" s="186">
        <f>'Table 3'!J59</f>
        <v>21879.03</v>
      </c>
      <c r="L59" s="186">
        <f>'Table 3'!N59</f>
        <v>0</v>
      </c>
      <c r="M59" s="186">
        <f>'Table 3'!R59</f>
        <v>0</v>
      </c>
      <c r="N59" s="186">
        <f t="shared" si="19"/>
        <v>21879.03</v>
      </c>
      <c r="O59" s="186">
        <f t="shared" si="20"/>
        <v>0</v>
      </c>
      <c r="Q59" s="7"/>
      <c r="R59" s="7"/>
      <c r="S59" s="10"/>
    </row>
    <row r="60" spans="2:19" s="6" customFormat="1" ht="15.75" customHeight="1">
      <c r="B60" s="2" t="s">
        <v>406</v>
      </c>
      <c r="D60" s="66" t="s">
        <v>407</v>
      </c>
      <c r="E60" s="184">
        <f>SUMIFS('305 Inputs'!$G:$G,'305 Inputs'!$I:$I,$D60,'305 Inputs'!$C:$C,$D$38)</f>
        <v>0</v>
      </c>
      <c r="F60" s="184">
        <f>SUMIFS('305 Inputs'!$H:$H,'305 Inputs'!$J:$J,$D60,'305 Inputs'!$C:$C,$D$38)</f>
        <v>0</v>
      </c>
      <c r="G60" s="184">
        <v>0</v>
      </c>
      <c r="H60" s="184">
        <f t="shared" ref="H60:H61" si="21">G60</f>
        <v>0</v>
      </c>
      <c r="I60" s="185">
        <f t="shared" ref="I60:I61" si="22">H60+F60</f>
        <v>0</v>
      </c>
      <c r="J60" s="186">
        <f>'Table 3'!E60</f>
        <v>0</v>
      </c>
      <c r="K60" s="186">
        <f>'Table 3'!J60</f>
        <v>0</v>
      </c>
      <c r="L60" s="186">
        <f>'Table 3'!N60</f>
        <v>0</v>
      </c>
      <c r="M60" s="186">
        <f>'Table 3'!R60</f>
        <v>0</v>
      </c>
      <c r="N60" s="186">
        <f t="shared" ref="N60:N61" si="23">K60+L60+M60</f>
        <v>0</v>
      </c>
      <c r="O60" s="186">
        <f t="shared" ref="O60:O61" si="24">N60+J60</f>
        <v>0</v>
      </c>
      <c r="Q60" s="7"/>
      <c r="R60" s="7"/>
      <c r="S60" s="10"/>
    </row>
    <row r="61" spans="2:19" s="6" customFormat="1" ht="15.75" customHeight="1">
      <c r="B61" s="2" t="s">
        <v>405</v>
      </c>
      <c r="D61" s="66" t="s">
        <v>408</v>
      </c>
      <c r="E61" s="184">
        <f>SUMIFS('305 Inputs'!$G:$G,'305 Inputs'!$I:$I,$D61,'305 Inputs'!$C:$C,$D$38)</f>
        <v>0</v>
      </c>
      <c r="F61" s="184">
        <f>SUMIFS('305 Inputs'!$H:$H,'305 Inputs'!$J:$J,$D61,'305 Inputs'!$C:$C,$D$38)</f>
        <v>0</v>
      </c>
      <c r="G61" s="184">
        <v>0</v>
      </c>
      <c r="H61" s="184">
        <f t="shared" si="21"/>
        <v>0</v>
      </c>
      <c r="I61" s="185">
        <f t="shared" si="22"/>
        <v>0</v>
      </c>
      <c r="J61" s="186">
        <f>'Table 3'!E61</f>
        <v>-7659430.7599999998</v>
      </c>
      <c r="K61" s="186">
        <f>'Table 3'!J61</f>
        <v>7659430.7599999998</v>
      </c>
      <c r="L61" s="186">
        <f>'Table 3'!N61</f>
        <v>0</v>
      </c>
      <c r="M61" s="186">
        <f>'Table 3'!R61</f>
        <v>0</v>
      </c>
      <c r="N61" s="186">
        <f t="shared" si="23"/>
        <v>7659430.7599999998</v>
      </c>
      <c r="O61" s="186">
        <f t="shared" si="24"/>
        <v>0</v>
      </c>
      <c r="Q61" s="7"/>
      <c r="R61" s="7"/>
      <c r="S61" s="10"/>
    </row>
    <row r="62" spans="2:19" ht="15.75" customHeight="1">
      <c r="B62" s="6"/>
      <c r="D62" s="66"/>
      <c r="E62" s="181"/>
      <c r="F62" s="181"/>
      <c r="G62" s="181"/>
      <c r="H62" s="181"/>
      <c r="I62" s="182"/>
      <c r="J62" s="16"/>
      <c r="K62" s="73"/>
      <c r="L62" s="16"/>
      <c r="M62" s="16"/>
      <c r="N62" s="16"/>
      <c r="O62" s="16"/>
      <c r="Q62" s="5"/>
      <c r="R62" s="5"/>
      <c r="S62" s="32"/>
    </row>
    <row r="63" spans="2:19" s="6" customFormat="1" ht="15.75" customHeight="1">
      <c r="B63" s="2" t="s">
        <v>74</v>
      </c>
      <c r="D63" s="66" t="s">
        <v>141</v>
      </c>
      <c r="E63" s="184">
        <f>SUMIFS('305 Inputs'!$G:$G,'305 Inputs'!$I:$I,$D63,'305 Inputs'!$C:$C,$D$38)</f>
        <v>0</v>
      </c>
      <c r="F63" s="184">
        <f>SUMIFS('305 Inputs'!$H:$H,'305 Inputs'!$J:$J,$D63,'305 Inputs'!$C:$C,$D$38)</f>
        <v>-12301000</v>
      </c>
      <c r="G63" s="184">
        <v>0</v>
      </c>
      <c r="H63" s="184">
        <f>G63</f>
        <v>0</v>
      </c>
      <c r="I63" s="185">
        <f>H63+F63</f>
        <v>-12301000</v>
      </c>
      <c r="J63" s="186">
        <f>'Table 3'!E63</f>
        <v>-1552000</v>
      </c>
      <c r="K63" s="186">
        <f>'Table 3'!J63</f>
        <v>1551999.9999999998</v>
      </c>
      <c r="L63" s="186">
        <f>'Table 3'!N63</f>
        <v>0</v>
      </c>
      <c r="M63" s="186">
        <f>'Table 3'!R63</f>
        <v>0</v>
      </c>
      <c r="N63" s="186">
        <f>K63+L63+M63</f>
        <v>1551999.9999999998</v>
      </c>
      <c r="O63" s="186">
        <f>N63+J63</f>
        <v>0</v>
      </c>
      <c r="Q63" s="7"/>
      <c r="R63" s="7"/>
      <c r="S63" s="10"/>
    </row>
    <row r="64" spans="2:19" ht="15.75" customHeight="1">
      <c r="B64" s="6"/>
      <c r="D64" s="66"/>
      <c r="E64" s="181"/>
      <c r="F64" s="181"/>
      <c r="G64" s="181"/>
      <c r="H64" s="181"/>
      <c r="I64" s="192"/>
      <c r="J64" s="16"/>
      <c r="K64" s="73"/>
      <c r="L64" s="73"/>
      <c r="M64" s="73"/>
      <c r="N64" s="73"/>
      <c r="O64" s="5"/>
      <c r="Q64" s="5"/>
      <c r="R64" s="5"/>
      <c r="S64" s="32"/>
    </row>
    <row r="65" spans="1:19" ht="15.75" customHeight="1">
      <c r="B65" s="18" t="s">
        <v>8</v>
      </c>
      <c r="C65" s="19"/>
      <c r="D65" s="323"/>
      <c r="E65" s="190">
        <f t="shared" ref="E65:O65" si="25">+E42+E45+E48+E52+E54+SUM(E56:E63)</f>
        <v>18601.333333333303</v>
      </c>
      <c r="F65" s="190">
        <f t="shared" si="25"/>
        <v>1512427747</v>
      </c>
      <c r="G65" s="190">
        <f t="shared" si="25"/>
        <v>0</v>
      </c>
      <c r="H65" s="190">
        <f t="shared" si="25"/>
        <v>0</v>
      </c>
      <c r="I65" s="308">
        <f t="shared" si="25"/>
        <v>1512427747</v>
      </c>
      <c r="J65" s="191">
        <f t="shared" si="25"/>
        <v>109796049.08000001</v>
      </c>
      <c r="K65" s="191">
        <f t="shared" si="25"/>
        <v>16747945.089537993</v>
      </c>
      <c r="L65" s="191">
        <f t="shared" si="25"/>
        <v>0</v>
      </c>
      <c r="M65" s="191">
        <f t="shared" si="25"/>
        <v>0</v>
      </c>
      <c r="N65" s="191">
        <f t="shared" si="25"/>
        <v>16747945.089537993</v>
      </c>
      <c r="O65" s="191">
        <f t="shared" si="25"/>
        <v>126543994.16953802</v>
      </c>
      <c r="Q65" s="5"/>
      <c r="R65" s="5"/>
      <c r="S65" s="32"/>
    </row>
    <row r="66" spans="1:19" ht="15.75" customHeight="1">
      <c r="D66" s="66"/>
      <c r="E66" s="17"/>
      <c r="F66" s="17"/>
      <c r="G66" s="17"/>
      <c r="H66" s="17"/>
      <c r="I66" s="183"/>
      <c r="J66" s="16"/>
      <c r="K66" s="16"/>
      <c r="L66" s="16"/>
      <c r="M66" s="16"/>
      <c r="N66" s="16"/>
      <c r="O66" s="73" t="s">
        <v>29</v>
      </c>
      <c r="S66" s="32"/>
    </row>
    <row r="67" spans="1:19" ht="15.75" customHeight="1">
      <c r="A67" s="3" t="s">
        <v>28</v>
      </c>
      <c r="B67" s="3"/>
      <c r="D67" s="155" t="s">
        <v>461</v>
      </c>
      <c r="E67" s="181"/>
      <c r="F67" s="181"/>
      <c r="G67" s="181"/>
      <c r="H67" s="181"/>
      <c r="I67" s="182"/>
      <c r="J67" s="16"/>
      <c r="K67" s="16"/>
      <c r="L67" s="16"/>
      <c r="M67" s="16"/>
      <c r="N67" s="16"/>
      <c r="O67" s="5" t="s">
        <v>29</v>
      </c>
      <c r="Q67" s="5"/>
      <c r="R67" s="5"/>
      <c r="S67" s="32"/>
    </row>
    <row r="68" spans="1:19" ht="15.75" customHeight="1">
      <c r="B68" s="198" t="s">
        <v>48</v>
      </c>
      <c r="D68" s="66">
        <v>24</v>
      </c>
      <c r="E68" s="17">
        <f>SUMIFS('305 Inputs'!$G:$G,'305 Inputs'!$J:$J,$D68,'305 Inputs'!$C:$C,$D$67)</f>
        <v>368.33333333333297</v>
      </c>
      <c r="F68" s="17">
        <f>SUMIFS('305 Inputs'!$H:$H,'305 Inputs'!$J:$J,$D68,'305 Inputs'!$C:$C,$D$67)</f>
        <v>15103957</v>
      </c>
      <c r="G68" s="17">
        <v>0</v>
      </c>
      <c r="H68" s="17">
        <f>G68</f>
        <v>0</v>
      </c>
      <c r="I68" s="183">
        <f>H68+F68</f>
        <v>15103957</v>
      </c>
      <c r="J68" s="16">
        <f>'Table 3'!E68</f>
        <v>1379100.99</v>
      </c>
      <c r="K68" s="16">
        <f>'Table 3'!J68</f>
        <v>24423.300649768815</v>
      </c>
      <c r="L68" s="16">
        <f>'Table 3'!N68</f>
        <v>0</v>
      </c>
      <c r="M68" s="16">
        <f>'Table 3'!R68</f>
        <v>0</v>
      </c>
      <c r="N68" s="16">
        <f>K68+L68+M68</f>
        <v>24423.300649768815</v>
      </c>
      <c r="O68" s="16">
        <f>N68+J68</f>
        <v>1403524.2906497689</v>
      </c>
      <c r="Q68" s="5"/>
      <c r="R68" s="5"/>
      <c r="S68" s="32"/>
    </row>
    <row r="69" spans="1:19" s="6" customFormat="1" ht="15.75" customHeight="1">
      <c r="B69" s="198" t="s">
        <v>49</v>
      </c>
      <c r="D69" s="66" t="s">
        <v>137</v>
      </c>
      <c r="E69" s="17">
        <f>SUMIFS('305 Inputs'!$G:$G,'305 Inputs'!$J:$J,$D69,'305 Inputs'!$C:$C,$D$67)</f>
        <v>4</v>
      </c>
      <c r="F69" s="17">
        <f>SUMIFS('305 Inputs'!$H:$H,'305 Inputs'!$J:$J,$D69,'305 Inputs'!$C:$C,$D$67)</f>
        <v>33312</v>
      </c>
      <c r="G69" s="17">
        <v>0</v>
      </c>
      <c r="H69" s="17">
        <f>G69</f>
        <v>0</v>
      </c>
      <c r="I69" s="183">
        <f>H69+F69</f>
        <v>33312</v>
      </c>
      <c r="J69" s="16">
        <f>'Table 3'!E69</f>
        <v>8671.15</v>
      </c>
      <c r="K69" s="16">
        <f>'Table 3'!J69</f>
        <v>-207.95637502766024</v>
      </c>
      <c r="L69" s="16">
        <f>'Table 3'!N69</f>
        <v>0</v>
      </c>
      <c r="M69" s="16">
        <f>'Table 3'!R69</f>
        <v>0</v>
      </c>
      <c r="N69" s="16">
        <f>K69+L69+M69</f>
        <v>-207.95637502766024</v>
      </c>
      <c r="O69" s="16">
        <f>N69+J69</f>
        <v>8463.1936249723385</v>
      </c>
      <c r="Q69" s="7"/>
      <c r="R69" s="7"/>
      <c r="S69" s="10"/>
    </row>
    <row r="70" spans="1:19" ht="15.75" customHeight="1">
      <c r="B70" s="198" t="s">
        <v>54</v>
      </c>
      <c r="C70" s="6"/>
      <c r="D70" s="66" t="s">
        <v>144</v>
      </c>
      <c r="E70" s="184">
        <f>SUMIFS('305 Inputs'!$G:$G,'305 Inputs'!$J:$J,$D70,'305 Inputs'!$C:$C,$D$67)</f>
        <v>1</v>
      </c>
      <c r="F70" s="184">
        <f>SUMIFS('305 Inputs'!$H:$H,'305 Inputs'!$J:$J,$D70,'305 Inputs'!$C:$C,$D$67)</f>
        <v>3646</v>
      </c>
      <c r="G70" s="184">
        <v>0</v>
      </c>
      <c r="H70" s="184">
        <f>G70</f>
        <v>0</v>
      </c>
      <c r="I70" s="185">
        <f>H70+F70</f>
        <v>3646</v>
      </c>
      <c r="J70" s="186">
        <f>'Table 3'!E70</f>
        <v>1001.49</v>
      </c>
      <c r="K70" s="186">
        <f>'Table 3'!J70</f>
        <v>4.2117059990368659</v>
      </c>
      <c r="L70" s="186">
        <f>'Table 3'!N70</f>
        <v>0</v>
      </c>
      <c r="M70" s="186">
        <f>'Table 3'!R70</f>
        <v>0</v>
      </c>
      <c r="N70" s="186">
        <f>K70+L70+M70</f>
        <v>4.2117059990368659</v>
      </c>
      <c r="O70" s="186">
        <f>N70+J70</f>
        <v>1005.7017059990369</v>
      </c>
      <c r="Q70" s="5"/>
      <c r="R70" s="5"/>
      <c r="S70" s="32"/>
    </row>
    <row r="71" spans="1:19" ht="15.75" customHeight="1">
      <c r="B71" s="2" t="s">
        <v>33</v>
      </c>
      <c r="D71" s="66"/>
      <c r="E71" s="17">
        <f>SUM(E68:E70)</f>
        <v>373.33333333333297</v>
      </c>
      <c r="F71" s="17">
        <f>SUM(F68:F70)</f>
        <v>15140915</v>
      </c>
      <c r="G71" s="17">
        <f t="shared" ref="G71:O71" si="26">SUM(G68:G70)</f>
        <v>0</v>
      </c>
      <c r="H71" s="17">
        <f t="shared" si="26"/>
        <v>0</v>
      </c>
      <c r="I71" s="183">
        <f t="shared" si="26"/>
        <v>15140915</v>
      </c>
      <c r="J71" s="16">
        <f t="shared" si="26"/>
        <v>1388773.63</v>
      </c>
      <c r="K71" s="16">
        <f t="shared" si="26"/>
        <v>24219.555980740191</v>
      </c>
      <c r="L71" s="16">
        <f t="shared" si="26"/>
        <v>0</v>
      </c>
      <c r="M71" s="16">
        <f>SUM(M68:M70)</f>
        <v>0</v>
      </c>
      <c r="N71" s="16">
        <f t="shared" si="26"/>
        <v>24219.555980740191</v>
      </c>
      <c r="O71" s="16">
        <f t="shared" si="26"/>
        <v>1412993.1859807402</v>
      </c>
      <c r="S71" s="32"/>
    </row>
    <row r="72" spans="1:19" ht="15.75" customHeight="1">
      <c r="D72" s="66"/>
      <c r="E72" s="181"/>
      <c r="F72" s="181"/>
      <c r="G72" s="181" t="s">
        <v>29</v>
      </c>
      <c r="H72" s="181" t="s">
        <v>29</v>
      </c>
      <c r="I72" s="182" t="s">
        <v>29</v>
      </c>
      <c r="J72" s="16" t="s">
        <v>29</v>
      </c>
      <c r="K72" s="16" t="s">
        <v>29</v>
      </c>
      <c r="L72" s="16" t="s">
        <v>29</v>
      </c>
      <c r="M72" s="16" t="s">
        <v>29</v>
      </c>
      <c r="N72" s="16"/>
      <c r="O72" s="5"/>
      <c r="Q72" s="5"/>
      <c r="R72" s="5"/>
      <c r="S72" s="32"/>
    </row>
    <row r="73" spans="1:19" s="6" customFormat="1" ht="15.75" customHeight="1">
      <c r="B73" s="198" t="s">
        <v>50</v>
      </c>
      <c r="C73" s="2"/>
      <c r="D73" s="66">
        <v>36</v>
      </c>
      <c r="E73" s="184">
        <f>SUMIFS('305 Inputs'!$G:$G,'305 Inputs'!$J:$J,$D73,'305 Inputs'!$C:$C,$D$67)</f>
        <v>103.3333333333333</v>
      </c>
      <c r="F73" s="184">
        <f>SUMIFS('305 Inputs'!$H:$H,'305 Inputs'!$J:$J,$D73,'305 Inputs'!$C:$C,$D$67)</f>
        <v>96647654</v>
      </c>
      <c r="G73" s="184">
        <v>0</v>
      </c>
      <c r="H73" s="184">
        <f>G73</f>
        <v>0</v>
      </c>
      <c r="I73" s="185">
        <f>H73+F73</f>
        <v>96647654</v>
      </c>
      <c r="J73" s="186">
        <f>'Table 3'!E73</f>
        <v>7731572.9900000002</v>
      </c>
      <c r="K73" s="186">
        <f>'Table 3'!J73</f>
        <v>202647.06215667902</v>
      </c>
      <c r="L73" s="186">
        <f>'Table 3'!N73</f>
        <v>0</v>
      </c>
      <c r="M73" s="186">
        <f>'Table 3'!R73</f>
        <v>0</v>
      </c>
      <c r="N73" s="186">
        <f>K73+L73+M73</f>
        <v>202647.06215667902</v>
      </c>
      <c r="O73" s="186">
        <f>N73+J73</f>
        <v>7934220.0521566793</v>
      </c>
      <c r="Q73" s="7"/>
      <c r="R73" s="7"/>
      <c r="S73" s="10"/>
    </row>
    <row r="74" spans="1:19" ht="15.75" customHeight="1">
      <c r="B74" s="2" t="s">
        <v>33</v>
      </c>
      <c r="D74" s="66"/>
      <c r="E74" s="17">
        <f>SUM(E73:E73)</f>
        <v>103.3333333333333</v>
      </c>
      <c r="F74" s="17">
        <f>SUM(F73:F73)</f>
        <v>96647654</v>
      </c>
      <c r="G74" s="17">
        <v>0</v>
      </c>
      <c r="H74" s="17">
        <v>0</v>
      </c>
      <c r="I74" s="183">
        <f>SUM(I73)</f>
        <v>96647654</v>
      </c>
      <c r="J74" s="16">
        <f>SUM(J73)</f>
        <v>7731572.9900000002</v>
      </c>
      <c r="K74" s="16">
        <f>SUM(K73)</f>
        <v>202647.06215667902</v>
      </c>
      <c r="L74" s="16">
        <f>SUM(L73:L73)</f>
        <v>0</v>
      </c>
      <c r="M74" s="16">
        <f>SUM(M73:M73)</f>
        <v>0</v>
      </c>
      <c r="N74" s="16">
        <f>SUM(N73)</f>
        <v>202647.06215667902</v>
      </c>
      <c r="O74" s="16">
        <f>SUM(O73)</f>
        <v>7934220.0521566793</v>
      </c>
      <c r="Q74" s="5"/>
      <c r="R74" s="5"/>
      <c r="S74" s="32"/>
    </row>
    <row r="75" spans="1:19" ht="15.75" customHeight="1">
      <c r="D75" s="66"/>
      <c r="E75" s="181"/>
      <c r="F75" s="181"/>
      <c r="G75" s="181"/>
      <c r="H75" s="181"/>
      <c r="I75" s="182"/>
      <c r="J75" s="16"/>
      <c r="K75" s="16"/>
      <c r="L75" s="16"/>
      <c r="M75" s="16"/>
      <c r="N75" s="16"/>
      <c r="O75" s="5"/>
      <c r="Q75" s="5"/>
      <c r="R75" s="5"/>
      <c r="S75" s="32"/>
    </row>
    <row r="76" spans="1:19" ht="15.75" customHeight="1">
      <c r="B76" s="198" t="s">
        <v>153</v>
      </c>
      <c r="C76" s="6"/>
      <c r="D76" s="66">
        <v>47</v>
      </c>
      <c r="E76" s="17">
        <f>SUMIFS('305 Inputs'!$G:$G,'305 Inputs'!$J:$J,$D76,'305 Inputs'!$C:$C,$D$67)</f>
        <v>1</v>
      </c>
      <c r="F76" s="17">
        <f>SUMIFS('305 Inputs'!$H:$H,'305 Inputs'!$J:$J,$D76,'305 Inputs'!$C:$C,$D$67)</f>
        <v>1737950</v>
      </c>
      <c r="G76" s="17">
        <v>0</v>
      </c>
      <c r="H76" s="17">
        <f>G76</f>
        <v>0</v>
      </c>
      <c r="I76" s="183">
        <f>H76+F76</f>
        <v>1737950</v>
      </c>
      <c r="J76" s="16">
        <f>'Table 3'!E76</f>
        <v>307582.31</v>
      </c>
      <c r="K76" s="16">
        <f>'Table 3'!J76</f>
        <v>-5768.8837003868066</v>
      </c>
      <c r="L76" s="16">
        <f>'Table 3'!N76</f>
        <v>0</v>
      </c>
      <c r="M76" s="16">
        <f>'Table 3'!R76</f>
        <v>0</v>
      </c>
      <c r="N76" s="16">
        <f>K76+L76+M76</f>
        <v>-5768.8837003868066</v>
      </c>
      <c r="O76" s="16">
        <f>N76+J76</f>
        <v>301813.4262996132</v>
      </c>
      <c r="Q76" s="5"/>
      <c r="R76" s="5"/>
      <c r="S76" s="32"/>
    </row>
    <row r="77" spans="1:19" ht="15.75" customHeight="1">
      <c r="B77" s="198" t="s">
        <v>57</v>
      </c>
      <c r="C77" s="6"/>
      <c r="D77" s="66" t="s">
        <v>142</v>
      </c>
      <c r="E77" s="17">
        <f>SUMIFS('305 Inputs'!$G:$G,'305 Inputs'!$J:$J,$D77,'305 Inputs'!$C:$C,$D$67)</f>
        <v>0</v>
      </c>
      <c r="F77" s="17">
        <f>SUMIFS('305 Inputs'!$H:$H,'305 Inputs'!$J:$J,$D77,'305 Inputs'!$C:$C,$D$67)</f>
        <v>0</v>
      </c>
      <c r="G77" s="17">
        <v>0</v>
      </c>
      <c r="H77" s="17">
        <f>G77</f>
        <v>0</v>
      </c>
      <c r="I77" s="183">
        <f>H77+F77</f>
        <v>0</v>
      </c>
      <c r="J77" s="16">
        <f>'Table 3'!E77</f>
        <v>0</v>
      </c>
      <c r="K77" s="16">
        <f>'Table 3'!J77</f>
        <v>0</v>
      </c>
      <c r="L77" s="16">
        <f>'Table 3'!N77</f>
        <v>0</v>
      </c>
      <c r="M77" s="16">
        <f>'Table 3'!R77</f>
        <v>0</v>
      </c>
      <c r="N77" s="16">
        <f>K77+L77+M77</f>
        <v>0</v>
      </c>
      <c r="O77" s="16">
        <f>N77+J77</f>
        <v>0</v>
      </c>
      <c r="Q77" s="5"/>
      <c r="R77" s="5"/>
      <c r="S77" s="32"/>
    </row>
    <row r="78" spans="1:19" ht="15.75" customHeight="1">
      <c r="B78" s="198" t="s">
        <v>51</v>
      </c>
      <c r="C78" s="6"/>
      <c r="D78" s="66" t="s">
        <v>143</v>
      </c>
      <c r="E78" s="184">
        <f>SUMIFS('305 Inputs'!$G:$G,'305 Inputs'!$J:$J,$D78,'305 Inputs'!$C:$C,$D$67)</f>
        <v>29.5</v>
      </c>
      <c r="F78" s="184">
        <f>SUMIFS('305 Inputs'!$H:$H,'305 Inputs'!$J:$J,$D78,'305 Inputs'!$C:$C,$D$67)</f>
        <v>683075500</v>
      </c>
      <c r="G78" s="184">
        <v>0</v>
      </c>
      <c r="H78" s="184">
        <f>G78</f>
        <v>0</v>
      </c>
      <c r="I78" s="185">
        <f>H78+F78</f>
        <v>683075500</v>
      </c>
      <c r="J78" s="186">
        <f>'Table 3'!E78</f>
        <v>42759970.450000003</v>
      </c>
      <c r="K78" s="186">
        <f>'Table 3'!J78</f>
        <v>-369581.80134164717</v>
      </c>
      <c r="L78" s="186">
        <f>'Table 3'!N78</f>
        <v>0</v>
      </c>
      <c r="M78" s="186">
        <f>'Table 3'!R78</f>
        <v>0</v>
      </c>
      <c r="N78" s="186">
        <f>K78+L78+M78</f>
        <v>-369581.80134164717</v>
      </c>
      <c r="O78" s="186">
        <f>N78+J78</f>
        <v>42390388.648658358</v>
      </c>
      <c r="S78" s="32"/>
    </row>
    <row r="79" spans="1:19" ht="15.75" customHeight="1">
      <c r="B79" s="2" t="s">
        <v>33</v>
      </c>
      <c r="D79" s="66"/>
      <c r="E79" s="17">
        <f>SUM(E76:E78)</f>
        <v>30.5</v>
      </c>
      <c r="F79" s="17">
        <f>SUM(F76:F78)</f>
        <v>684813450</v>
      </c>
      <c r="G79" s="17">
        <f t="shared" ref="G79:O79" si="27">SUM(G76:G78)</f>
        <v>0</v>
      </c>
      <c r="H79" s="17">
        <f t="shared" si="27"/>
        <v>0</v>
      </c>
      <c r="I79" s="183">
        <f t="shared" si="27"/>
        <v>684813450</v>
      </c>
      <c r="J79" s="16">
        <f t="shared" si="27"/>
        <v>43067552.760000005</v>
      </c>
      <c r="K79" s="16">
        <f t="shared" si="27"/>
        <v>-375350.68504203396</v>
      </c>
      <c r="L79" s="16">
        <f t="shared" si="27"/>
        <v>0</v>
      </c>
      <c r="M79" s="16">
        <f>SUM(M76:M78)</f>
        <v>0</v>
      </c>
      <c r="N79" s="16">
        <f t="shared" si="27"/>
        <v>-375350.68504203396</v>
      </c>
      <c r="O79" s="16">
        <f t="shared" si="27"/>
        <v>42692202.074957974</v>
      </c>
      <c r="Q79" s="5"/>
      <c r="R79" s="5"/>
      <c r="S79" s="32"/>
    </row>
    <row r="80" spans="1:19" ht="15.75" customHeight="1">
      <c r="D80" s="66"/>
      <c r="E80" s="181"/>
      <c r="F80" s="181"/>
      <c r="G80" s="181"/>
      <c r="H80" s="17"/>
      <c r="I80" s="182"/>
      <c r="J80" s="16"/>
      <c r="K80" s="16"/>
      <c r="L80" s="16"/>
      <c r="M80" s="16"/>
      <c r="N80" s="16"/>
      <c r="O80" s="5"/>
      <c r="Q80" s="5"/>
      <c r="R80" s="5"/>
      <c r="S80" s="32"/>
    </row>
    <row r="81" spans="2:19" ht="15.75" customHeight="1">
      <c r="B81" s="198" t="s">
        <v>52</v>
      </c>
      <c r="D81" s="66" t="s">
        <v>139</v>
      </c>
      <c r="E81" s="184">
        <f>SUMIFS('305 Inputs'!$G:$G,'305 Inputs'!$J:$J,$D81,'305 Inputs'!$C:$C,$D$67)</f>
        <v>51</v>
      </c>
      <c r="F81" s="184">
        <f>SUMIFS('305 Inputs'!$H:$H,'305 Inputs'!$J:$J,$D81,'305 Inputs'!$C:$C,$D$67)</f>
        <v>123287</v>
      </c>
      <c r="G81" s="184">
        <v>0</v>
      </c>
      <c r="H81" s="184">
        <f>G81</f>
        <v>0</v>
      </c>
      <c r="I81" s="185">
        <f>H81+F81</f>
        <v>123287</v>
      </c>
      <c r="J81" s="186">
        <f>'Table 3'!E81</f>
        <v>16702.66</v>
      </c>
      <c r="K81" s="186">
        <f>'Table 3'!J81</f>
        <v>-10.156355385502451</v>
      </c>
      <c r="L81" s="186">
        <f>'Table 3'!N81</f>
        <v>0</v>
      </c>
      <c r="M81" s="186">
        <f>'Table 3'!R81</f>
        <v>0</v>
      </c>
      <c r="N81" s="186">
        <f>K81+L81+M81</f>
        <v>-10.156355385502451</v>
      </c>
      <c r="O81" s="186">
        <f>N81+J81</f>
        <v>16692.503644614499</v>
      </c>
      <c r="Q81" s="5"/>
      <c r="R81" s="5"/>
      <c r="S81" s="32"/>
    </row>
    <row r="82" spans="2:19" ht="15.75" customHeight="1">
      <c r="B82" s="2" t="s">
        <v>33</v>
      </c>
      <c r="D82" s="66"/>
      <c r="E82" s="17">
        <f>SUM(E81:E81)</f>
        <v>51</v>
      </c>
      <c r="F82" s="17">
        <f>SUM(F81:F81)</f>
        <v>123287</v>
      </c>
      <c r="G82" s="17">
        <v>0</v>
      </c>
      <c r="H82" s="17">
        <v>0</v>
      </c>
      <c r="I82" s="183">
        <f>SUM(I81)</f>
        <v>123287</v>
      </c>
      <c r="J82" s="16">
        <f>SUM(J81)</f>
        <v>16702.66</v>
      </c>
      <c r="K82" s="16">
        <f>SUM(K81)</f>
        <v>-10.156355385502451</v>
      </c>
      <c r="L82" s="16">
        <f>SUM(L81:L81)</f>
        <v>0</v>
      </c>
      <c r="M82" s="16">
        <f>SUM(M81:M81)</f>
        <v>0</v>
      </c>
      <c r="N82" s="16">
        <f>SUM(N81)</f>
        <v>-10.156355385502451</v>
      </c>
      <c r="O82" s="16">
        <f>SUM(O81)</f>
        <v>16692.503644614499</v>
      </c>
      <c r="S82" s="32"/>
    </row>
    <row r="83" spans="2:19" ht="15.75" customHeight="1">
      <c r="D83" s="66"/>
      <c r="E83" s="181"/>
      <c r="F83" s="181"/>
      <c r="G83" s="181" t="s">
        <v>29</v>
      </c>
      <c r="H83" s="181" t="s">
        <v>29</v>
      </c>
      <c r="I83" s="182" t="s">
        <v>29</v>
      </c>
      <c r="J83" s="16" t="s">
        <v>29</v>
      </c>
      <c r="K83" s="16"/>
      <c r="L83" s="16"/>
      <c r="M83" s="16"/>
      <c r="N83" s="16"/>
      <c r="O83" s="5"/>
      <c r="Q83" s="5"/>
      <c r="R83" s="5"/>
      <c r="S83" s="32"/>
    </row>
    <row r="84" spans="2:19" s="6" customFormat="1" ht="15.75" customHeight="1">
      <c r="B84" s="2" t="s">
        <v>32</v>
      </c>
      <c r="D84" s="66" t="s">
        <v>138</v>
      </c>
      <c r="E84" s="184">
        <f>SUMIFS('305 Inputs'!$G:$G,'305 Inputs'!$I:$I,$D84,'305 Inputs'!$C:$C,$D$67)</f>
        <v>0</v>
      </c>
      <c r="F84" s="184">
        <f>SUMIFS('305 Inputs'!$H:$H,'305 Inputs'!$J:$J,$D84,'305 Inputs'!$C:$C,$D$67)</f>
        <v>0</v>
      </c>
      <c r="G84" s="184">
        <v>0</v>
      </c>
      <c r="H84" s="184">
        <f>G84</f>
        <v>0</v>
      </c>
      <c r="I84" s="185">
        <f>H84+F84</f>
        <v>0</v>
      </c>
      <c r="J84" s="186">
        <f>'Table 3'!E84</f>
        <v>47833.229999999996</v>
      </c>
      <c r="K84" s="186">
        <f>'Table 3'!J84</f>
        <v>0</v>
      </c>
      <c r="L84" s="186">
        <f>'Table 3'!N84</f>
        <v>0</v>
      </c>
      <c r="M84" s="186">
        <f>'Table 3'!R84</f>
        <v>0</v>
      </c>
      <c r="N84" s="186">
        <f>K84+L84+M84</f>
        <v>0</v>
      </c>
      <c r="O84" s="186">
        <f>N84+J84</f>
        <v>47833.229999999996</v>
      </c>
      <c r="Q84" s="7"/>
      <c r="R84" s="7"/>
      <c r="S84" s="10"/>
    </row>
    <row r="85" spans="2:19" s="6" customFormat="1" ht="15.75" customHeight="1">
      <c r="B85" s="2"/>
      <c r="D85" s="66"/>
      <c r="E85" s="184"/>
      <c r="F85" s="184"/>
      <c r="G85" s="184"/>
      <c r="H85" s="184"/>
      <c r="I85" s="185"/>
      <c r="J85" s="186"/>
      <c r="K85" s="186"/>
      <c r="L85" s="186"/>
      <c r="M85" s="186"/>
      <c r="N85" s="186"/>
      <c r="O85" s="186"/>
      <c r="Q85" s="7"/>
      <c r="R85" s="7"/>
      <c r="S85" s="10"/>
    </row>
    <row r="86" spans="2:19" ht="15.75" customHeight="1">
      <c r="B86" s="2" t="s">
        <v>235</v>
      </c>
      <c r="D86" s="66" t="s">
        <v>203</v>
      </c>
      <c r="E86" s="184">
        <f>SUMIFS('305 Inputs'!$G:$G,'305 Inputs'!$I:$I,$D86,'305 Inputs'!$C:$C,$D$67)</f>
        <v>0</v>
      </c>
      <c r="F86" s="184">
        <f>SUMIFS('305 Inputs'!$H:$H,'305 Inputs'!$J:$J,$D86,'305 Inputs'!$C:$C,$D$67)</f>
        <v>0</v>
      </c>
      <c r="G86" s="184">
        <v>0</v>
      </c>
      <c r="H86" s="184">
        <f t="shared" ref="H86:H89" si="28">G86</f>
        <v>0</v>
      </c>
      <c r="I86" s="185">
        <f t="shared" ref="I86:I89" si="29">H86+F86</f>
        <v>0</v>
      </c>
      <c r="J86" s="186">
        <f>'Table 3'!E86</f>
        <v>-1342730.94</v>
      </c>
      <c r="K86" s="186">
        <f>'Table 3'!J86</f>
        <v>1342730.94</v>
      </c>
      <c r="L86" s="186">
        <f>'Table 3'!N86</f>
        <v>0</v>
      </c>
      <c r="M86" s="186">
        <f>'Table 3'!R86</f>
        <v>0</v>
      </c>
      <c r="N86" s="186">
        <f t="shared" ref="N86:N89" si="30">K86+L86+M86</f>
        <v>1342730.94</v>
      </c>
      <c r="O86" s="186">
        <f t="shared" ref="O86:O89" si="31">N86+J86</f>
        <v>0</v>
      </c>
      <c r="Q86" s="5"/>
      <c r="R86" s="5"/>
      <c r="S86" s="32"/>
    </row>
    <row r="87" spans="2:19" s="6" customFormat="1" ht="15.75" customHeight="1">
      <c r="B87" s="2" t="s">
        <v>280</v>
      </c>
      <c r="D87" s="66" t="s">
        <v>273</v>
      </c>
      <c r="E87" s="184">
        <f>SUMIFS('305 Inputs'!$G:$G,'305 Inputs'!$I:$I,$D87,'305 Inputs'!$C:$C,$D$67)</f>
        <v>0</v>
      </c>
      <c r="F87" s="184">
        <f>SUMIFS('305 Inputs'!$H:$H,'305 Inputs'!$J:$J,$D87,'305 Inputs'!$C:$C,$D$67)</f>
        <v>0</v>
      </c>
      <c r="G87" s="184">
        <v>0</v>
      </c>
      <c r="H87" s="184">
        <f t="shared" si="28"/>
        <v>0</v>
      </c>
      <c r="I87" s="185">
        <f t="shared" si="29"/>
        <v>0</v>
      </c>
      <c r="J87" s="186">
        <f>'Table 3'!E87</f>
        <v>1683397.1</v>
      </c>
      <c r="K87" s="186">
        <f>'Table 3'!J87</f>
        <v>-1683397.1</v>
      </c>
      <c r="L87" s="186">
        <f>'Table 3'!N87</f>
        <v>0</v>
      </c>
      <c r="M87" s="186">
        <f>'Table 3'!R87</f>
        <v>0</v>
      </c>
      <c r="N87" s="186">
        <f t="shared" si="30"/>
        <v>-1683397.1</v>
      </c>
      <c r="O87" s="186">
        <f t="shared" si="31"/>
        <v>0</v>
      </c>
      <c r="Q87" s="7"/>
      <c r="R87" s="7"/>
      <c r="S87" s="10"/>
    </row>
    <row r="88" spans="2:19" s="6" customFormat="1" ht="15.75" customHeight="1">
      <c r="B88" s="2" t="s">
        <v>276</v>
      </c>
      <c r="D88" s="66" t="s">
        <v>274</v>
      </c>
      <c r="E88" s="184">
        <f>SUMIFS('305 Inputs'!$G:$G,'305 Inputs'!$I:$I,$D88,'305 Inputs'!$C:$C,$D$67)</f>
        <v>8.3333333333333301E-2</v>
      </c>
      <c r="F88" s="184">
        <f>SUMIFS('305 Inputs'!$H:$H,'305 Inputs'!$J:$J,$D88,'305 Inputs'!$C:$C,$D$67)</f>
        <v>0</v>
      </c>
      <c r="G88" s="184">
        <v>0</v>
      </c>
      <c r="H88" s="184">
        <f t="shared" si="28"/>
        <v>0</v>
      </c>
      <c r="I88" s="185">
        <f t="shared" si="29"/>
        <v>0</v>
      </c>
      <c r="J88" s="186">
        <f>'Table 3'!E88</f>
        <v>11.9</v>
      </c>
      <c r="K88" s="186">
        <f>'Table 3'!J88</f>
        <v>-11.9</v>
      </c>
      <c r="L88" s="186">
        <f>'Table 3'!N88</f>
        <v>0</v>
      </c>
      <c r="M88" s="186">
        <f>'Table 3'!R88</f>
        <v>0</v>
      </c>
      <c r="N88" s="186">
        <f t="shared" si="30"/>
        <v>-11.9</v>
      </c>
      <c r="O88" s="186">
        <f t="shared" si="31"/>
        <v>0</v>
      </c>
      <c r="Q88" s="7"/>
      <c r="R88" s="7"/>
      <c r="S88" s="10"/>
    </row>
    <row r="89" spans="2:19" s="6" customFormat="1" ht="15.75" customHeight="1">
      <c r="B89" s="2" t="s">
        <v>89</v>
      </c>
      <c r="D89" s="66" t="s">
        <v>140</v>
      </c>
      <c r="E89" s="184">
        <f>SUMIFS('305 Inputs'!$G:$G,'305 Inputs'!$I:$I,$D89,'305 Inputs'!$C:$C,$D$67)</f>
        <v>0</v>
      </c>
      <c r="F89" s="184">
        <f>SUMIFS('305 Inputs'!$H:$H,'305 Inputs'!$J:$J,$D89,'305 Inputs'!$C:$C,$D$67)</f>
        <v>0</v>
      </c>
      <c r="G89" s="184">
        <v>0</v>
      </c>
      <c r="H89" s="184">
        <f t="shared" si="28"/>
        <v>0</v>
      </c>
      <c r="I89" s="185">
        <f t="shared" si="29"/>
        <v>0</v>
      </c>
      <c r="J89" s="186">
        <f>'Table 3'!E89</f>
        <v>-242.86</v>
      </c>
      <c r="K89" s="186">
        <f>'Table 3'!J89</f>
        <v>242.86</v>
      </c>
      <c r="L89" s="186">
        <f>'Table 3'!N89</f>
        <v>0</v>
      </c>
      <c r="M89" s="186">
        <f>'Table 3'!R89</f>
        <v>0</v>
      </c>
      <c r="N89" s="186">
        <f t="shared" si="30"/>
        <v>242.86</v>
      </c>
      <c r="O89" s="186">
        <f t="shared" si="31"/>
        <v>0</v>
      </c>
      <c r="Q89" s="7"/>
      <c r="R89" s="7"/>
      <c r="S89" s="10"/>
    </row>
    <row r="90" spans="2:19" s="6" customFormat="1" ht="15.75" customHeight="1">
      <c r="B90" s="2" t="s">
        <v>406</v>
      </c>
      <c r="D90" s="66" t="s">
        <v>407</v>
      </c>
      <c r="E90" s="184">
        <f>SUMIFS('305 Inputs'!$G:$G,'305 Inputs'!$I:$I,$D90,'305 Inputs'!$C:$C,$D$67)</f>
        <v>0</v>
      </c>
      <c r="F90" s="184">
        <f>SUMIFS('305 Inputs'!$H:$H,'305 Inputs'!$J:$J,$D90,'305 Inputs'!$C:$C,$D$67)</f>
        <v>0</v>
      </c>
      <c r="G90" s="184">
        <v>0</v>
      </c>
      <c r="H90" s="184">
        <f t="shared" ref="H90:H91" si="32">G90</f>
        <v>0</v>
      </c>
      <c r="I90" s="185">
        <f t="shared" ref="I90:I91" si="33">H90+F90</f>
        <v>0</v>
      </c>
      <c r="J90" s="186">
        <f>'Table 3'!E90</f>
        <v>0</v>
      </c>
      <c r="K90" s="186">
        <f>'Table 3'!J90</f>
        <v>0</v>
      </c>
      <c r="L90" s="186">
        <f>'Table 3'!N90</f>
        <v>0</v>
      </c>
      <c r="M90" s="186">
        <f>'Table 3'!R90</f>
        <v>0</v>
      </c>
      <c r="N90" s="186">
        <f t="shared" ref="N90:N91" si="34">K90+L90+M90</f>
        <v>0</v>
      </c>
      <c r="O90" s="186">
        <f t="shared" ref="O90:O91" si="35">N90+J90</f>
        <v>0</v>
      </c>
      <c r="Q90" s="7"/>
      <c r="R90" s="7"/>
      <c r="S90" s="10"/>
    </row>
    <row r="91" spans="2:19" s="6" customFormat="1" ht="15.75" customHeight="1">
      <c r="B91" s="2" t="s">
        <v>405</v>
      </c>
      <c r="D91" s="66" t="s">
        <v>408</v>
      </c>
      <c r="E91" s="184">
        <f>SUMIFS('305 Inputs'!$G:$G,'305 Inputs'!$I:$I,$D91,'305 Inputs'!$C:$C,$D$67)</f>
        <v>0</v>
      </c>
      <c r="F91" s="184">
        <f>SUMIFS('305 Inputs'!$H:$H,'305 Inputs'!$J:$J,$D91,'305 Inputs'!$C:$C,$D$67)</f>
        <v>0</v>
      </c>
      <c r="G91" s="184">
        <v>0</v>
      </c>
      <c r="H91" s="184">
        <f t="shared" si="32"/>
        <v>0</v>
      </c>
      <c r="I91" s="185">
        <f t="shared" si="33"/>
        <v>0</v>
      </c>
      <c r="J91" s="186">
        <f>'Table 3'!E91</f>
        <v>-197603.57</v>
      </c>
      <c r="K91" s="186">
        <f>'Table 3'!J91</f>
        <v>197603.57</v>
      </c>
      <c r="L91" s="186">
        <f>'Table 3'!N91</f>
        <v>0</v>
      </c>
      <c r="M91" s="186">
        <f>'Table 3'!R91</f>
        <v>0</v>
      </c>
      <c r="N91" s="186">
        <f t="shared" si="34"/>
        <v>197603.57</v>
      </c>
      <c r="O91" s="186">
        <f t="shared" si="35"/>
        <v>0</v>
      </c>
      <c r="Q91" s="7"/>
      <c r="R91" s="7"/>
      <c r="S91" s="10"/>
    </row>
    <row r="92" spans="2:19" ht="15.75" customHeight="1">
      <c r="D92" s="66"/>
      <c r="E92" s="181"/>
      <c r="F92" s="181"/>
      <c r="G92" s="181"/>
      <c r="H92" s="181"/>
      <c r="I92" s="182"/>
      <c r="J92" s="16"/>
      <c r="K92" s="16"/>
      <c r="L92" s="16"/>
      <c r="M92" s="16"/>
      <c r="N92" s="16"/>
      <c r="O92" s="16"/>
      <c r="Q92" s="5"/>
      <c r="R92" s="5"/>
      <c r="S92" s="32"/>
    </row>
    <row r="93" spans="2:19" s="6" customFormat="1" ht="15.75" customHeight="1">
      <c r="B93" s="2" t="s">
        <v>74</v>
      </c>
      <c r="D93" s="66" t="s">
        <v>141</v>
      </c>
      <c r="E93" s="184">
        <f>SUMIFS('305 Inputs'!$G:$G,'305 Inputs'!$I:$I,$D93,'305 Inputs'!$C:$C,$D$67)</f>
        <v>0</v>
      </c>
      <c r="F93" s="184">
        <f>SUMIFS('305 Inputs'!$H:$H,'305 Inputs'!$J:$J,$D93,'305 Inputs'!$C:$C,$D$67)</f>
        <v>-18243000</v>
      </c>
      <c r="G93" s="184">
        <v>0</v>
      </c>
      <c r="H93" s="184">
        <f>G93</f>
        <v>0</v>
      </c>
      <c r="I93" s="185">
        <f>H93+F93</f>
        <v>-18243000</v>
      </c>
      <c r="J93" s="186">
        <f>'Table 3'!E93</f>
        <v>-1252000</v>
      </c>
      <c r="K93" s="186">
        <f>'Table 3'!J93</f>
        <v>1251999.9999999998</v>
      </c>
      <c r="L93" s="186">
        <f>'Table 3'!N93</f>
        <v>0</v>
      </c>
      <c r="M93" s="186">
        <f>'Table 3'!R93</f>
        <v>0</v>
      </c>
      <c r="N93" s="186">
        <f>K93+L93+M93</f>
        <v>1251999.9999999998</v>
      </c>
      <c r="O93" s="186">
        <f>N93+J93</f>
        <v>0</v>
      </c>
      <c r="Q93" s="7"/>
      <c r="R93" s="7"/>
      <c r="S93" s="10"/>
    </row>
    <row r="94" spans="2:19" ht="15.75" customHeight="1">
      <c r="B94" s="6"/>
      <c r="D94" s="66"/>
      <c r="E94" s="181"/>
      <c r="F94" s="181"/>
      <c r="G94" s="181"/>
      <c r="H94" s="181"/>
      <c r="I94" s="182"/>
      <c r="J94" s="16"/>
      <c r="K94" s="73"/>
      <c r="L94" s="73"/>
      <c r="M94" s="73"/>
      <c r="N94" s="73"/>
      <c r="O94" s="5"/>
      <c r="Q94" s="5"/>
      <c r="R94" s="5"/>
      <c r="S94" s="32"/>
    </row>
    <row r="95" spans="2:19" ht="15.75" customHeight="1">
      <c r="B95" s="18" t="s">
        <v>8</v>
      </c>
      <c r="C95" s="19"/>
      <c r="D95" s="323"/>
      <c r="E95" s="190">
        <f t="shared" ref="E95:O95" si="36">+E71+E74+E79+E82+E84+SUM(E86:E93)</f>
        <v>558.24999999999966</v>
      </c>
      <c r="F95" s="190">
        <f t="shared" si="36"/>
        <v>778482306</v>
      </c>
      <c r="G95" s="190">
        <f t="shared" si="36"/>
        <v>0</v>
      </c>
      <c r="H95" s="190">
        <f t="shared" si="36"/>
        <v>0</v>
      </c>
      <c r="I95" s="308">
        <f t="shared" si="36"/>
        <v>778482306</v>
      </c>
      <c r="J95" s="191">
        <f t="shared" si="36"/>
        <v>51143266.900000006</v>
      </c>
      <c r="K95" s="191">
        <f t="shared" si="36"/>
        <v>960674.14673999941</v>
      </c>
      <c r="L95" s="191">
        <f t="shared" si="36"/>
        <v>0</v>
      </c>
      <c r="M95" s="191">
        <f t="shared" si="36"/>
        <v>0</v>
      </c>
      <c r="N95" s="191">
        <f t="shared" si="36"/>
        <v>960674.14673999941</v>
      </c>
      <c r="O95" s="191">
        <f t="shared" si="36"/>
        <v>52103941.046740003</v>
      </c>
      <c r="Q95" s="5"/>
      <c r="R95" s="5"/>
      <c r="S95" s="32"/>
    </row>
    <row r="96" spans="2:19" ht="15.75" customHeight="1">
      <c r="B96" s="4"/>
      <c r="C96" s="4"/>
      <c r="D96" s="215"/>
      <c r="E96" s="181"/>
      <c r="F96" s="181"/>
      <c r="G96" s="181"/>
      <c r="H96" s="181"/>
      <c r="I96" s="182"/>
      <c r="J96" s="16" t="s">
        <v>29</v>
      </c>
      <c r="K96" s="181"/>
      <c r="L96" s="181"/>
      <c r="M96" s="181"/>
      <c r="N96" s="181"/>
      <c r="O96" s="181"/>
      <c r="Q96" s="5"/>
      <c r="R96" s="5"/>
      <c r="S96" s="32"/>
    </row>
    <row r="97" spans="1:19" ht="15.75" customHeight="1">
      <c r="A97" s="3" t="s">
        <v>171</v>
      </c>
      <c r="B97" s="198"/>
      <c r="D97" s="66"/>
      <c r="E97" s="181"/>
      <c r="F97" s="181"/>
      <c r="G97" s="181"/>
      <c r="H97" s="181"/>
      <c r="I97" s="182"/>
      <c r="J97" s="16"/>
      <c r="K97" s="16"/>
      <c r="L97" s="16"/>
      <c r="M97" s="16"/>
      <c r="N97" s="16"/>
      <c r="O97" s="16"/>
      <c r="S97" s="32"/>
    </row>
    <row r="98" spans="1:19" ht="15.75" customHeight="1">
      <c r="A98" s="3"/>
      <c r="B98" s="198"/>
      <c r="D98" s="155" t="s">
        <v>433</v>
      </c>
      <c r="E98" s="181"/>
      <c r="F98" s="181"/>
      <c r="G98" s="181"/>
      <c r="H98" s="181"/>
      <c r="I98" s="182"/>
      <c r="J98" s="16"/>
      <c r="K98" s="16"/>
      <c r="L98" s="16"/>
      <c r="M98" s="16"/>
      <c r="N98" s="16"/>
      <c r="O98" s="16"/>
      <c r="S98" s="32"/>
    </row>
    <row r="99" spans="1:19" ht="15.75" customHeight="1">
      <c r="B99" s="198" t="s">
        <v>55</v>
      </c>
      <c r="D99" s="66">
        <v>40</v>
      </c>
      <c r="E99" s="17">
        <f>SUMIFS('305 Inputs'!$G:$G,'305 Inputs'!$J:$J,$D99,'305 Inputs'!$C:$C,$D$98)</f>
        <v>2717.25</v>
      </c>
      <c r="F99" s="17">
        <f>SUMIFS('305 Inputs'!$H:$H,'305 Inputs'!$J:$J,$D99,'305 Inputs'!$C:$C,$D$98)</f>
        <v>97318341</v>
      </c>
      <c r="G99" s="17">
        <v>0</v>
      </c>
      <c r="H99" s="17">
        <f>G99</f>
        <v>0</v>
      </c>
      <c r="I99" s="183">
        <f>H99+F99</f>
        <v>97318341</v>
      </c>
      <c r="J99" s="16">
        <f>'Table 3'!E99</f>
        <v>7340405.1399999997</v>
      </c>
      <c r="K99" s="16">
        <f>'Table 3'!J99</f>
        <v>1822825.4694154039</v>
      </c>
      <c r="L99" s="16">
        <f>'Table 3'!N99</f>
        <v>0</v>
      </c>
      <c r="M99" s="16">
        <f>'Table 3'!R99</f>
        <v>0</v>
      </c>
      <c r="N99" s="16">
        <f>K99+L99+M99</f>
        <v>1822825.4694154039</v>
      </c>
      <c r="O99" s="16">
        <f>N99+J99</f>
        <v>9163230.6094154045</v>
      </c>
      <c r="Q99" s="5"/>
      <c r="R99" s="5"/>
      <c r="S99" s="32"/>
    </row>
    <row r="100" spans="1:19" ht="15.75" customHeight="1">
      <c r="B100" s="198" t="s">
        <v>56</v>
      </c>
      <c r="D100" s="66" t="s">
        <v>145</v>
      </c>
      <c r="E100" s="184">
        <f>SUMIFS('305 Inputs'!$G:$G,'305 Inputs'!$J:$J,$D100,'305 Inputs'!$C:$C,$D$98)</f>
        <v>2445.6666666666702</v>
      </c>
      <c r="F100" s="184">
        <f>SUMIFS('305 Inputs'!$H:$H,'305 Inputs'!$J:$J,$D100,'305 Inputs'!$C:$C,$D$98)</f>
        <v>71059566</v>
      </c>
      <c r="G100" s="184">
        <v>0</v>
      </c>
      <c r="H100" s="184">
        <f>G100</f>
        <v>0</v>
      </c>
      <c r="I100" s="185">
        <f>H100+F100</f>
        <v>71059566</v>
      </c>
      <c r="J100" s="186">
        <f>'Table 3'!E100</f>
        <v>5899783.9299999997</v>
      </c>
      <c r="K100" s="186">
        <f>'Table 3'!J100</f>
        <v>105160.81002459582</v>
      </c>
      <c r="L100" s="186">
        <f>'Table 3'!N100</f>
        <v>0</v>
      </c>
      <c r="M100" s="186">
        <f>'Table 3'!R100</f>
        <v>0</v>
      </c>
      <c r="N100" s="186">
        <f>K100+L100+M100</f>
        <v>105160.81002459582</v>
      </c>
      <c r="O100" s="186">
        <f>N100+J100</f>
        <v>6004944.7400245955</v>
      </c>
      <c r="Q100" s="5"/>
      <c r="R100" s="5"/>
      <c r="S100" s="32"/>
    </row>
    <row r="101" spans="1:19" ht="15.75" customHeight="1">
      <c r="B101" s="2" t="s">
        <v>33</v>
      </c>
      <c r="D101" s="66"/>
      <c r="E101" s="17">
        <f>SUM(E99:E100)</f>
        <v>5162.9166666666697</v>
      </c>
      <c r="F101" s="17">
        <f>SUM(F99:F100)</f>
        <v>168377907</v>
      </c>
      <c r="G101" s="17">
        <f t="shared" ref="G101:O101" si="37">SUM(G99:G100)</f>
        <v>0</v>
      </c>
      <c r="H101" s="17">
        <f t="shared" si="37"/>
        <v>0</v>
      </c>
      <c r="I101" s="183">
        <f t="shared" si="37"/>
        <v>168377907</v>
      </c>
      <c r="J101" s="16">
        <f t="shared" si="37"/>
        <v>13240189.07</v>
      </c>
      <c r="K101" s="16">
        <f t="shared" si="37"/>
        <v>1927986.2794399997</v>
      </c>
      <c r="L101" s="16">
        <f>SUM(L99:L100)</f>
        <v>0</v>
      </c>
      <c r="M101" s="16">
        <f>SUM(M99:M100)</f>
        <v>0</v>
      </c>
      <c r="N101" s="16">
        <f t="shared" si="37"/>
        <v>1927986.2794399997</v>
      </c>
      <c r="O101" s="16">
        <f t="shared" si="37"/>
        <v>15168175.349440001</v>
      </c>
      <c r="Q101" s="5"/>
      <c r="R101" s="5"/>
      <c r="S101" s="32"/>
    </row>
    <row r="102" spans="1:19" s="6" customFormat="1" ht="15.75" customHeight="1">
      <c r="A102" s="2"/>
      <c r="B102" s="2"/>
      <c r="C102" s="2"/>
      <c r="D102" s="66"/>
      <c r="E102" s="181"/>
      <c r="F102" s="181"/>
      <c r="G102" s="181" t="s">
        <v>29</v>
      </c>
      <c r="H102" s="181" t="s">
        <v>29</v>
      </c>
      <c r="I102" s="182" t="s">
        <v>29</v>
      </c>
      <c r="J102" s="16" t="s">
        <v>29</v>
      </c>
      <c r="K102" s="16" t="s">
        <v>29</v>
      </c>
      <c r="L102" s="16" t="s">
        <v>29</v>
      </c>
      <c r="M102" s="16" t="s">
        <v>29</v>
      </c>
      <c r="N102" s="16"/>
      <c r="O102" s="181"/>
      <c r="P102" s="6" t="s">
        <v>29</v>
      </c>
      <c r="Q102" s="7"/>
      <c r="R102" s="7"/>
      <c r="S102" s="10"/>
    </row>
    <row r="103" spans="1:19" s="6" customFormat="1" ht="15.75" customHeight="1">
      <c r="B103" s="2" t="s">
        <v>32</v>
      </c>
      <c r="D103" s="66" t="s">
        <v>138</v>
      </c>
      <c r="E103" s="184">
        <f>SUMIFS('305 Inputs'!$G:$G,'305 Inputs'!$I:$I,$D103,'305 Inputs'!$C:$C,$D$98)</f>
        <v>0</v>
      </c>
      <c r="F103" s="184">
        <f>SUMIFS('305 Inputs'!$H:$H,'305 Inputs'!$J:$J,$D103,'305 Inputs'!$C:$C,$D$98)</f>
        <v>0</v>
      </c>
      <c r="G103" s="184">
        <v>0</v>
      </c>
      <c r="H103" s="184">
        <v>0</v>
      </c>
      <c r="I103" s="185">
        <f>H103+F103</f>
        <v>0</v>
      </c>
      <c r="J103" s="186">
        <f>'Table 3'!E103</f>
        <v>184551.3</v>
      </c>
      <c r="K103" s="186">
        <f>'Table 3'!J103</f>
        <v>0</v>
      </c>
      <c r="L103" s="186">
        <f>'Table 3'!N103</f>
        <v>0</v>
      </c>
      <c r="M103" s="186">
        <f>'Table 3'!R103</f>
        <v>0</v>
      </c>
      <c r="N103" s="186">
        <f>K103+L103+M103</f>
        <v>0</v>
      </c>
      <c r="O103" s="186">
        <f>N103+J103</f>
        <v>184551.3</v>
      </c>
      <c r="Q103" s="7"/>
      <c r="R103" s="7"/>
      <c r="S103" s="10"/>
    </row>
    <row r="104" spans="1:19" s="6" customFormat="1" ht="15.75" customHeight="1">
      <c r="B104" s="2"/>
      <c r="D104" s="66"/>
      <c r="E104" s="184"/>
      <c r="F104" s="184"/>
      <c r="G104" s="184"/>
      <c r="H104" s="184"/>
      <c r="I104" s="185"/>
      <c r="J104" s="186"/>
      <c r="K104" s="186"/>
      <c r="L104" s="186"/>
      <c r="M104" s="186"/>
      <c r="N104" s="186"/>
      <c r="O104" s="186"/>
      <c r="Q104" s="7"/>
      <c r="R104" s="7"/>
      <c r="S104" s="10"/>
    </row>
    <row r="105" spans="1:19" s="6" customFormat="1" ht="15.75" customHeight="1">
      <c r="B105" s="2" t="s">
        <v>237</v>
      </c>
      <c r="D105" s="66" t="s">
        <v>344</v>
      </c>
      <c r="E105" s="184">
        <f>SUMIFS('305 Inputs'!$G:$G,'305 Inputs'!$I:$I,$D105,'305 Inputs'!$C:$C,$D$98)</f>
        <v>0</v>
      </c>
      <c r="F105" s="184">
        <f>SUMIFS('305 Inputs'!$H:$H,'305 Inputs'!$J:$J,$D105,'305 Inputs'!$C:$C,$D$98)</f>
        <v>0</v>
      </c>
      <c r="G105" s="184">
        <v>0</v>
      </c>
      <c r="H105" s="184">
        <v>0</v>
      </c>
      <c r="I105" s="185">
        <f t="shared" ref="I105:I110" si="38">H105+F105</f>
        <v>0</v>
      </c>
      <c r="J105" s="186">
        <f>'Table 3'!E105</f>
        <v>-132000</v>
      </c>
      <c r="K105" s="186">
        <f>'Table 3'!J105</f>
        <v>132000</v>
      </c>
      <c r="L105" s="186">
        <f>'Table 3'!N105</f>
        <v>0</v>
      </c>
      <c r="M105" s="186">
        <f>'Table 3'!R105</f>
        <v>0</v>
      </c>
      <c r="N105" s="186">
        <f t="shared" ref="N105:N110" si="39">K105+L105+M105</f>
        <v>132000</v>
      </c>
      <c r="O105" s="186">
        <f t="shared" ref="O105:O110" si="40">N105+J105</f>
        <v>0</v>
      </c>
      <c r="Q105" s="7"/>
      <c r="R105" s="7"/>
      <c r="S105" s="10"/>
    </row>
    <row r="106" spans="1:19" ht="15.75" customHeight="1">
      <c r="B106" s="2" t="s">
        <v>235</v>
      </c>
      <c r="D106" s="66" t="s">
        <v>203</v>
      </c>
      <c r="E106" s="184">
        <f>SUMIFS('305 Inputs'!$G:$G,'305 Inputs'!$I:$I,$D106,'305 Inputs'!$C:$C,$D$98)</f>
        <v>0</v>
      </c>
      <c r="F106" s="184">
        <f>SUMIFS('305 Inputs'!$H:$H,'305 Inputs'!$J:$J,$D106,'305 Inputs'!$C:$C,$D$98)</f>
        <v>0</v>
      </c>
      <c r="G106" s="184">
        <v>0</v>
      </c>
      <c r="H106" s="184">
        <v>0</v>
      </c>
      <c r="I106" s="185">
        <f t="shared" si="38"/>
        <v>0</v>
      </c>
      <c r="J106" s="186">
        <f>'Table 3'!E106</f>
        <v>-363297.7</v>
      </c>
      <c r="K106" s="186">
        <f>'Table 3'!J106</f>
        <v>363297.7</v>
      </c>
      <c r="L106" s="186">
        <f>'Table 3'!N106</f>
        <v>0</v>
      </c>
      <c r="M106" s="186">
        <f>'Table 3'!R106</f>
        <v>0</v>
      </c>
      <c r="N106" s="186">
        <f t="shared" si="39"/>
        <v>363297.7</v>
      </c>
      <c r="O106" s="186">
        <f t="shared" si="40"/>
        <v>0</v>
      </c>
      <c r="Q106" s="5"/>
      <c r="R106" s="5"/>
      <c r="S106" s="32"/>
    </row>
    <row r="107" spans="1:19" s="6" customFormat="1" ht="15.75" customHeight="1">
      <c r="B107" s="2" t="s">
        <v>280</v>
      </c>
      <c r="D107" s="66" t="s">
        <v>273</v>
      </c>
      <c r="E107" s="184">
        <f>SUMIFS('305 Inputs'!$G:$G,'305 Inputs'!$I:$I,$D107,'305 Inputs'!$C:$C,$D$98)</f>
        <v>0</v>
      </c>
      <c r="F107" s="184">
        <f>SUMIFS('305 Inputs'!$H:$H,'305 Inputs'!$J:$J,$D107,'305 Inputs'!$C:$C,$D$98)</f>
        <v>0</v>
      </c>
      <c r="G107" s="184">
        <v>0</v>
      </c>
      <c r="H107" s="184">
        <v>0</v>
      </c>
      <c r="I107" s="185">
        <f t="shared" si="38"/>
        <v>0</v>
      </c>
      <c r="J107" s="186">
        <f>'Table 3'!E107</f>
        <v>447812.01</v>
      </c>
      <c r="K107" s="186">
        <f>'Table 3'!J107</f>
        <v>-447812.01</v>
      </c>
      <c r="L107" s="186">
        <f>'Table 3'!N107</f>
        <v>0</v>
      </c>
      <c r="M107" s="186">
        <f>'Table 3'!R107</f>
        <v>0</v>
      </c>
      <c r="N107" s="186">
        <f t="shared" si="39"/>
        <v>-447812.01</v>
      </c>
      <c r="O107" s="186">
        <f t="shared" si="40"/>
        <v>0</v>
      </c>
      <c r="Q107" s="7"/>
      <c r="R107" s="7"/>
      <c r="S107" s="10"/>
    </row>
    <row r="108" spans="1:19" s="6" customFormat="1" ht="15.75" customHeight="1">
      <c r="B108" s="2" t="s">
        <v>276</v>
      </c>
      <c r="D108" s="66" t="s">
        <v>274</v>
      </c>
      <c r="E108" s="184">
        <f>SUMIFS('305 Inputs'!$G:$G,'305 Inputs'!$I:$I,$D108,'305 Inputs'!$C:$C,$D$98)</f>
        <v>0</v>
      </c>
      <c r="F108" s="184">
        <f>SUMIFS('305 Inputs'!$H:$H,'305 Inputs'!$J:$J,$D108,'305 Inputs'!$C:$C,$D$98)</f>
        <v>0</v>
      </c>
      <c r="G108" s="184">
        <v>0</v>
      </c>
      <c r="H108" s="184">
        <v>0</v>
      </c>
      <c r="I108" s="185">
        <f t="shared" si="38"/>
        <v>0</v>
      </c>
      <c r="J108" s="186">
        <f>'Table 3'!E108</f>
        <v>1046.21</v>
      </c>
      <c r="K108" s="186">
        <f>'Table 3'!J108</f>
        <v>-1046.21</v>
      </c>
      <c r="L108" s="186">
        <f>'Table 3'!N108</f>
        <v>0</v>
      </c>
      <c r="M108" s="186">
        <f>'Table 3'!R108</f>
        <v>0</v>
      </c>
      <c r="N108" s="186">
        <f t="shared" si="39"/>
        <v>-1046.21</v>
      </c>
      <c r="O108" s="186">
        <f t="shared" si="40"/>
        <v>0</v>
      </c>
      <c r="Q108" s="7"/>
      <c r="R108" s="7"/>
      <c r="S108" s="10"/>
    </row>
    <row r="109" spans="1:19" s="6" customFormat="1" ht="15.75" customHeight="1">
      <c r="B109" s="2" t="s">
        <v>89</v>
      </c>
      <c r="D109" s="66" t="s">
        <v>140</v>
      </c>
      <c r="E109" s="184">
        <f>SUMIFS('305 Inputs'!$G:$G,'305 Inputs'!$I:$I,$D109,'305 Inputs'!$C:$C,$D$98)</f>
        <v>0</v>
      </c>
      <c r="F109" s="184">
        <f>SUMIFS('305 Inputs'!$H:$H,'305 Inputs'!$J:$J,$D109,'305 Inputs'!$C:$C,$D$98)</f>
        <v>0</v>
      </c>
      <c r="G109" s="184">
        <v>0</v>
      </c>
      <c r="H109" s="184">
        <v>0</v>
      </c>
      <c r="I109" s="185">
        <f t="shared" si="38"/>
        <v>0</v>
      </c>
      <c r="J109" s="186">
        <f>'Table 3'!E109</f>
        <v>-28399.55</v>
      </c>
      <c r="K109" s="186">
        <f>'Table 3'!J109</f>
        <v>28399.55</v>
      </c>
      <c r="L109" s="186">
        <f>'Table 3'!N109</f>
        <v>0</v>
      </c>
      <c r="M109" s="186">
        <f>'Table 3'!R109</f>
        <v>0</v>
      </c>
      <c r="N109" s="186">
        <f t="shared" si="39"/>
        <v>28399.55</v>
      </c>
      <c r="O109" s="186">
        <f t="shared" si="40"/>
        <v>0</v>
      </c>
      <c r="Q109" s="7"/>
      <c r="R109" s="7"/>
      <c r="S109" s="10"/>
    </row>
    <row r="110" spans="1:19" s="6" customFormat="1" ht="15.75" customHeight="1">
      <c r="B110" s="2" t="s">
        <v>152</v>
      </c>
      <c r="D110" s="66" t="s">
        <v>225</v>
      </c>
      <c r="E110" s="184">
        <f>SUMIFS('305 Inputs'!$G:$G,'305 Inputs'!$I:$I,$D110,'305 Inputs'!$C:$C,$D$98)</f>
        <v>0</v>
      </c>
      <c r="F110" s="184">
        <v>0</v>
      </c>
      <c r="G110" s="184">
        <v>0</v>
      </c>
      <c r="H110" s="184">
        <v>0</v>
      </c>
      <c r="I110" s="185">
        <f t="shared" si="38"/>
        <v>0</v>
      </c>
      <c r="J110" s="186">
        <f>'Table 3'!E110</f>
        <v>100967.39</v>
      </c>
      <c r="K110" s="186">
        <f>'Table 3'!J110</f>
        <v>-100967.39</v>
      </c>
      <c r="L110" s="186">
        <f>'Table 3'!N110</f>
        <v>0</v>
      </c>
      <c r="M110" s="186">
        <f>'Table 3'!R110</f>
        <v>0</v>
      </c>
      <c r="N110" s="186">
        <f t="shared" si="39"/>
        <v>-100967.39</v>
      </c>
      <c r="O110" s="186">
        <f t="shared" si="40"/>
        <v>0</v>
      </c>
      <c r="Q110" s="7"/>
      <c r="R110" s="7"/>
      <c r="S110" s="10"/>
    </row>
    <row r="111" spans="1:19" s="6" customFormat="1" ht="15.75" customHeight="1">
      <c r="B111" s="2" t="s">
        <v>406</v>
      </c>
      <c r="D111" s="66" t="s">
        <v>407</v>
      </c>
      <c r="E111" s="184">
        <f>SUMIFS('305 Inputs'!$G:$G,'305 Inputs'!$I:$I,$D111,'305 Inputs'!$C:$C,$D$98)</f>
        <v>0</v>
      </c>
      <c r="F111" s="184">
        <f>SUMIFS('305 Inputs'!$H:$H,'305 Inputs'!$J:$J,$D111,'305 Inputs'!$C:$C,$D$98)</f>
        <v>0</v>
      </c>
      <c r="G111" s="184">
        <v>0</v>
      </c>
      <c r="H111" s="184">
        <v>0</v>
      </c>
      <c r="I111" s="185">
        <f t="shared" ref="I111:I112" si="41">H111+F111</f>
        <v>0</v>
      </c>
      <c r="J111" s="186">
        <f>'Table 3'!E111</f>
        <v>0</v>
      </c>
      <c r="K111" s="186">
        <f>'Table 3'!J111</f>
        <v>0</v>
      </c>
      <c r="L111" s="186">
        <f>'Table 3'!N111</f>
        <v>0</v>
      </c>
      <c r="M111" s="186">
        <f>'Table 3'!R111</f>
        <v>0</v>
      </c>
      <c r="N111" s="186">
        <f t="shared" ref="N111:N112" si="42">K111+L111+M111</f>
        <v>0</v>
      </c>
      <c r="O111" s="186">
        <f t="shared" ref="O111:O112" si="43">N111+J111</f>
        <v>0</v>
      </c>
      <c r="Q111" s="7"/>
      <c r="R111" s="7"/>
      <c r="S111" s="10"/>
    </row>
    <row r="112" spans="1:19" s="6" customFormat="1" ht="15.75" customHeight="1">
      <c r="B112" s="2" t="s">
        <v>405</v>
      </c>
      <c r="D112" s="66" t="s">
        <v>408</v>
      </c>
      <c r="E112" s="184">
        <f>SUMIFS('305 Inputs'!$G:$G,'305 Inputs'!$I:$I,$D112,'305 Inputs'!$C:$C,$D$98)</f>
        <v>0</v>
      </c>
      <c r="F112" s="184">
        <f>SUMIFS('305 Inputs'!$H:$H,'305 Inputs'!$J:$J,$D112,'305 Inputs'!$C:$C,$D$98)</f>
        <v>0</v>
      </c>
      <c r="G112" s="184">
        <v>0</v>
      </c>
      <c r="H112" s="184">
        <v>0</v>
      </c>
      <c r="I112" s="185">
        <f t="shared" si="41"/>
        <v>0</v>
      </c>
      <c r="J112" s="186">
        <f>'Table 3'!E112</f>
        <v>-937011.72</v>
      </c>
      <c r="K112" s="186">
        <f>'Table 3'!J112</f>
        <v>937011.72</v>
      </c>
      <c r="L112" s="186">
        <f>'Table 3'!N112</f>
        <v>0</v>
      </c>
      <c r="M112" s="186">
        <f>'Table 3'!R112</f>
        <v>0</v>
      </c>
      <c r="N112" s="186">
        <f t="shared" si="42"/>
        <v>937011.72</v>
      </c>
      <c r="O112" s="186">
        <f t="shared" si="43"/>
        <v>0</v>
      </c>
      <c r="Q112" s="7"/>
      <c r="R112" s="7"/>
      <c r="S112" s="10"/>
    </row>
    <row r="113" spans="1:19" ht="15.75" customHeight="1">
      <c r="D113" s="66"/>
      <c r="E113" s="181"/>
      <c r="F113" s="181"/>
      <c r="G113" s="181"/>
      <c r="H113" s="181"/>
      <c r="I113" s="182"/>
      <c r="J113" s="16"/>
      <c r="K113" s="16"/>
      <c r="L113" s="16"/>
      <c r="M113" s="16"/>
      <c r="N113" s="16"/>
      <c r="O113" s="16"/>
      <c r="Q113" s="5"/>
      <c r="R113" s="5"/>
      <c r="S113" s="32"/>
    </row>
    <row r="114" spans="1:19" s="6" customFormat="1" ht="15.75" customHeight="1">
      <c r="B114" s="2" t="s">
        <v>74</v>
      </c>
      <c r="D114" s="66" t="s">
        <v>141</v>
      </c>
      <c r="E114" s="184">
        <f>SUMIFS('305 Inputs'!$G:$G,'305 Inputs'!$I:$I,$D114,'305 Inputs'!$C:$C,$D$98)</f>
        <v>0</v>
      </c>
      <c r="F114" s="184">
        <f>SUMIFS('305 Inputs'!$H:$H,'305 Inputs'!$J:$J,$D114,'305 Inputs'!$C:$C,$D$98)</f>
        <v>-8084000</v>
      </c>
      <c r="G114" s="184">
        <v>0</v>
      </c>
      <c r="H114" s="184">
        <v>0</v>
      </c>
      <c r="I114" s="185">
        <f>H114+F114</f>
        <v>-8084000</v>
      </c>
      <c r="J114" s="186">
        <f>'Table 3'!E114</f>
        <v>236000</v>
      </c>
      <c r="K114" s="186">
        <f>'Table 3'!J114</f>
        <v>-236000</v>
      </c>
      <c r="L114" s="186">
        <f>'Table 3'!N114</f>
        <v>0</v>
      </c>
      <c r="M114" s="186">
        <f>'Table 3'!R114</f>
        <v>0</v>
      </c>
      <c r="N114" s="186">
        <f>K114+L114+M114</f>
        <v>-236000</v>
      </c>
      <c r="O114" s="186">
        <f>N114+J114</f>
        <v>0</v>
      </c>
      <c r="Q114" s="7"/>
      <c r="R114" s="7"/>
      <c r="S114" s="10"/>
    </row>
    <row r="115" spans="1:19" ht="15.75" customHeight="1">
      <c r="B115" s="198"/>
      <c r="D115" s="66"/>
      <c r="E115" s="17"/>
      <c r="F115" s="17"/>
      <c r="G115" s="17"/>
      <c r="H115" s="17"/>
      <c r="I115" s="183"/>
      <c r="J115" s="16"/>
      <c r="K115" s="16"/>
      <c r="L115" s="16"/>
      <c r="M115" s="16"/>
      <c r="N115" s="16"/>
      <c r="O115" s="16"/>
      <c r="Q115" s="5"/>
      <c r="R115" s="5"/>
      <c r="S115" s="32"/>
    </row>
    <row r="116" spans="1:19" ht="15.75" customHeight="1">
      <c r="B116" s="18" t="s">
        <v>8</v>
      </c>
      <c r="C116" s="19"/>
      <c r="D116" s="323"/>
      <c r="E116" s="190">
        <f t="shared" ref="E116:O116" si="44">E101+E103+SUM(E105:E114)</f>
        <v>5162.9166666666697</v>
      </c>
      <c r="F116" s="190">
        <f t="shared" si="44"/>
        <v>160293907</v>
      </c>
      <c r="G116" s="190">
        <f t="shared" si="44"/>
        <v>0</v>
      </c>
      <c r="H116" s="190">
        <f t="shared" si="44"/>
        <v>0</v>
      </c>
      <c r="I116" s="308">
        <f t="shared" si="44"/>
        <v>160293907</v>
      </c>
      <c r="J116" s="191">
        <f t="shared" si="44"/>
        <v>12749857.010000002</v>
      </c>
      <c r="K116" s="191">
        <f t="shared" si="44"/>
        <v>2602869.6394399996</v>
      </c>
      <c r="L116" s="191">
        <f t="shared" si="44"/>
        <v>0</v>
      </c>
      <c r="M116" s="191">
        <f t="shared" si="44"/>
        <v>0</v>
      </c>
      <c r="N116" s="191">
        <f t="shared" si="44"/>
        <v>2602869.6394399996</v>
      </c>
      <c r="O116" s="191">
        <f t="shared" si="44"/>
        <v>15352726.649440002</v>
      </c>
      <c r="Q116" s="5"/>
      <c r="R116" s="5"/>
      <c r="S116" s="32"/>
    </row>
    <row r="117" spans="1:19" ht="15.75" customHeight="1">
      <c r="B117" s="198"/>
      <c r="D117" s="66"/>
      <c r="E117" s="17"/>
      <c r="F117" s="17"/>
      <c r="G117" s="17"/>
      <c r="H117" s="17"/>
      <c r="I117" s="183"/>
      <c r="J117" s="16"/>
      <c r="K117" s="16"/>
      <c r="L117" s="16"/>
      <c r="M117" s="16"/>
      <c r="N117" s="16"/>
      <c r="O117" s="16"/>
      <c r="Q117" s="5"/>
      <c r="R117" s="5"/>
      <c r="S117" s="32"/>
    </row>
    <row r="118" spans="1:19" ht="15.75" customHeight="1">
      <c r="A118" s="3" t="s">
        <v>34</v>
      </c>
      <c r="B118" s="198"/>
      <c r="D118" s="66"/>
      <c r="E118" s="181"/>
      <c r="F118" s="181"/>
      <c r="G118" s="181"/>
      <c r="H118" s="181"/>
      <c r="I118" s="182"/>
      <c r="J118" s="16"/>
      <c r="K118" s="16"/>
      <c r="L118" s="16"/>
      <c r="M118" s="16"/>
      <c r="N118" s="16"/>
      <c r="O118" s="16"/>
      <c r="S118" s="32"/>
    </row>
    <row r="119" spans="1:19" ht="15.75" customHeight="1">
      <c r="A119" s="3"/>
      <c r="B119" s="198"/>
      <c r="D119" s="155" t="s">
        <v>462</v>
      </c>
      <c r="E119" s="181"/>
      <c r="F119" s="181"/>
      <c r="G119" s="181"/>
      <c r="H119" s="181"/>
      <c r="I119" s="182"/>
      <c r="J119" s="16"/>
      <c r="K119" s="16"/>
      <c r="L119" s="16"/>
      <c r="M119" s="16"/>
      <c r="N119" s="16"/>
      <c r="O119" s="16"/>
      <c r="S119" s="32"/>
    </row>
    <row r="120" spans="1:19" ht="15.75" customHeight="1">
      <c r="B120" s="198" t="s">
        <v>58</v>
      </c>
      <c r="D120" s="66">
        <v>52</v>
      </c>
      <c r="E120" s="17">
        <f>SUMIFS('305 Inputs'!$G:$G,'305 Inputs'!$J:$J,$D120,'305 Inputs'!$C:$C,$D$119)</f>
        <v>4.8333333333333304</v>
      </c>
      <c r="F120" s="17">
        <f>SUMIFS('305 Inputs'!$H:$H,'305 Inputs'!$J:$J,$D120,'305 Inputs'!$C:$C,$D$119)</f>
        <v>27306</v>
      </c>
      <c r="G120" s="17">
        <v>0</v>
      </c>
      <c r="H120" s="17">
        <f t="shared" ref="H120:H125" si="45">G120</f>
        <v>0</v>
      </c>
      <c r="I120" s="183">
        <f t="shared" ref="I120:I125" si="46">H120+F120</f>
        <v>27306</v>
      </c>
      <c r="J120" s="16">
        <f>'Table 3'!E120</f>
        <v>4180.96</v>
      </c>
      <c r="K120" s="16">
        <f>'Table 3'!J120</f>
        <v>-839.70610767246205</v>
      </c>
      <c r="L120" s="16">
        <f>'Table 3'!N120</f>
        <v>0</v>
      </c>
      <c r="M120" s="16">
        <f>'Table 3'!R120</f>
        <v>0</v>
      </c>
      <c r="N120" s="16">
        <f t="shared" ref="N120:N125" si="47">K120+L120+M120</f>
        <v>-839.70610767246205</v>
      </c>
      <c r="O120" s="16">
        <f t="shared" ref="O120:O125" si="48">N120+J120</f>
        <v>3341.2538923275379</v>
      </c>
      <c r="Q120" s="5"/>
      <c r="R120" s="5"/>
      <c r="S120" s="32"/>
    </row>
    <row r="121" spans="1:19" ht="15.75" customHeight="1">
      <c r="B121" s="198" t="s">
        <v>59</v>
      </c>
      <c r="D121" s="66" t="s">
        <v>146</v>
      </c>
      <c r="E121" s="17">
        <f>SUMIFS('305 Inputs'!$G:$G,'305 Inputs'!$J:$J,$D121,'305 Inputs'!$C:$C,$D$119)</f>
        <v>118.75</v>
      </c>
      <c r="F121" s="17">
        <f>SUMIFS('305 Inputs'!$H:$H,'305 Inputs'!$J:$J,$D121,'305 Inputs'!$C:$C,$D$119)</f>
        <v>2703356</v>
      </c>
      <c r="G121" s="17">
        <v>0</v>
      </c>
      <c r="H121" s="17">
        <f t="shared" si="45"/>
        <v>0</v>
      </c>
      <c r="I121" s="183">
        <f t="shared" si="46"/>
        <v>2703356</v>
      </c>
      <c r="J121" s="16">
        <f>'Table 3'!E121</f>
        <v>190991.81</v>
      </c>
      <c r="K121" s="16">
        <f>'Table 3'!J121</f>
        <v>-36509.439867780267</v>
      </c>
      <c r="L121" s="16">
        <f>'Table 3'!N121</f>
        <v>0</v>
      </c>
      <c r="M121" s="16">
        <f>'Table 3'!R121</f>
        <v>0</v>
      </c>
      <c r="N121" s="16">
        <f t="shared" si="47"/>
        <v>-36509.439867780267</v>
      </c>
      <c r="O121" s="16">
        <f t="shared" si="48"/>
        <v>154482.37013221974</v>
      </c>
      <c r="Q121" s="5"/>
      <c r="R121" s="5"/>
      <c r="S121" s="32"/>
    </row>
    <row r="122" spans="1:19" ht="15.75" customHeight="1">
      <c r="B122" s="198" t="s">
        <v>60</v>
      </c>
      <c r="D122" s="66" t="s">
        <v>147</v>
      </c>
      <c r="E122" s="17">
        <f>SUMIFS('305 Inputs'!$G:$G,'305 Inputs'!$J:$J,$D122,'305 Inputs'!$C:$C,$D$119)</f>
        <v>110.916666666667</v>
      </c>
      <c r="F122" s="17">
        <f>SUMIFS('305 Inputs'!$H:$H,'305 Inputs'!$J:$J,$D122,'305 Inputs'!$C:$C,$D$119)</f>
        <v>721779</v>
      </c>
      <c r="G122" s="17">
        <v>0</v>
      </c>
      <c r="H122" s="17">
        <f t="shared" si="45"/>
        <v>0</v>
      </c>
      <c r="I122" s="183">
        <f t="shared" si="46"/>
        <v>721779</v>
      </c>
      <c r="J122" s="16">
        <f>'Table 3'!E122</f>
        <v>51077.56</v>
      </c>
      <c r="K122" s="16">
        <f>'Table 3'!J122</f>
        <v>-11115.239765400729</v>
      </c>
      <c r="L122" s="16">
        <f>'Table 3'!N122</f>
        <v>0</v>
      </c>
      <c r="M122" s="16">
        <f>'Table 3'!R122</f>
        <v>0</v>
      </c>
      <c r="N122" s="16">
        <f t="shared" si="47"/>
        <v>-11115.239765400729</v>
      </c>
      <c r="O122" s="16">
        <f t="shared" si="48"/>
        <v>39962.320234599269</v>
      </c>
      <c r="Q122" s="5"/>
      <c r="R122" s="5"/>
      <c r="S122" s="32"/>
    </row>
    <row r="123" spans="1:19" ht="15.75" customHeight="1">
      <c r="B123" s="198" t="s">
        <v>61</v>
      </c>
      <c r="D123" s="66">
        <v>51</v>
      </c>
      <c r="E123" s="17">
        <f>SUMIFS('305 Inputs'!$G:$G,'305 Inputs'!$J:$J,$D123,'305 Inputs'!$C:$C,$D$119)</f>
        <v>217.25</v>
      </c>
      <c r="F123" s="17">
        <f>SUMIFS('305 Inputs'!$H:$H,'305 Inputs'!$J:$J,$D123,'305 Inputs'!$C:$C,$D$119)</f>
        <v>2751261</v>
      </c>
      <c r="G123" s="17">
        <v>0</v>
      </c>
      <c r="H123" s="17">
        <f t="shared" si="45"/>
        <v>0</v>
      </c>
      <c r="I123" s="183">
        <f t="shared" si="46"/>
        <v>2751261</v>
      </c>
      <c r="J123" s="16">
        <f>'Table 3'!E123</f>
        <v>738217.54</v>
      </c>
      <c r="K123" s="16">
        <f>'Table 3'!J123</f>
        <v>-156027.23347688367</v>
      </c>
      <c r="L123" s="16">
        <f>'Table 3'!N123</f>
        <v>0</v>
      </c>
      <c r="M123" s="16">
        <f>'Table 3'!R123</f>
        <v>0</v>
      </c>
      <c r="N123" s="16">
        <f t="shared" si="47"/>
        <v>-156027.23347688367</v>
      </c>
      <c r="O123" s="16">
        <f t="shared" si="48"/>
        <v>582190.30652311631</v>
      </c>
      <c r="Q123" s="5"/>
      <c r="R123" s="5"/>
      <c r="S123" s="32"/>
    </row>
    <row r="124" spans="1:19" s="6" customFormat="1" ht="15.75" customHeight="1">
      <c r="B124" s="198" t="s">
        <v>62</v>
      </c>
      <c r="D124" s="66">
        <v>57</v>
      </c>
      <c r="E124" s="17">
        <f>SUMIFS('305 Inputs'!$G:$G,'305 Inputs'!$J:$J,$D124,'305 Inputs'!$C:$C,$D$119)</f>
        <v>11.6666666666667</v>
      </c>
      <c r="F124" s="17">
        <f>SUMIFS('305 Inputs'!$H:$H,'305 Inputs'!$J:$J,$D124,'305 Inputs'!$C:$C,$D$119)</f>
        <v>736838</v>
      </c>
      <c r="G124" s="17">
        <v>0</v>
      </c>
      <c r="H124" s="17">
        <f t="shared" si="45"/>
        <v>0</v>
      </c>
      <c r="I124" s="183">
        <f t="shared" si="46"/>
        <v>736838</v>
      </c>
      <c r="J124" s="16">
        <f>'Table 3'!E124</f>
        <v>95330.42</v>
      </c>
      <c r="K124" s="16">
        <f>'Table 3'!J124</f>
        <v>-19228.742841805666</v>
      </c>
      <c r="L124" s="16">
        <f>'Table 3'!N124</f>
        <v>0</v>
      </c>
      <c r="M124" s="16">
        <f>'Table 3'!R124</f>
        <v>0</v>
      </c>
      <c r="N124" s="16">
        <f t="shared" si="47"/>
        <v>-19228.742841805666</v>
      </c>
      <c r="O124" s="16">
        <f t="shared" si="48"/>
        <v>76101.677158194332</v>
      </c>
      <c r="Q124" s="7"/>
      <c r="R124" s="7"/>
      <c r="S124" s="10"/>
    </row>
    <row r="125" spans="1:19" s="6" customFormat="1" ht="15.75" customHeight="1">
      <c r="B125" s="198" t="s">
        <v>238</v>
      </c>
      <c r="D125" s="66">
        <v>12</v>
      </c>
      <c r="E125" s="184">
        <f>SUMIFS('305 Inputs'!$G:$G,'305 Inputs'!$J:$J,$D125,'305 Inputs'!$C:$C,$D$119)</f>
        <v>0</v>
      </c>
      <c r="F125" s="184">
        <f>SUMIFS('305 Inputs'!$H:$H,'305 Inputs'!$J:$J,$D125,'305 Inputs'!$C:$C,$D$119)</f>
        <v>0</v>
      </c>
      <c r="G125" s="184">
        <v>0</v>
      </c>
      <c r="H125" s="184">
        <f t="shared" si="45"/>
        <v>0</v>
      </c>
      <c r="I125" s="185">
        <f t="shared" si="46"/>
        <v>0</v>
      </c>
      <c r="J125" s="186">
        <f>'Table 3'!E125</f>
        <v>90.84</v>
      </c>
      <c r="K125" s="186">
        <f>'Table 3'!J125</f>
        <v>-19.76814045715971</v>
      </c>
      <c r="L125" s="186">
        <f>'Table 3'!N125</f>
        <v>0</v>
      </c>
      <c r="M125" s="186">
        <f>'Table 3'!R125</f>
        <v>0</v>
      </c>
      <c r="N125" s="186">
        <f t="shared" si="47"/>
        <v>-19.76814045715971</v>
      </c>
      <c r="O125" s="186">
        <f t="shared" si="48"/>
        <v>71.071859542840286</v>
      </c>
      <c r="Q125" s="7"/>
      <c r="R125" s="7"/>
      <c r="S125" s="10"/>
    </row>
    <row r="126" spans="1:19" ht="15.75" customHeight="1">
      <c r="B126" s="2" t="s">
        <v>65</v>
      </c>
      <c r="D126" s="66"/>
      <c r="E126" s="17">
        <f>SUM(E120:E125)</f>
        <v>463.41666666666703</v>
      </c>
      <c r="F126" s="17">
        <f>SUM(F120:F125)</f>
        <v>6940540</v>
      </c>
      <c r="G126" s="17">
        <f t="shared" ref="G126:O126" si="49">SUM(G120:G125)</f>
        <v>0</v>
      </c>
      <c r="H126" s="17">
        <f t="shared" si="49"/>
        <v>0</v>
      </c>
      <c r="I126" s="183">
        <f t="shared" si="49"/>
        <v>6940540</v>
      </c>
      <c r="J126" s="16">
        <f t="shared" si="49"/>
        <v>1079889.1300000001</v>
      </c>
      <c r="K126" s="16">
        <f t="shared" si="49"/>
        <v>-223740.13019999996</v>
      </c>
      <c r="L126" s="16">
        <f>SUM(L120:L125)</f>
        <v>0</v>
      </c>
      <c r="M126" s="16">
        <f>SUM(M120:M125)</f>
        <v>0</v>
      </c>
      <c r="N126" s="16">
        <f t="shared" si="49"/>
        <v>-223740.13019999996</v>
      </c>
      <c r="O126" s="16">
        <f t="shared" si="49"/>
        <v>856148.99980000011</v>
      </c>
      <c r="Q126" s="5"/>
      <c r="R126" s="5"/>
      <c r="S126" s="32"/>
    </row>
    <row r="127" spans="1:19" ht="15.75" customHeight="1">
      <c r="D127" s="66"/>
      <c r="E127" s="181"/>
      <c r="F127" s="181"/>
      <c r="G127" s="181"/>
      <c r="H127" s="181"/>
      <c r="I127" s="182"/>
      <c r="J127" s="16"/>
      <c r="K127" s="16"/>
      <c r="L127" s="16"/>
      <c r="M127" s="16"/>
      <c r="N127" s="16"/>
      <c r="O127" s="16"/>
      <c r="Q127" s="5"/>
      <c r="R127" s="5"/>
      <c r="S127" s="32"/>
    </row>
    <row r="128" spans="1:19" ht="15.75" customHeight="1">
      <c r="B128" s="198" t="s">
        <v>32</v>
      </c>
      <c r="D128" s="66" t="s">
        <v>138</v>
      </c>
      <c r="E128" s="184">
        <f>SUMIFS('305 Inputs'!$G:$G,'305 Inputs'!$I:$I,$D128,'305 Inputs'!$C:$C,$D$119)</f>
        <v>0</v>
      </c>
      <c r="F128" s="184">
        <f>SUMIFS('305 Inputs'!$H:$H,'305 Inputs'!$J:$J,$D128,'305 Inputs'!$C:$C,$D$119)</f>
        <v>0</v>
      </c>
      <c r="G128" s="184">
        <v>0</v>
      </c>
      <c r="H128" s="184">
        <f>G128</f>
        <v>0</v>
      </c>
      <c r="I128" s="185">
        <f>H128+F128</f>
        <v>0</v>
      </c>
      <c r="J128" s="186">
        <f>'Table 3'!E128</f>
        <v>0</v>
      </c>
      <c r="K128" s="186">
        <f>'Table 3'!J128</f>
        <v>0</v>
      </c>
      <c r="L128" s="186">
        <f>'Table 3'!N128</f>
        <v>0</v>
      </c>
      <c r="M128" s="186">
        <f>'Table 3'!R128</f>
        <v>0</v>
      </c>
      <c r="N128" s="186">
        <f>K128+L128+M128</f>
        <v>0</v>
      </c>
      <c r="O128" s="186">
        <f>N128+J128</f>
        <v>0</v>
      </c>
      <c r="Q128" s="5"/>
      <c r="R128" s="5"/>
      <c r="S128" s="32"/>
    </row>
    <row r="129" spans="1:19" ht="15.75" customHeight="1">
      <c r="B129" s="198"/>
      <c r="D129" s="66"/>
      <c r="E129" s="184"/>
      <c r="F129" s="184"/>
      <c r="G129" s="184"/>
      <c r="H129" s="184"/>
      <c r="I129" s="185"/>
      <c r="J129" s="186"/>
      <c r="K129" s="186"/>
      <c r="L129" s="186"/>
      <c r="M129" s="186"/>
      <c r="N129" s="186"/>
      <c r="O129" s="186"/>
      <c r="Q129" s="5"/>
      <c r="R129" s="5"/>
      <c r="S129" s="32"/>
    </row>
    <row r="130" spans="1:19" ht="15.75" customHeight="1">
      <c r="B130" s="2" t="s">
        <v>235</v>
      </c>
      <c r="D130" s="66" t="s">
        <v>203</v>
      </c>
      <c r="E130" s="184">
        <f>SUMIFS('305 Inputs'!$G:$G,'305 Inputs'!$I:$I,$D130,'305 Inputs'!$C:$C,$D$119)</f>
        <v>0</v>
      </c>
      <c r="F130" s="184">
        <f>SUMIFS('305 Inputs'!$H:$H,'305 Inputs'!$J:$J,$D130,'305 Inputs'!$C:$C,$D$119)</f>
        <v>0</v>
      </c>
      <c r="G130" s="184">
        <v>0</v>
      </c>
      <c r="H130" s="184">
        <f>G130</f>
        <v>0</v>
      </c>
      <c r="I130" s="185">
        <f>H130+F130</f>
        <v>0</v>
      </c>
      <c r="J130" s="186">
        <f>'Table 3'!E130</f>
        <v>-43449.86</v>
      </c>
      <c r="K130" s="186">
        <f>'Table 3'!J130</f>
        <v>43449.86</v>
      </c>
      <c r="L130" s="186">
        <f>'Table 3'!N130</f>
        <v>0</v>
      </c>
      <c r="M130" s="186">
        <f>'Table 3'!R130</f>
        <v>0</v>
      </c>
      <c r="N130" s="186">
        <f>K130+L130+M130</f>
        <v>43449.86</v>
      </c>
      <c r="O130" s="186">
        <f>N130+J130</f>
        <v>0</v>
      </c>
      <c r="Q130" s="5"/>
      <c r="R130" s="5"/>
      <c r="S130" s="32"/>
    </row>
    <row r="131" spans="1:19" ht="15.75" customHeight="1">
      <c r="B131" s="2" t="s">
        <v>280</v>
      </c>
      <c r="D131" s="66" t="s">
        <v>273</v>
      </c>
      <c r="E131" s="184">
        <f>SUMIFS('305 Inputs'!$G:$G,'305 Inputs'!$I:$I,$D131,'305 Inputs'!$C:$C,$D$119)</f>
        <v>0</v>
      </c>
      <c r="F131" s="184">
        <f>SUMIFS('305 Inputs'!$H:$H,'305 Inputs'!$J:$J,$D131,'305 Inputs'!$C:$C,$D$119)</f>
        <v>0</v>
      </c>
      <c r="G131" s="184">
        <v>0</v>
      </c>
      <c r="H131" s="184">
        <f>G131</f>
        <v>0</v>
      </c>
      <c r="I131" s="185">
        <f>H131+F131</f>
        <v>0</v>
      </c>
      <c r="J131" s="186">
        <f>'Table 3'!E131</f>
        <v>18613.95</v>
      </c>
      <c r="K131" s="186">
        <f>'Table 3'!J131</f>
        <v>-18613.95</v>
      </c>
      <c r="L131" s="186">
        <f>'Table 3'!N131</f>
        <v>0</v>
      </c>
      <c r="M131" s="186">
        <f>'Table 3'!R131</f>
        <v>0</v>
      </c>
      <c r="N131" s="186">
        <f>K131+L131+M131</f>
        <v>-18613.95</v>
      </c>
      <c r="O131" s="186">
        <f>N131+J131</f>
        <v>0</v>
      </c>
      <c r="Q131" s="5"/>
      <c r="R131" s="5"/>
      <c r="S131" s="32"/>
    </row>
    <row r="132" spans="1:19" ht="15.75" customHeight="1">
      <c r="B132" s="2" t="s">
        <v>406</v>
      </c>
      <c r="D132" s="66" t="s">
        <v>407</v>
      </c>
      <c r="E132" s="184">
        <f>SUMIFS('305 Inputs'!$G:$G,'305 Inputs'!$I:$I,$D132,'305 Inputs'!$C:$C,$D$119)</f>
        <v>0</v>
      </c>
      <c r="F132" s="184">
        <f>SUMIFS('305 Inputs'!$H:$H,'305 Inputs'!$J:$J,$D132,'305 Inputs'!$C:$C,$D$119)</f>
        <v>0</v>
      </c>
      <c r="G132" s="184">
        <v>0</v>
      </c>
      <c r="H132" s="184">
        <f>G132</f>
        <v>0</v>
      </c>
      <c r="I132" s="185">
        <f>H132+F132</f>
        <v>0</v>
      </c>
      <c r="J132" s="186">
        <f>'Table 3'!E132</f>
        <v>0</v>
      </c>
      <c r="K132" s="186">
        <f>'Table 3'!J132</f>
        <v>0</v>
      </c>
      <c r="L132" s="186">
        <f>'Table 3'!N132</f>
        <v>0</v>
      </c>
      <c r="M132" s="186">
        <f>'Table 3'!R132</f>
        <v>0</v>
      </c>
      <c r="N132" s="186">
        <f>K132+L132+M132</f>
        <v>0</v>
      </c>
      <c r="O132" s="186">
        <f>N132+J132</f>
        <v>0</v>
      </c>
      <c r="Q132" s="5"/>
      <c r="R132" s="5"/>
      <c r="S132" s="32"/>
    </row>
    <row r="133" spans="1:19" ht="15.75" customHeight="1">
      <c r="B133" s="6"/>
      <c r="D133" s="66"/>
      <c r="E133" s="181"/>
      <c r="F133" s="181"/>
      <c r="G133" s="181"/>
      <c r="H133" s="181"/>
      <c r="I133" s="182"/>
      <c r="J133" s="16"/>
      <c r="K133" s="73"/>
      <c r="L133" s="73"/>
      <c r="M133" s="73"/>
      <c r="N133" s="73"/>
      <c r="O133" s="5"/>
      <c r="Q133" s="5"/>
      <c r="R133" s="5"/>
      <c r="S133" s="32"/>
    </row>
    <row r="134" spans="1:19" s="6" customFormat="1" ht="15.75" customHeight="1">
      <c r="B134" s="2" t="s">
        <v>74</v>
      </c>
      <c r="D134" s="66" t="s">
        <v>141</v>
      </c>
      <c r="E134" s="184">
        <f>SUMIFS('305 Inputs'!$G:$G,'305 Inputs'!$I:$I,$D134,'305 Inputs'!$C:$C,$D$119)</f>
        <v>0</v>
      </c>
      <c r="F134" s="184">
        <f>SUMIFS('305 Inputs'!$H:$H,'305 Inputs'!$J:$J,$D134,'305 Inputs'!$C:$C,$D$119)</f>
        <v>-1608000</v>
      </c>
      <c r="G134" s="184">
        <v>0</v>
      </c>
      <c r="H134" s="184">
        <f>G134</f>
        <v>0</v>
      </c>
      <c r="I134" s="185">
        <f>H134+F134</f>
        <v>-1608000</v>
      </c>
      <c r="J134" s="186">
        <f>'Table 3'!E134</f>
        <v>-235000</v>
      </c>
      <c r="K134" s="186">
        <f>'Table 3'!J134</f>
        <v>235000</v>
      </c>
      <c r="L134" s="186">
        <f>'Table 3'!N134</f>
        <v>0</v>
      </c>
      <c r="M134" s="186">
        <f>'Table 3'!R134</f>
        <v>0</v>
      </c>
      <c r="N134" s="186">
        <f>K134+L134+M134</f>
        <v>235000</v>
      </c>
      <c r="O134" s="186">
        <f>N134+J134</f>
        <v>0</v>
      </c>
      <c r="Q134" s="7"/>
      <c r="R134" s="7"/>
      <c r="S134" s="10"/>
    </row>
    <row r="135" spans="1:19" ht="15.75" customHeight="1">
      <c r="B135" s="6"/>
      <c r="E135" s="181"/>
      <c r="F135" s="181"/>
      <c r="G135" s="181"/>
      <c r="H135" s="181"/>
      <c r="I135" s="182"/>
      <c r="J135" s="16"/>
      <c r="K135" s="73"/>
      <c r="L135" s="73"/>
      <c r="M135" s="73"/>
      <c r="N135" s="73"/>
      <c r="O135" s="5"/>
      <c r="Q135" s="5"/>
      <c r="R135" s="5"/>
      <c r="S135" s="32"/>
    </row>
    <row r="136" spans="1:19" ht="15.75" customHeight="1">
      <c r="B136" s="18" t="s">
        <v>8</v>
      </c>
      <c r="C136" s="19"/>
      <c r="D136" s="19"/>
      <c r="E136" s="190">
        <f t="shared" ref="E136:O136" si="50">E126+E128+SUM(E130:E134)</f>
        <v>463.41666666666703</v>
      </c>
      <c r="F136" s="190">
        <f t="shared" si="50"/>
        <v>5332540</v>
      </c>
      <c r="G136" s="190">
        <f t="shared" si="50"/>
        <v>0</v>
      </c>
      <c r="H136" s="190">
        <f t="shared" si="50"/>
        <v>0</v>
      </c>
      <c r="I136" s="308">
        <f t="shared" si="50"/>
        <v>5332540</v>
      </c>
      <c r="J136" s="191">
        <f t="shared" si="50"/>
        <v>820053.22000000009</v>
      </c>
      <c r="K136" s="191">
        <f t="shared" si="50"/>
        <v>36095.779800000048</v>
      </c>
      <c r="L136" s="191">
        <f t="shared" si="50"/>
        <v>0</v>
      </c>
      <c r="M136" s="191">
        <f t="shared" si="50"/>
        <v>0</v>
      </c>
      <c r="N136" s="191">
        <f t="shared" si="50"/>
        <v>36095.779800000048</v>
      </c>
      <c r="O136" s="191">
        <f t="shared" si="50"/>
        <v>856148.99980000011</v>
      </c>
      <c r="Q136" s="5"/>
      <c r="R136" s="5"/>
      <c r="S136" s="32"/>
    </row>
    <row r="137" spans="1:19" ht="15.75" customHeight="1">
      <c r="B137" s="4"/>
      <c r="C137" s="4"/>
      <c r="D137" s="4"/>
      <c r="E137" s="181"/>
      <c r="F137" s="181"/>
      <c r="G137" s="181"/>
      <c r="H137" s="181"/>
      <c r="I137" s="182"/>
      <c r="J137" s="16" t="s">
        <v>29</v>
      </c>
      <c r="K137" s="181"/>
      <c r="L137" s="181"/>
      <c r="M137" s="181"/>
      <c r="N137" s="181"/>
      <c r="O137" s="181"/>
      <c r="Q137" s="5"/>
      <c r="R137" s="5"/>
      <c r="S137" s="32"/>
    </row>
    <row r="138" spans="1:19" ht="15.75" customHeight="1" thickBot="1">
      <c r="E138" s="181"/>
      <c r="F138" s="181"/>
      <c r="G138" s="181"/>
      <c r="H138" s="181"/>
      <c r="I138" s="182"/>
      <c r="J138" s="16"/>
      <c r="K138" s="181"/>
      <c r="L138" s="181"/>
      <c r="M138" s="181"/>
      <c r="N138" s="181"/>
      <c r="O138" s="5" t="s">
        <v>29</v>
      </c>
      <c r="Q138" s="5"/>
      <c r="R138" s="5"/>
      <c r="S138" s="32"/>
    </row>
    <row r="139" spans="1:19" s="8" customFormat="1" ht="15.75" customHeight="1" thickTop="1" thickBot="1">
      <c r="A139" s="28"/>
      <c r="B139" s="20" t="s">
        <v>8</v>
      </c>
      <c r="C139" s="21"/>
      <c r="D139" s="21"/>
      <c r="E139" s="193">
        <f t="shared" ref="E139:O139" si="51">E36+E65+E95+E116+E136</f>
        <v>138127.83333333363</v>
      </c>
      <c r="F139" s="193">
        <f t="shared" si="51"/>
        <v>4077238935</v>
      </c>
      <c r="G139" s="193">
        <f t="shared" si="51"/>
        <v>0</v>
      </c>
      <c r="H139" s="193">
        <f t="shared" si="51"/>
        <v>0</v>
      </c>
      <c r="I139" s="193">
        <f t="shared" si="51"/>
        <v>4077238935</v>
      </c>
      <c r="J139" s="194">
        <f t="shared" si="51"/>
        <v>298843491.39000005</v>
      </c>
      <c r="K139" s="194">
        <f t="shared" si="51"/>
        <v>47675158.475527987</v>
      </c>
      <c r="L139" s="194">
        <f t="shared" si="51"/>
        <v>0</v>
      </c>
      <c r="M139" s="194">
        <f t="shared" si="51"/>
        <v>0</v>
      </c>
      <c r="N139" s="194">
        <f t="shared" si="51"/>
        <v>47675158.475527987</v>
      </c>
      <c r="O139" s="194">
        <f t="shared" si="51"/>
        <v>346518649.86552799</v>
      </c>
      <c r="Q139" s="11"/>
      <c r="R139" s="11"/>
      <c r="S139" s="12"/>
    </row>
    <row r="140" spans="1:19" ht="15.75" customHeight="1" thickTop="1">
      <c r="A140" s="4"/>
      <c r="B140" s="4"/>
      <c r="C140" s="4"/>
      <c r="D140" s="4"/>
      <c r="E140" s="4"/>
      <c r="F140" s="4"/>
      <c r="G140" s="4"/>
      <c r="H140" s="4"/>
      <c r="I140" s="76" t="s">
        <v>29</v>
      </c>
      <c r="J140" s="16" t="s">
        <v>29</v>
      </c>
      <c r="K140" s="4" t="s">
        <v>29</v>
      </c>
      <c r="L140" s="4"/>
      <c r="M140" s="4"/>
      <c r="N140" s="4"/>
      <c r="O140" s="73" t="s">
        <v>29</v>
      </c>
    </row>
    <row r="141" spans="1:19" ht="15.75" customHeight="1">
      <c r="A141" s="4"/>
      <c r="B141" s="4"/>
      <c r="C141" s="4"/>
      <c r="D141" s="4"/>
      <c r="E141" s="4"/>
      <c r="F141" s="17"/>
      <c r="G141" s="4"/>
      <c r="H141" s="4"/>
      <c r="J141" s="16" t="s">
        <v>29</v>
      </c>
      <c r="K141" s="16"/>
      <c r="L141" s="4"/>
      <c r="M141" s="4"/>
      <c r="N141" s="17"/>
      <c r="O141" s="4"/>
    </row>
    <row r="142" spans="1:19" ht="15.75" customHeight="1">
      <c r="A142" s="4"/>
      <c r="B142" s="180" t="s">
        <v>241</v>
      </c>
      <c r="C142" s="4"/>
      <c r="D142" s="4"/>
      <c r="E142" s="4"/>
      <c r="F142" s="17"/>
      <c r="G142" s="4"/>
      <c r="H142" s="4"/>
      <c r="I142" s="4"/>
      <c r="J142" s="4"/>
      <c r="K142" s="4"/>
      <c r="L142" s="4"/>
      <c r="M142" s="4"/>
      <c r="N142" s="16"/>
      <c r="O142" s="4"/>
    </row>
    <row r="143" spans="1:19" ht="15.75" customHeight="1">
      <c r="A143" s="4"/>
      <c r="B143" s="180" t="s">
        <v>260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9" ht="15.75" customHeight="1">
      <c r="B144" s="26" t="s">
        <v>466</v>
      </c>
      <c r="I144" s="4"/>
    </row>
    <row r="145" spans="2:9" ht="15.75" customHeight="1">
      <c r="B145" s="2" t="s">
        <v>455</v>
      </c>
      <c r="I145" s="4"/>
    </row>
    <row r="146" spans="2:9" ht="18.600000000000001">
      <c r="B146" s="26" t="s">
        <v>29</v>
      </c>
    </row>
  </sheetData>
  <phoneticPr fontId="0" type="noConversion"/>
  <printOptions horizontalCentered="1"/>
  <pageMargins left="0.5" right="0.5" top="1" bottom="1" header="0.5" footer="0.5"/>
  <pageSetup scale="36" fitToHeight="0" orientation="portrait" r:id="rId1"/>
  <headerFooter alignWithMargins="0">
    <oddFooter>&amp;LPrepared by Pricing &amp;D&amp;CPage &amp;P of &amp;N&amp;R&amp;F&amp;A</oddFooter>
  </headerFooter>
  <rowBreaks count="1" manualBreakCount="1">
    <brk id="96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A156"/>
  <sheetViews>
    <sheetView tabSelected="1" topLeftCell="A3" zoomScale="70" zoomScaleNormal="70" zoomScaleSheetLayoutView="85" workbookViewId="0">
      <pane xSplit="4" ySplit="9" topLeftCell="E12" activePane="bottomRight" state="frozen"/>
      <selection pane="topRight"/>
      <selection pane="bottomLeft"/>
      <selection pane="bottomRight" activeCell="A3" sqref="A3"/>
    </sheetView>
  </sheetViews>
  <sheetFormatPr defaultColWidth="9" defaultRowHeight="15.6"/>
  <cols>
    <col min="1" max="1" width="5.19921875" style="2" customWidth="1"/>
    <col min="2" max="2" width="22.69921875" style="2" customWidth="1"/>
    <col min="3" max="3" width="6.19921875" style="2" customWidth="1"/>
    <col min="4" max="4" width="21.69921875" style="66" customWidth="1"/>
    <col min="5" max="6" width="17.59765625" style="2" customWidth="1"/>
    <col min="7" max="7" width="20.09765625" style="4" customWidth="1"/>
    <col min="8" max="8" width="15.59765625" style="2" customWidth="1"/>
    <col min="9" max="10" width="14.19921875" style="2" customWidth="1"/>
    <col min="11" max="11" width="15.09765625" style="2" bestFit="1" customWidth="1"/>
    <col min="12" max="12" width="10" style="2" hidden="1" customWidth="1"/>
    <col min="13" max="13" width="18.19921875" style="2" hidden="1" customWidth="1"/>
    <col min="14" max="14" width="15.8984375" style="2" customWidth="1"/>
    <col min="15" max="15" width="26.19921875" style="2" bestFit="1" customWidth="1"/>
    <col min="16" max="16" width="15.8984375" style="2" hidden="1" customWidth="1"/>
    <col min="17" max="17" width="19" style="2" hidden="1" customWidth="1"/>
    <col min="18" max="18" width="17.3984375" style="2" hidden="1" customWidth="1"/>
    <col min="19" max="19" width="20.69921875" style="2" bestFit="1" customWidth="1"/>
    <col min="20" max="20" width="2.69921875" style="2" customWidth="1"/>
    <col min="21" max="21" width="11.8984375" style="2" bestFit="1" customWidth="1"/>
    <col min="22" max="22" width="13.5" style="2" bestFit="1" customWidth="1"/>
    <col min="23" max="23" width="33.3984375" style="2" customWidth="1"/>
    <col min="24" max="24" width="33.69921875" style="2" bestFit="1" customWidth="1"/>
    <col min="25" max="25" width="10.8984375" style="2" bestFit="1" customWidth="1"/>
    <col min="26" max="26" width="9" style="2"/>
    <col min="27" max="27" width="10.3984375" style="2" bestFit="1" customWidth="1"/>
    <col min="28" max="16384" width="9" style="2"/>
  </cols>
  <sheetData>
    <row r="1" spans="1:27">
      <c r="K1" s="4"/>
      <c r="O1" s="2" t="s">
        <v>322</v>
      </c>
      <c r="V1" s="2" t="s">
        <v>27</v>
      </c>
    </row>
    <row r="2" spans="1:27">
      <c r="K2" s="4"/>
      <c r="V2" s="2" t="s">
        <v>160</v>
      </c>
    </row>
    <row r="3" spans="1:27" ht="18">
      <c r="A3" s="130" t="s">
        <v>251</v>
      </c>
      <c r="B3" s="130"/>
      <c r="C3" s="130"/>
      <c r="D3" s="321"/>
      <c r="E3" s="130"/>
      <c r="F3" s="130"/>
      <c r="G3" s="489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75"/>
    </row>
    <row r="4" spans="1:27" ht="18">
      <c r="A4" s="130" t="s">
        <v>44</v>
      </c>
      <c r="B4" s="130"/>
      <c r="C4" s="130"/>
      <c r="D4" s="321"/>
      <c r="E4" s="130"/>
      <c r="F4" s="130"/>
      <c r="G4" s="489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75"/>
    </row>
    <row r="5" spans="1:27" ht="18">
      <c r="A5" s="130" t="s">
        <v>2</v>
      </c>
      <c r="B5" s="130"/>
      <c r="C5" s="130"/>
      <c r="D5" s="321"/>
      <c r="E5" s="130"/>
      <c r="F5" s="130"/>
      <c r="G5" s="489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75"/>
      <c r="X5" s="2" t="s">
        <v>346</v>
      </c>
      <c r="Y5" s="208">
        <v>42917</v>
      </c>
    </row>
    <row r="6" spans="1:27" ht="22.8">
      <c r="A6" s="130" t="s">
        <v>29</v>
      </c>
      <c r="B6" s="159" t="str">
        <f>'Table 1-Revenues'!A6</f>
        <v>12 Months Ended June 2020</v>
      </c>
      <c r="C6" s="130"/>
      <c r="D6" s="321"/>
      <c r="E6" s="130"/>
      <c r="F6" s="130"/>
      <c r="G6" s="489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75"/>
      <c r="X6" s="2" t="s">
        <v>347</v>
      </c>
      <c r="Y6" s="208">
        <v>43281</v>
      </c>
      <c r="AA6" s="208"/>
    </row>
    <row r="7" spans="1:27" ht="17.399999999999999">
      <c r="A7" s="130"/>
      <c r="B7" s="67"/>
      <c r="C7" s="67"/>
      <c r="D7" s="322"/>
      <c r="E7" s="67"/>
      <c r="F7" s="67"/>
      <c r="G7" s="69"/>
      <c r="H7" s="75"/>
      <c r="I7" s="75"/>
      <c r="J7" s="75"/>
      <c r="K7" s="69"/>
      <c r="L7" s="75"/>
      <c r="M7" s="75"/>
      <c r="N7" s="75"/>
      <c r="O7" s="75"/>
      <c r="P7" s="75"/>
      <c r="Q7" s="75"/>
      <c r="R7" s="75"/>
      <c r="S7" s="75"/>
      <c r="T7" s="75"/>
      <c r="U7" s="67"/>
      <c r="V7" s="67"/>
      <c r="W7" s="75"/>
      <c r="X7" s="2" t="s">
        <v>348</v>
      </c>
      <c r="Y7" s="2">
        <f>Y6-Y5</f>
        <v>364</v>
      </c>
    </row>
    <row r="8" spans="1:27" ht="17.399999999999999">
      <c r="A8" s="130"/>
      <c r="B8" s="67" t="s">
        <v>29</v>
      </c>
      <c r="C8" s="67"/>
      <c r="D8" s="322"/>
      <c r="E8" s="67"/>
      <c r="F8" s="67"/>
      <c r="G8" s="69"/>
      <c r="H8" s="75"/>
      <c r="I8" s="75"/>
      <c r="J8" s="75"/>
      <c r="K8" s="69"/>
      <c r="L8" s="75"/>
      <c r="M8" s="75"/>
      <c r="N8" s="23"/>
      <c r="O8" s="23" t="s">
        <v>29</v>
      </c>
      <c r="P8" s="23"/>
      <c r="Q8" s="23"/>
      <c r="R8" s="23"/>
      <c r="S8" s="23"/>
      <c r="T8" s="23"/>
      <c r="U8" s="75"/>
      <c r="V8" s="75"/>
      <c r="W8" s="75"/>
    </row>
    <row r="9" spans="1:27" ht="17.399999999999999">
      <c r="A9" s="130"/>
      <c r="B9" s="67"/>
      <c r="C9" s="67"/>
      <c r="D9" s="322"/>
      <c r="E9" s="75">
        <v>305</v>
      </c>
      <c r="F9" s="75"/>
      <c r="G9" s="227" t="s">
        <v>246</v>
      </c>
      <c r="H9" s="227"/>
      <c r="I9" s="85"/>
      <c r="J9" s="85"/>
      <c r="K9" s="86"/>
      <c r="L9" s="84" t="s">
        <v>345</v>
      </c>
      <c r="M9" s="85"/>
      <c r="N9" s="85"/>
      <c r="O9" s="86"/>
      <c r="P9" s="84" t="s">
        <v>351</v>
      </c>
      <c r="Q9" s="85"/>
      <c r="R9" s="85"/>
      <c r="S9" s="86"/>
      <c r="T9" s="85"/>
      <c r="U9" s="300"/>
      <c r="V9" s="74"/>
      <c r="W9" s="67"/>
      <c r="X9" s="2" t="s">
        <v>350</v>
      </c>
      <c r="Y9" s="208">
        <v>42993</v>
      </c>
      <c r="AA9" s="208"/>
    </row>
    <row r="10" spans="1:27" ht="18.600000000000001">
      <c r="A10" s="130"/>
      <c r="B10" s="67"/>
      <c r="C10" s="67"/>
      <c r="D10" s="322"/>
      <c r="E10" s="494"/>
      <c r="F10" s="70" t="s">
        <v>471</v>
      </c>
      <c r="G10" s="493"/>
      <c r="H10" s="483" t="s">
        <v>90</v>
      </c>
      <c r="I10" s="227"/>
      <c r="J10" s="69" t="s">
        <v>247</v>
      </c>
      <c r="K10" s="494" t="s">
        <v>79</v>
      </c>
      <c r="L10" s="312"/>
      <c r="M10" s="313" t="s">
        <v>323</v>
      </c>
      <c r="N10" s="314" t="s">
        <v>324</v>
      </c>
      <c r="O10" s="71" t="s">
        <v>325</v>
      </c>
      <c r="P10" s="312"/>
      <c r="Q10" s="313" t="s">
        <v>356</v>
      </c>
      <c r="R10" s="314" t="s">
        <v>355</v>
      </c>
      <c r="S10" s="71" t="s">
        <v>325</v>
      </c>
      <c r="T10" s="69"/>
      <c r="U10" s="75" t="s">
        <v>9</v>
      </c>
      <c r="V10" s="75" t="s">
        <v>12</v>
      </c>
      <c r="W10" s="67"/>
      <c r="X10" s="327" t="s">
        <v>349</v>
      </c>
      <c r="Y10" s="83">
        <f>Y6-(Y9-1)</f>
        <v>289</v>
      </c>
    </row>
    <row r="11" spans="1:27" ht="18.600000000000001">
      <c r="B11" s="3"/>
      <c r="C11" s="3"/>
      <c r="E11" s="15" t="s">
        <v>31</v>
      </c>
      <c r="F11" s="23" t="s">
        <v>42</v>
      </c>
      <c r="G11" s="23" t="s">
        <v>77</v>
      </c>
      <c r="H11" s="14" t="s">
        <v>42</v>
      </c>
      <c r="I11" s="14" t="s">
        <v>11</v>
      </c>
      <c r="J11" s="14" t="s">
        <v>80</v>
      </c>
      <c r="K11" s="68" t="s">
        <v>78</v>
      </c>
      <c r="L11" s="315" t="s">
        <v>326</v>
      </c>
      <c r="M11" s="315" t="s">
        <v>352</v>
      </c>
      <c r="N11" s="14" t="s">
        <v>80</v>
      </c>
      <c r="O11" s="68" t="s">
        <v>327</v>
      </c>
      <c r="P11" s="315" t="s">
        <v>326</v>
      </c>
      <c r="Q11" s="315" t="s">
        <v>352</v>
      </c>
      <c r="R11" s="14" t="s">
        <v>80</v>
      </c>
      <c r="S11" s="68" t="s">
        <v>402</v>
      </c>
      <c r="T11" s="300"/>
      <c r="U11" s="14" t="s">
        <v>13</v>
      </c>
      <c r="V11" s="14" t="s">
        <v>1</v>
      </c>
      <c r="W11" s="72"/>
    </row>
    <row r="12" spans="1:27">
      <c r="A12" s="3" t="s">
        <v>15</v>
      </c>
      <c r="B12" s="3"/>
      <c r="C12" s="3"/>
      <c r="D12" s="155" t="s">
        <v>463</v>
      </c>
      <c r="E12" s="484"/>
      <c r="F12" s="4"/>
      <c r="G12" s="27"/>
      <c r="H12" s="27"/>
      <c r="I12" s="27"/>
      <c r="J12" s="27"/>
      <c r="K12" s="87"/>
      <c r="L12" s="316"/>
      <c r="M12" s="316"/>
      <c r="N12" s="27"/>
      <c r="O12" s="317"/>
      <c r="P12" s="318"/>
      <c r="Q12" s="318"/>
      <c r="R12" s="318"/>
      <c r="S12" s="317"/>
      <c r="T12" s="318"/>
      <c r="U12" s="27"/>
      <c r="V12" s="72"/>
      <c r="W12" s="72"/>
      <c r="X12" s="2" t="s">
        <v>353</v>
      </c>
      <c r="Y12" s="208">
        <v>42736</v>
      </c>
      <c r="AA12" s="208"/>
    </row>
    <row r="13" spans="1:27">
      <c r="B13" s="2" t="s">
        <v>45</v>
      </c>
      <c r="D13" s="66">
        <v>16</v>
      </c>
      <c r="E13" s="199">
        <f>SUMIFS('305 Inputs'!$F:$F,'305 Inputs'!$I:$I,$D13,'305 Inputs'!$C:$C,$D$12)</f>
        <v>123197771.08</v>
      </c>
      <c r="F13" s="16">
        <f>E13/SUM($E$13:$E$18,$E$22)*$E$34</f>
        <v>2833713.7579236869</v>
      </c>
      <c r="G13" s="16">
        <f>-SUMIFS('WA SBC'!$O:$O,'WA SBC'!$B:$B,$D13,'WA SBC'!$A:$A,$D$12)-SUMIFS('WA Decoupling'!O:O,'WA Decoupling'!A:A,$D$12,'WA Decoupling'!B:B,$D13)-SUMIFS('WA PCAM'!$P:$P,'WA PCAM'!$C:$C,$D13,'WA PCAM'!$B:$B,$D$12)-SUMIFS('WA FTAA'!$O:$O,'WA FTAA'!$B:$B,$D13,'WA FTAA'!$A:$A,$D$12)</f>
        <v>3083031.1861599991</v>
      </c>
      <c r="H13" s="16">
        <f>-SUMIFS('305 Inputs'!$F:$F,'305 Inputs'!$I:$I,$D13,'305 Inputs'!$C:$C,$D$12,'305 Inputs'!$D:$D,"B")</f>
        <v>10851576.119999999</v>
      </c>
      <c r="I13" s="16">
        <v>0</v>
      </c>
      <c r="J13" s="16">
        <f>SUM(F13:I13)</f>
        <v>16768321.064083684</v>
      </c>
      <c r="K13" s="199">
        <f>E13+J13</f>
        <v>139966092.14408368</v>
      </c>
      <c r="L13" s="355">
        <v>0</v>
      </c>
      <c r="M13" s="16">
        <f>ROUND(K13*L13*(($Y$7-$Y$10)/($Y$7+$Y$10*L13)),0)</f>
        <v>0</v>
      </c>
      <c r="N13" s="16">
        <f t="shared" ref="N13:N19" si="0">SUM(M13:M13)</f>
        <v>0</v>
      </c>
      <c r="O13" s="199">
        <f t="shared" ref="O13:O19" si="1">N13+K13</f>
        <v>139966092.14408368</v>
      </c>
      <c r="P13" s="355">
        <v>0</v>
      </c>
      <c r="Q13" s="16">
        <f t="shared" ref="Q13:Q19" si="2">ROUND(O13*P13*($Y$17/$Y$14),0)</f>
        <v>0</v>
      </c>
      <c r="R13" s="16">
        <f t="shared" ref="R13:R19" si="3">SUM(Q13:Q13)</f>
        <v>0</v>
      </c>
      <c r="S13" s="199">
        <f t="shared" ref="S13:S19" si="4">R13+O13</f>
        <v>139966092.14408368</v>
      </c>
      <c r="T13" s="16"/>
      <c r="U13" s="16">
        <f t="shared" ref="U13:U19" si="5">J13+N13+R13</f>
        <v>16768321.064083684</v>
      </c>
      <c r="V13" s="73">
        <f t="shared" ref="V13:V19" si="6">+E13+U13</f>
        <v>139966092.14408368</v>
      </c>
      <c r="W13" s="488">
        <f>V13+V17</f>
        <v>141166511.81992224</v>
      </c>
      <c r="X13" s="2" t="s">
        <v>354</v>
      </c>
      <c r="Y13" s="208">
        <v>43101</v>
      </c>
    </row>
    <row r="14" spans="1:27">
      <c r="B14" s="2" t="s">
        <v>86</v>
      </c>
      <c r="D14" s="66">
        <v>17</v>
      </c>
      <c r="E14" s="199">
        <f>SUMIFS('305 Inputs'!$F:$F,'305 Inputs'!$I:$I,$D14,'305 Inputs'!$C:$C,$D$12)</f>
        <v>6585628.8099999996</v>
      </c>
      <c r="F14" s="16">
        <f t="shared" ref="F14:F18" si="7">E14/SUM($E$13:$E$18,$E$22)*$E$34</f>
        <v>151478.28406211454</v>
      </c>
      <c r="G14" s="16">
        <f>-SUMIFS('WA SBC'!$O:$O,'WA SBC'!$B:$B,$D14,'WA SBC'!$A:$A,$D$12)-SUMIFS('WA Decoupling'!O:O,'WA Decoupling'!A:A,$D$12,'WA Decoupling'!B:B,$D14)-SUMIFS('WA PCAM'!$P:$P,'WA PCAM'!$C:$C,$D14,'WA PCAM'!$B:$B,$D$12)-SUMIFS('WA FTAA'!$O:$O,'WA FTAA'!$B:$B,$D14,'WA FTAA'!$A:$A,$D$12)</f>
        <v>150911.88216000001</v>
      </c>
      <c r="H14" s="16">
        <f>-SUMIFS('305 Inputs'!$F:$F,'305 Inputs'!$I:$I,$D14,'305 Inputs'!$C:$C,$D$12,'305 Inputs'!$D:$D,"B")</f>
        <v>576793.19999999995</v>
      </c>
      <c r="I14" s="16">
        <v>0</v>
      </c>
      <c r="J14" s="16">
        <f t="shared" ref="J14:J19" si="8">SUM(F14:I14)</f>
        <v>879183.36622211454</v>
      </c>
      <c r="K14" s="199">
        <f t="shared" ref="K14:K19" si="9">E14+J14</f>
        <v>7464812.1762221139</v>
      </c>
      <c r="L14" s="356">
        <v>0</v>
      </c>
      <c r="M14" s="16">
        <f t="shared" ref="M14:M19" si="10">ROUND(K14*L14*(($Y$7-$Y$10)/($Y$7+$Y$10*L14)),0)</f>
        <v>0</v>
      </c>
      <c r="N14" s="16">
        <f t="shared" si="0"/>
        <v>0</v>
      </c>
      <c r="O14" s="199">
        <f t="shared" si="1"/>
        <v>7464812.1762221139</v>
      </c>
      <c r="P14" s="356">
        <f>$P$13</f>
        <v>0</v>
      </c>
      <c r="Q14" s="16">
        <f t="shared" si="2"/>
        <v>0</v>
      </c>
      <c r="R14" s="16">
        <f t="shared" si="3"/>
        <v>0</v>
      </c>
      <c r="S14" s="199">
        <f t="shared" si="4"/>
        <v>7464812.1762221139</v>
      </c>
      <c r="T14" s="16"/>
      <c r="U14" s="16">
        <f t="shared" si="5"/>
        <v>879183.36622211454</v>
      </c>
      <c r="V14" s="73">
        <f t="shared" si="6"/>
        <v>7464812.1762221139</v>
      </c>
      <c r="W14" s="64"/>
      <c r="X14" s="2" t="s">
        <v>348</v>
      </c>
      <c r="Y14" s="2">
        <f>Y13-Y12</f>
        <v>365</v>
      </c>
    </row>
    <row r="15" spans="1:27">
      <c r="B15" s="2" t="s">
        <v>46</v>
      </c>
      <c r="D15" s="66">
        <v>18</v>
      </c>
      <c r="E15" s="199">
        <f>SUMIFS('305 Inputs'!$F:$F,'305 Inputs'!$I:$I,$D15,'305 Inputs'!$C:$C,$D$12)</f>
        <v>195248.62</v>
      </c>
      <c r="F15" s="16">
        <f t="shared" si="7"/>
        <v>4490.979795002424</v>
      </c>
      <c r="G15" s="16">
        <f>-SUMIFS('WA SBC'!$O:$O,'WA SBC'!$B:$B,$D15,'WA SBC'!$A:$A,$D$12)-SUMIFS('WA Decoupling'!O:O,'WA Decoupling'!A:A,$D$12,'WA Decoupling'!B:B,$D15)-SUMIFS('WA PCAM'!$P:$P,'WA PCAM'!$C:$C,$D15,'WA PCAM'!$B:$B,$D$12)-SUMIFS('WA FTAA'!$O:$O,'WA FTAA'!$B:$B,$D15,'WA FTAA'!$A:$A,$D$12)</f>
        <v>5460.7570800000012</v>
      </c>
      <c r="H15" s="16">
        <f>-SUMIFS('305 Inputs'!$F:$F,'305 Inputs'!$I:$I,$D15,'305 Inputs'!$C:$C,$D$12,'305 Inputs'!$D:$D,"B")</f>
        <v>15565.38</v>
      </c>
      <c r="I15" s="16">
        <v>0</v>
      </c>
      <c r="J15" s="16">
        <f t="shared" si="8"/>
        <v>25517.116875002423</v>
      </c>
      <c r="K15" s="199">
        <f t="shared" si="9"/>
        <v>220765.73687500242</v>
      </c>
      <c r="L15" s="356">
        <v>0</v>
      </c>
      <c r="M15" s="16">
        <f t="shared" si="10"/>
        <v>0</v>
      </c>
      <c r="N15" s="16">
        <f t="shared" si="0"/>
        <v>0</v>
      </c>
      <c r="O15" s="199">
        <f t="shared" si="1"/>
        <v>220765.73687500242</v>
      </c>
      <c r="P15" s="356">
        <f>$P$13</f>
        <v>0</v>
      </c>
      <c r="Q15" s="16">
        <f t="shared" si="2"/>
        <v>0</v>
      </c>
      <c r="R15" s="16">
        <f t="shared" si="3"/>
        <v>0</v>
      </c>
      <c r="S15" s="199">
        <f t="shared" si="4"/>
        <v>220765.73687500242</v>
      </c>
      <c r="T15" s="16"/>
      <c r="U15" s="16">
        <f t="shared" si="5"/>
        <v>25517.116875002423</v>
      </c>
      <c r="V15" s="73">
        <f t="shared" si="6"/>
        <v>220765.73687500242</v>
      </c>
      <c r="W15" s="64"/>
      <c r="X15" s="208"/>
    </row>
    <row r="16" spans="1:27">
      <c r="B16" s="4" t="s">
        <v>150</v>
      </c>
      <c r="C16" s="4"/>
      <c r="D16" s="66" t="s">
        <v>149</v>
      </c>
      <c r="E16" s="199">
        <f>SUMIFS('305 Inputs'!$F:$F,'305 Inputs'!$I:$I,$D16,'305 Inputs'!$C:$C,$D$12)</f>
        <v>25916.9</v>
      </c>
      <c r="F16" s="16">
        <f t="shared" si="7"/>
        <v>596.12341561798667</v>
      </c>
      <c r="G16" s="16">
        <f>-SUMIFS('WA SBC'!$O:$O,'WA SBC'!$B:$B,$D16,'WA SBC'!$A:$A,$D$12)-SUMIFS('WA Decoupling'!O:O,'WA Decoupling'!A:A,$D$12,'WA Decoupling'!B:B,$D16)-SUMIFS('WA PCAM'!$P:$P,'WA PCAM'!$C:$C,$D16,'WA PCAM'!$B:$B,$D$12)-SUMIFS('WA FTAA'!$O:$O,'WA FTAA'!$B:$B,$D16,'WA FTAA'!$A:$A,$D$12)</f>
        <v>0</v>
      </c>
      <c r="H16" s="16">
        <f>-SUMIFS('305 Inputs'!$F:$F,'305 Inputs'!$I:$I,$D16,'305 Inputs'!$C:$C,$D$12,'305 Inputs'!$D:$D,"B")</f>
        <v>2116.4899999999998</v>
      </c>
      <c r="I16" s="16">
        <v>0</v>
      </c>
      <c r="J16" s="16">
        <f t="shared" si="8"/>
        <v>2712.6134156179864</v>
      </c>
      <c r="K16" s="199">
        <f t="shared" si="9"/>
        <v>28629.513415617988</v>
      </c>
      <c r="L16" s="356">
        <v>0</v>
      </c>
      <c r="M16" s="16">
        <f t="shared" si="10"/>
        <v>0</v>
      </c>
      <c r="N16" s="16">
        <f t="shared" si="0"/>
        <v>0</v>
      </c>
      <c r="O16" s="199">
        <f t="shared" si="1"/>
        <v>28629.513415617988</v>
      </c>
      <c r="P16" s="356">
        <f>$P$13</f>
        <v>0</v>
      </c>
      <c r="Q16" s="16">
        <f t="shared" si="2"/>
        <v>0</v>
      </c>
      <c r="R16" s="16">
        <f t="shared" si="3"/>
        <v>0</v>
      </c>
      <c r="S16" s="199">
        <f t="shared" si="4"/>
        <v>28629.513415617988</v>
      </c>
      <c r="T16" s="16"/>
      <c r="U16" s="16">
        <f t="shared" si="5"/>
        <v>2712.6134156179864</v>
      </c>
      <c r="V16" s="73">
        <f t="shared" si="6"/>
        <v>28629.513415617988</v>
      </c>
      <c r="W16" s="64"/>
      <c r="X16" s="2" t="s">
        <v>350</v>
      </c>
      <c r="Y16" s="208">
        <v>42993</v>
      </c>
    </row>
    <row r="17" spans="1:25">
      <c r="B17" s="4" t="s">
        <v>218</v>
      </c>
      <c r="C17" s="4"/>
      <c r="D17" s="66">
        <v>135</v>
      </c>
      <c r="E17" s="199">
        <f>SUMIFS('305 Inputs'!$F:$F,'305 Inputs'!$I:$I,$D17,'305 Inputs'!$C:$C,$D$12)</f>
        <v>1088892.49</v>
      </c>
      <c r="F17" s="16">
        <f t="shared" si="7"/>
        <v>25045.985838567663</v>
      </c>
      <c r="G17" s="16">
        <f>-SUMIFS('WA SBC'!$O:$O,'WA SBC'!$B:$B,$D17,'WA SBC'!$A:$A,$D$12)-SUMIFS('WA Decoupling'!O:O,'WA Decoupling'!A:A,$D$12,'WA Decoupling'!B:B,$D17)-SUMIFS('WA PCAM'!$P:$P,'WA PCAM'!$C:$C,$D17,'WA PCAM'!$B:$B,$D$12)-SUMIFS('WA FTAA'!$O:$O,'WA FTAA'!$B:$B,$D17,'WA FTAA'!$A:$A,$D$12)</f>
        <v>0</v>
      </c>
      <c r="H17" s="16">
        <f>-SUMIFS('305 Inputs'!$F:$F,'305 Inputs'!$I:$I,$D17,'305 Inputs'!$C:$C,$D$12,'305 Inputs'!$D:$D,"B")</f>
        <v>86481.2</v>
      </c>
      <c r="I17" s="16">
        <v>0</v>
      </c>
      <c r="J17" s="16">
        <f t="shared" si="8"/>
        <v>111527.18583856766</v>
      </c>
      <c r="K17" s="199">
        <f t="shared" si="9"/>
        <v>1200419.6758385675</v>
      </c>
      <c r="L17" s="356">
        <v>0</v>
      </c>
      <c r="M17" s="16">
        <f t="shared" si="10"/>
        <v>0</v>
      </c>
      <c r="N17" s="16">
        <f t="shared" si="0"/>
        <v>0</v>
      </c>
      <c r="O17" s="199">
        <f t="shared" si="1"/>
        <v>1200419.6758385675</v>
      </c>
      <c r="P17" s="356">
        <f>$P$13</f>
        <v>0</v>
      </c>
      <c r="Q17" s="16">
        <f t="shared" si="2"/>
        <v>0</v>
      </c>
      <c r="R17" s="16">
        <f t="shared" si="3"/>
        <v>0</v>
      </c>
      <c r="S17" s="199">
        <f t="shared" si="4"/>
        <v>1200419.6758385675</v>
      </c>
      <c r="T17" s="16"/>
      <c r="U17" s="16">
        <f t="shared" si="5"/>
        <v>111527.18583856766</v>
      </c>
      <c r="V17" s="73">
        <f t="shared" si="6"/>
        <v>1200419.6758385675</v>
      </c>
      <c r="W17" s="64"/>
      <c r="X17" s="327" t="s">
        <v>349</v>
      </c>
      <c r="Y17" s="83">
        <f>Y13-(Y16-1)</f>
        <v>109</v>
      </c>
    </row>
    <row r="18" spans="1:25">
      <c r="B18" s="4" t="s">
        <v>281</v>
      </c>
      <c r="C18" s="4"/>
      <c r="D18" s="66">
        <v>24</v>
      </c>
      <c r="E18" s="199">
        <f>SUMIFS('305 Inputs'!$F:$F,'305 Inputs'!$I:$I,$D18,'305 Inputs'!$C:$C,$D$12)</f>
        <v>2240223.7799999998</v>
      </c>
      <c r="F18" s="16">
        <f t="shared" si="7"/>
        <v>51528.147713740334</v>
      </c>
      <c r="G18" s="16">
        <f>-SUMIFS('WA SBC'!$O:$O,'WA SBC'!$B:$B,$D18,'WA SBC'!$A:$A,$D$12)-SUMIFS('WA Decoupling'!O:O,'WA Decoupling'!A:A,$D$12,'WA Decoupling'!B:B,$D18)-SUMIFS('WA PCAM'!$P:$P,'WA PCAM'!$C:$C,$D18,'WA PCAM'!$B:$B,$D$12)-SUMIFS('WA FTAA'!$O:$O,'WA FTAA'!$B:$B,$D18,'WA FTAA'!$A:$A,$D$12)</f>
        <v>65251.070460000003</v>
      </c>
      <c r="H18" s="16">
        <f>-SUMIFS('305 Inputs'!$F:$F,'305 Inputs'!$I:$I,$D18,'305 Inputs'!$C:$C,$D$12,'305 Inputs'!$D:$D,"B")</f>
        <v>148511.04000000001</v>
      </c>
      <c r="I18" s="16">
        <v>0</v>
      </c>
      <c r="J18" s="16">
        <f t="shared" si="8"/>
        <v>265290.25817374035</v>
      </c>
      <c r="K18" s="199">
        <f t="shared" si="9"/>
        <v>2505514.0381737403</v>
      </c>
      <c r="L18" s="356">
        <v>0</v>
      </c>
      <c r="M18" s="16">
        <f t="shared" si="10"/>
        <v>0</v>
      </c>
      <c r="N18" s="16">
        <f t="shared" si="0"/>
        <v>0</v>
      </c>
      <c r="O18" s="199">
        <f t="shared" si="1"/>
        <v>2505514.0381737403</v>
      </c>
      <c r="P18" s="356">
        <v>0</v>
      </c>
      <c r="Q18" s="16">
        <f t="shared" si="2"/>
        <v>0</v>
      </c>
      <c r="R18" s="16">
        <f t="shared" si="3"/>
        <v>0</v>
      </c>
      <c r="S18" s="199">
        <f t="shared" si="4"/>
        <v>2505514.0381737403</v>
      </c>
      <c r="T18" s="186"/>
      <c r="U18" s="16">
        <f t="shared" si="5"/>
        <v>265290.25817374035</v>
      </c>
      <c r="V18" s="73">
        <f t="shared" si="6"/>
        <v>2505514.0381737403</v>
      </c>
      <c r="W18" s="64"/>
    </row>
    <row r="19" spans="1:25">
      <c r="B19" s="4" t="s">
        <v>366</v>
      </c>
      <c r="C19" s="4"/>
      <c r="D19" s="66">
        <v>36</v>
      </c>
      <c r="E19" s="200">
        <f>SUMIFS('305 Inputs'!$F:$F,'305 Inputs'!$I:$I,$D19,'305 Inputs'!$C:$C,$D$12)</f>
        <v>111232.04999999999</v>
      </c>
      <c r="F19" s="186">
        <v>0</v>
      </c>
      <c r="G19" s="186">
        <f>-SUMIFS('WA SBC'!$O:$O,'WA SBC'!$B:$B,$D19,'WA SBC'!$A:$A,$D$12)-SUMIFS('WA Decoupling'!O:O,'WA Decoupling'!A:A,$D$12,'WA Decoupling'!B:B,$D19)-SUMIFS('WA PCAM'!$P:$P,'WA PCAM'!$C:$C,$D19,'WA PCAM'!$B:$B,$D$12)-SUMIFS('WA FTAA'!$O:$O,'WA FTAA'!$B:$B,$D19,'WA FTAA'!$A:$A,$D$12)</f>
        <v>5792.489599999999</v>
      </c>
      <c r="H19" s="186">
        <f>-SUMIFS('305 Inputs'!$F:$F,'305 Inputs'!$I:$I,$D19,'305 Inputs'!$C:$C,$D$12,'305 Inputs'!$D:$D,"B")</f>
        <v>9036.4599999999991</v>
      </c>
      <c r="I19" s="186">
        <v>0</v>
      </c>
      <c r="J19" s="186">
        <f t="shared" si="8"/>
        <v>14828.949599999998</v>
      </c>
      <c r="K19" s="200">
        <f t="shared" si="9"/>
        <v>126060.99959999998</v>
      </c>
      <c r="L19" s="357">
        <v>0</v>
      </c>
      <c r="M19" s="186">
        <f t="shared" si="10"/>
        <v>0</v>
      </c>
      <c r="N19" s="186">
        <f t="shared" si="0"/>
        <v>0</v>
      </c>
      <c r="O19" s="199">
        <f t="shared" si="1"/>
        <v>126060.99959999998</v>
      </c>
      <c r="P19" s="357">
        <v>0</v>
      </c>
      <c r="Q19" s="186">
        <f t="shared" si="2"/>
        <v>0</v>
      </c>
      <c r="R19" s="186">
        <f t="shared" si="3"/>
        <v>0</v>
      </c>
      <c r="S19" s="200">
        <f t="shared" si="4"/>
        <v>126060.99959999998</v>
      </c>
      <c r="T19" s="186"/>
      <c r="U19" s="186">
        <f t="shared" si="5"/>
        <v>14828.949599999998</v>
      </c>
      <c r="V19" s="358">
        <f t="shared" si="6"/>
        <v>126060.99959999998</v>
      </c>
      <c r="W19" s="64"/>
      <c r="Y19" s="208"/>
    </row>
    <row r="20" spans="1:25">
      <c r="B20" s="2" t="s">
        <v>33</v>
      </c>
      <c r="E20" s="199">
        <f t="shared" ref="E20:K20" si="11">SUM(E13:E19)</f>
        <v>133444913.73</v>
      </c>
      <c r="F20" s="16">
        <f>SUM(F13:F19)</f>
        <v>3066853.2787487302</v>
      </c>
      <c r="G20" s="16">
        <f t="shared" si="11"/>
        <v>3310447.3854599991</v>
      </c>
      <c r="H20" s="16">
        <f t="shared" si="11"/>
        <v>11690079.889999999</v>
      </c>
      <c r="I20" s="16">
        <f t="shared" si="11"/>
        <v>0</v>
      </c>
      <c r="J20" s="16">
        <f t="shared" si="11"/>
        <v>18067380.554208729</v>
      </c>
      <c r="K20" s="199">
        <f t="shared" si="11"/>
        <v>151512294.28420869</v>
      </c>
      <c r="L20" s="356"/>
      <c r="M20" s="16">
        <f>SUM(M13:M19)</f>
        <v>0</v>
      </c>
      <c r="N20" s="16">
        <f>SUM(N13:N19)</f>
        <v>0</v>
      </c>
      <c r="O20" s="199">
        <f>SUM(O13:O19)</f>
        <v>151512294.28420869</v>
      </c>
      <c r="P20" s="356"/>
      <c r="Q20" s="16">
        <f>SUM(Q13:Q19)</f>
        <v>0</v>
      </c>
      <c r="R20" s="16">
        <f>SUM(R13:R19)</f>
        <v>0</v>
      </c>
      <c r="S20" s="199">
        <f>SUM(S13:S19)</f>
        <v>151512294.28420869</v>
      </c>
      <c r="T20" s="16"/>
      <c r="U20" s="16">
        <f>SUM(U13:U19)</f>
        <v>18067380.554208729</v>
      </c>
      <c r="V20" s="16">
        <f>SUM(V13:V19)</f>
        <v>151512294.28420869</v>
      </c>
      <c r="W20" s="64"/>
    </row>
    <row r="21" spans="1:25">
      <c r="E21" s="199"/>
      <c r="F21" s="16"/>
      <c r="G21" s="16"/>
      <c r="H21" s="16"/>
      <c r="I21" s="16"/>
      <c r="J21" s="16"/>
      <c r="K21" s="199"/>
      <c r="L21" s="356"/>
      <c r="M21" s="16"/>
      <c r="N21" s="16" t="s">
        <v>29</v>
      </c>
      <c r="O21" s="199"/>
      <c r="P21" s="356"/>
      <c r="Q21" s="16"/>
      <c r="R21" s="16" t="s">
        <v>29</v>
      </c>
      <c r="S21" s="199"/>
      <c r="T21" s="16"/>
      <c r="U21" s="16"/>
      <c r="V21" s="73"/>
      <c r="W21" s="64"/>
      <c r="X21" s="208"/>
      <c r="Y21" s="5"/>
    </row>
    <row r="22" spans="1:25" s="6" customFormat="1">
      <c r="B22" s="4" t="s">
        <v>47</v>
      </c>
      <c r="C22" s="4"/>
      <c r="D22" s="66" t="s">
        <v>148</v>
      </c>
      <c r="E22" s="200">
        <f>SUMIFS('305 Inputs'!$F:$F,'305 Inputs'!$I:$I,$D22,'305 Inputs'!$C:$C,$D$12)</f>
        <v>136806</v>
      </c>
      <c r="F22" s="186">
        <f>E22/SUM($E$13:$E$18,$E$22)*$E$34</f>
        <v>3146.7212512697997</v>
      </c>
      <c r="G22" s="186">
        <f>-SUMIFS('WA SBC'!$O:$O,'WA SBC'!$B:$B,$D22,'WA SBC'!$A:$A,$D$12)-SUMIFS('WA Decoupling'!O:O,'WA Decoupling'!A:A,$D$12,'WA Decoupling'!B:B,$D22)-SUMIFS('WA PCAM'!$P:$P,'WA PCAM'!$C:$C,$D22,'WA PCAM'!$B:$B,$D$12)-SUMIFS('WA FTAA'!$O:$O,'WA FTAA'!$B:$B,$D22,'WA FTAA'!$A:$A,$D$12)</f>
        <v>1375.5745500000005</v>
      </c>
      <c r="H22" s="186">
        <f>-SUMIFS('305 Inputs'!$F:$F,'305 Inputs'!$I:$I,$D22,'305 Inputs'!$C:$C,$D$12,'305 Inputs'!$D:$D,"B")</f>
        <v>6903.9</v>
      </c>
      <c r="I22" s="186">
        <v>0</v>
      </c>
      <c r="J22" s="186">
        <f t="shared" ref="J22" si="12">SUM(F22:I22)</f>
        <v>11426.1958012698</v>
      </c>
      <c r="K22" s="200">
        <f>E22+J22</f>
        <v>148232.19580126979</v>
      </c>
      <c r="L22" s="357">
        <v>0</v>
      </c>
      <c r="M22" s="186">
        <f>ROUND(K22*L22*(($Y$7-$Y$10)/($Y$7+$Y$10*L22)),0)</f>
        <v>0</v>
      </c>
      <c r="N22" s="186">
        <f>SUM(M22:M22)</f>
        <v>0</v>
      </c>
      <c r="O22" s="200">
        <f>N22+K22</f>
        <v>148232.19580126979</v>
      </c>
      <c r="P22" s="357">
        <v>0</v>
      </c>
      <c r="Q22" s="186">
        <f>ROUND(O22*P22*($Y$17/$Y$14),0)</f>
        <v>0</v>
      </c>
      <c r="R22" s="186">
        <f>SUM(Q22:Q22)</f>
        <v>0</v>
      </c>
      <c r="S22" s="200">
        <f>R22+O22</f>
        <v>148232.19580126979</v>
      </c>
      <c r="T22" s="186"/>
      <c r="U22" s="186">
        <f>J22+N22+R22</f>
        <v>11426.1958012698</v>
      </c>
      <c r="V22" s="358">
        <f>+E22+U22</f>
        <v>148232.19580126979</v>
      </c>
      <c r="W22" s="64"/>
      <c r="X22" s="7"/>
    </row>
    <row r="23" spans="1:25">
      <c r="B23" s="2" t="s">
        <v>33</v>
      </c>
      <c r="E23" s="199">
        <f t="shared" ref="E23:K23" si="13">SUM(E22:E22)</f>
        <v>136806</v>
      </c>
      <c r="F23" s="16">
        <f t="shared" si="13"/>
        <v>3146.7212512697997</v>
      </c>
      <c r="G23" s="16">
        <f t="shared" si="13"/>
        <v>1375.5745500000005</v>
      </c>
      <c r="H23" s="16">
        <f t="shared" si="13"/>
        <v>6903.9</v>
      </c>
      <c r="I23" s="16">
        <f t="shared" si="13"/>
        <v>0</v>
      </c>
      <c r="J23" s="16">
        <f t="shared" si="13"/>
        <v>11426.1958012698</v>
      </c>
      <c r="K23" s="199">
        <f t="shared" si="13"/>
        <v>148232.19580126979</v>
      </c>
      <c r="L23" s="357"/>
      <c r="M23" s="16">
        <f>SUM(M22:M22)</f>
        <v>0</v>
      </c>
      <c r="N23" s="16">
        <f>SUM(N22:N22)</f>
        <v>0</v>
      </c>
      <c r="O23" s="199">
        <f>SUM(O22:O22)</f>
        <v>148232.19580126979</v>
      </c>
      <c r="P23" s="357"/>
      <c r="Q23" s="16">
        <f>SUM(Q22:Q22)</f>
        <v>0</v>
      </c>
      <c r="R23" s="16">
        <f>SUM(R22:R22)</f>
        <v>0</v>
      </c>
      <c r="S23" s="199">
        <f>SUM(S22:S22)</f>
        <v>148232.19580126979</v>
      </c>
      <c r="T23" s="16"/>
      <c r="U23" s="16">
        <f>SUM(U22:U22)</f>
        <v>11426.1958012698</v>
      </c>
      <c r="V23" s="16">
        <f>SUM(V22:V22)</f>
        <v>148232.19580126979</v>
      </c>
      <c r="W23" s="64"/>
    </row>
    <row r="24" spans="1:25">
      <c r="E24" s="199"/>
      <c r="F24" s="16"/>
      <c r="G24" s="16"/>
      <c r="H24" s="16"/>
      <c r="I24" s="16"/>
      <c r="J24" s="16"/>
      <c r="K24" s="199"/>
      <c r="L24" s="357"/>
      <c r="M24" s="356"/>
      <c r="N24" s="356"/>
      <c r="O24" s="199"/>
      <c r="P24" s="357"/>
      <c r="Q24" s="356"/>
      <c r="R24" s="356"/>
      <c r="S24" s="199"/>
      <c r="T24" s="16"/>
      <c r="U24" s="16"/>
      <c r="V24" s="73"/>
      <c r="W24" s="64"/>
      <c r="X24" s="209"/>
    </row>
    <row r="25" spans="1:25" s="6" customFormat="1">
      <c r="A25" s="2"/>
      <c r="B25" s="2" t="s">
        <v>32</v>
      </c>
      <c r="C25" s="2"/>
      <c r="D25" s="66" t="s">
        <v>138</v>
      </c>
      <c r="E25" s="200">
        <f>SUMIFS('305 Inputs'!$F:$F,'305 Inputs'!$I:$I,$D25,'305 Inputs'!$C:$C,$D$12)</f>
        <v>1312.52</v>
      </c>
      <c r="F25" s="186"/>
      <c r="G25" s="186">
        <v>0</v>
      </c>
      <c r="H25" s="186">
        <v>0</v>
      </c>
      <c r="I25" s="186">
        <v>0</v>
      </c>
      <c r="J25" s="186">
        <f>SUM(G25:I25)</f>
        <v>0</v>
      </c>
      <c r="K25" s="200">
        <f>E25+J25</f>
        <v>1312.52</v>
      </c>
      <c r="L25" s="357">
        <v>0</v>
      </c>
      <c r="M25" s="16">
        <v>0</v>
      </c>
      <c r="N25" s="186">
        <f>SUM(M25:M25)</f>
        <v>0</v>
      </c>
      <c r="O25" s="200">
        <f>N25+K25</f>
        <v>1312.52</v>
      </c>
      <c r="P25" s="357">
        <v>0</v>
      </c>
      <c r="Q25" s="16">
        <v>0</v>
      </c>
      <c r="R25" s="186">
        <f>SUM(Q25:Q25)</f>
        <v>0</v>
      </c>
      <c r="S25" s="200">
        <f>R25+O25</f>
        <v>1312.52</v>
      </c>
      <c r="T25" s="16"/>
      <c r="U25" s="186">
        <f>J25+N25+R25</f>
        <v>0</v>
      </c>
      <c r="V25" s="358">
        <f>+E25+U25</f>
        <v>1312.52</v>
      </c>
      <c r="W25" s="64"/>
    </row>
    <row r="26" spans="1:25" s="6" customFormat="1">
      <c r="A26" s="2"/>
      <c r="D26" s="66"/>
      <c r="E26" s="200"/>
      <c r="F26" s="186"/>
      <c r="G26" s="186"/>
      <c r="H26" s="186"/>
      <c r="I26" s="186"/>
      <c r="J26" s="186"/>
      <c r="K26" s="200"/>
      <c r="L26" s="357"/>
      <c r="M26" s="186"/>
      <c r="N26" s="186"/>
      <c r="O26" s="200"/>
      <c r="P26" s="357"/>
      <c r="Q26" s="186"/>
      <c r="R26" s="186"/>
      <c r="S26" s="200"/>
      <c r="T26" s="186"/>
      <c r="U26" s="186"/>
      <c r="V26" s="358"/>
      <c r="W26" s="64"/>
    </row>
    <row r="27" spans="1:25" s="6" customFormat="1">
      <c r="A27" s="2"/>
      <c r="B27" s="2" t="s">
        <v>235</v>
      </c>
      <c r="C27" s="2"/>
      <c r="D27" s="66" t="s">
        <v>203</v>
      </c>
      <c r="E27" s="200">
        <f>SUMIFS('305 Inputs'!$F:$F,'305 Inputs'!$I:$I,$D27,'305 Inputs'!$C:$C,$D$12)</f>
        <v>-7749988.9299999997</v>
      </c>
      <c r="F27" s="186"/>
      <c r="G27" s="186">
        <f t="shared" ref="G27:G29" si="14">-E27</f>
        <v>7749988.9299999997</v>
      </c>
      <c r="H27" s="186">
        <v>0</v>
      </c>
      <c r="I27" s="186">
        <v>0</v>
      </c>
      <c r="J27" s="186">
        <f t="shared" ref="J27:J32" si="15">SUM(G27:I27)</f>
        <v>7749988.9299999997</v>
      </c>
      <c r="K27" s="200">
        <f t="shared" ref="K27:K32" si="16">E27+J27</f>
        <v>0</v>
      </c>
      <c r="L27" s="357">
        <v>0</v>
      </c>
      <c r="M27" s="186">
        <v>0</v>
      </c>
      <c r="N27" s="186">
        <f t="shared" ref="N27:N32" si="17">SUM(M27:M27)</f>
        <v>0</v>
      </c>
      <c r="O27" s="200">
        <f t="shared" ref="O27:O32" si="18">N27+K27</f>
        <v>0</v>
      </c>
      <c r="P27" s="357">
        <v>0</v>
      </c>
      <c r="Q27" s="186">
        <v>0</v>
      </c>
      <c r="R27" s="186">
        <f t="shared" ref="R27:R30" si="19">SUM(Q27:Q27)</f>
        <v>0</v>
      </c>
      <c r="S27" s="200">
        <f t="shared" ref="S27:S30" si="20">R27+O27</f>
        <v>0</v>
      </c>
      <c r="T27" s="186"/>
      <c r="U27" s="186">
        <f t="shared" ref="U27:U32" si="21">J27+N27+R27</f>
        <v>7749988.9299999997</v>
      </c>
      <c r="V27" s="358">
        <f t="shared" ref="V27:V32" si="22">+E27+U27</f>
        <v>0</v>
      </c>
      <c r="W27" s="64"/>
    </row>
    <row r="28" spans="1:25" s="6" customFormat="1">
      <c r="B28" s="2" t="s">
        <v>280</v>
      </c>
      <c r="C28" s="2"/>
      <c r="D28" s="66" t="s">
        <v>273</v>
      </c>
      <c r="E28" s="200">
        <f>SUMIFS('305 Inputs'!$F:$F,'305 Inputs'!$I:$I,$D28,'305 Inputs'!$C:$C,$D$12)</f>
        <v>4575740.38</v>
      </c>
      <c r="F28" s="186"/>
      <c r="G28" s="186">
        <f t="shared" si="14"/>
        <v>-4575740.38</v>
      </c>
      <c r="H28" s="186">
        <v>0</v>
      </c>
      <c r="I28" s="186">
        <v>0</v>
      </c>
      <c r="J28" s="186">
        <f t="shared" si="15"/>
        <v>-4575740.38</v>
      </c>
      <c r="K28" s="200">
        <f t="shared" si="16"/>
        <v>0</v>
      </c>
      <c r="L28" s="357">
        <v>0</v>
      </c>
      <c r="M28" s="186">
        <v>0</v>
      </c>
      <c r="N28" s="186">
        <f>SUM(M28:M28)</f>
        <v>0</v>
      </c>
      <c r="O28" s="200">
        <f t="shared" si="18"/>
        <v>0</v>
      </c>
      <c r="P28" s="357">
        <v>0</v>
      </c>
      <c r="Q28" s="186">
        <v>0</v>
      </c>
      <c r="R28" s="186">
        <f>SUM(Q28:Q28)</f>
        <v>0</v>
      </c>
      <c r="S28" s="200">
        <f t="shared" si="20"/>
        <v>0</v>
      </c>
      <c r="T28" s="186"/>
      <c r="U28" s="186">
        <f t="shared" si="21"/>
        <v>-4575740.38</v>
      </c>
      <c r="V28" s="358">
        <f t="shared" si="22"/>
        <v>0</v>
      </c>
      <c r="W28" s="7"/>
      <c r="X28" s="7"/>
    </row>
    <row r="29" spans="1:25" s="6" customFormat="1">
      <c r="B29" s="2" t="s">
        <v>276</v>
      </c>
      <c r="C29" s="2"/>
      <c r="D29" s="66" t="s">
        <v>274</v>
      </c>
      <c r="E29" s="200">
        <f>SUMIFS('305 Inputs'!$F:$F,'305 Inputs'!$I:$I,$D29,'305 Inputs'!$C:$C,$D$12)</f>
        <v>176097.5</v>
      </c>
      <c r="F29" s="186"/>
      <c r="G29" s="186">
        <f t="shared" si="14"/>
        <v>-176097.5</v>
      </c>
      <c r="H29" s="186">
        <v>0</v>
      </c>
      <c r="I29" s="186">
        <v>0</v>
      </c>
      <c r="J29" s="186">
        <f t="shared" si="15"/>
        <v>-176097.5</v>
      </c>
      <c r="K29" s="200">
        <f t="shared" si="16"/>
        <v>0</v>
      </c>
      <c r="L29" s="357">
        <v>0</v>
      </c>
      <c r="M29" s="186">
        <v>0</v>
      </c>
      <c r="N29" s="186">
        <f>SUM(M29:M29)</f>
        <v>0</v>
      </c>
      <c r="O29" s="200">
        <f t="shared" si="18"/>
        <v>0</v>
      </c>
      <c r="P29" s="357">
        <v>0</v>
      </c>
      <c r="Q29" s="186">
        <v>0</v>
      </c>
      <c r="R29" s="186">
        <f>SUM(Q29:Q29)</f>
        <v>0</v>
      </c>
      <c r="S29" s="200">
        <f t="shared" si="20"/>
        <v>0</v>
      </c>
      <c r="T29" s="186"/>
      <c r="U29" s="186">
        <f t="shared" si="21"/>
        <v>-176097.5</v>
      </c>
      <c r="V29" s="358">
        <f t="shared" si="22"/>
        <v>0</v>
      </c>
      <c r="W29" s="7"/>
      <c r="X29" s="7"/>
    </row>
    <row r="30" spans="1:25" s="6" customFormat="1">
      <c r="A30" s="2"/>
      <c r="B30" s="2" t="s">
        <v>87</v>
      </c>
      <c r="C30" s="2"/>
      <c r="D30" s="66" t="s">
        <v>140</v>
      </c>
      <c r="E30" s="200">
        <f>SUMIFS('305 Inputs'!$F:$F,'305 Inputs'!$I:$I,$D30,'305 Inputs'!$C:$C,$D$12)</f>
        <v>-525128.25</v>
      </c>
      <c r="F30" s="186"/>
      <c r="G30" s="186">
        <v>0</v>
      </c>
      <c r="H30" s="186">
        <f>-E30</f>
        <v>525128.25</v>
      </c>
      <c r="I30" s="186">
        <v>0</v>
      </c>
      <c r="J30" s="186">
        <f t="shared" si="15"/>
        <v>525128.25</v>
      </c>
      <c r="K30" s="200">
        <f t="shared" si="16"/>
        <v>0</v>
      </c>
      <c r="L30" s="357">
        <v>0</v>
      </c>
      <c r="M30" s="186">
        <v>0</v>
      </c>
      <c r="N30" s="186">
        <f t="shared" si="17"/>
        <v>0</v>
      </c>
      <c r="O30" s="200">
        <f t="shared" si="18"/>
        <v>0</v>
      </c>
      <c r="P30" s="357">
        <v>0</v>
      </c>
      <c r="Q30" s="186">
        <v>0</v>
      </c>
      <c r="R30" s="186">
        <f t="shared" si="19"/>
        <v>0</v>
      </c>
      <c r="S30" s="200">
        <f t="shared" si="20"/>
        <v>0</v>
      </c>
      <c r="T30" s="186"/>
      <c r="U30" s="186">
        <f t="shared" si="21"/>
        <v>525128.25</v>
      </c>
      <c r="V30" s="358">
        <f t="shared" si="22"/>
        <v>0</v>
      </c>
      <c r="W30" s="7"/>
    </row>
    <row r="31" spans="1:25" s="6" customFormat="1">
      <c r="A31" s="2"/>
      <c r="B31" s="2" t="s">
        <v>406</v>
      </c>
      <c r="C31" s="2"/>
      <c r="D31" s="66" t="s">
        <v>407</v>
      </c>
      <c r="E31" s="200">
        <f>SUMIFS('305 Inputs'!$F:$F,'305 Inputs'!$I:$I,$D31,'305 Inputs'!$C:$C,$D$12)</f>
        <v>0</v>
      </c>
      <c r="F31" s="186"/>
      <c r="G31" s="186">
        <f>-E31</f>
        <v>0</v>
      </c>
      <c r="H31" s="186">
        <v>0</v>
      </c>
      <c r="I31" s="186">
        <v>0</v>
      </c>
      <c r="J31" s="186">
        <f t="shared" si="15"/>
        <v>0</v>
      </c>
      <c r="K31" s="200">
        <f t="shared" si="16"/>
        <v>0</v>
      </c>
      <c r="L31" s="357">
        <v>0</v>
      </c>
      <c r="M31" s="186">
        <v>0</v>
      </c>
      <c r="N31" s="186">
        <f t="shared" si="17"/>
        <v>0</v>
      </c>
      <c r="O31" s="200">
        <f t="shared" si="18"/>
        <v>0</v>
      </c>
      <c r="P31" s="357"/>
      <c r="Q31" s="186"/>
      <c r="R31" s="186"/>
      <c r="S31" s="200">
        <v>0</v>
      </c>
      <c r="T31" s="186"/>
      <c r="U31" s="186">
        <f t="shared" si="21"/>
        <v>0</v>
      </c>
      <c r="V31" s="358">
        <f t="shared" si="22"/>
        <v>0</v>
      </c>
      <c r="W31" s="7"/>
    </row>
    <row r="32" spans="1:25" s="6" customFormat="1">
      <c r="A32" s="2"/>
      <c r="B32" s="2" t="s">
        <v>405</v>
      </c>
      <c r="C32" s="2"/>
      <c r="D32" s="66" t="s">
        <v>408</v>
      </c>
      <c r="E32" s="200">
        <f>SUMIFS('305 Inputs'!$F:$F,'305 Inputs'!$I:$I,$D32,'305 Inputs'!$C:$C,$D$12)</f>
        <v>-8795487.7699999996</v>
      </c>
      <c r="F32" s="186"/>
      <c r="G32" s="186">
        <f>-E32</f>
        <v>8795487.7699999996</v>
      </c>
      <c r="H32" s="186">
        <v>0</v>
      </c>
      <c r="I32" s="186">
        <v>0</v>
      </c>
      <c r="J32" s="186">
        <f t="shared" si="15"/>
        <v>8795487.7699999996</v>
      </c>
      <c r="K32" s="200">
        <f t="shared" si="16"/>
        <v>0</v>
      </c>
      <c r="L32" s="357">
        <v>0</v>
      </c>
      <c r="M32" s="186">
        <v>0</v>
      </c>
      <c r="N32" s="186">
        <f t="shared" si="17"/>
        <v>0</v>
      </c>
      <c r="O32" s="200">
        <f t="shared" si="18"/>
        <v>0</v>
      </c>
      <c r="P32" s="357"/>
      <c r="Q32" s="186"/>
      <c r="R32" s="186"/>
      <c r="S32" s="200">
        <v>0</v>
      </c>
      <c r="T32" s="186"/>
      <c r="U32" s="186">
        <f t="shared" si="21"/>
        <v>8795487.7699999996</v>
      </c>
      <c r="V32" s="358">
        <f t="shared" si="22"/>
        <v>0</v>
      </c>
      <c r="W32" s="7"/>
    </row>
    <row r="33" spans="1:23" s="6" customFormat="1">
      <c r="A33" s="2"/>
      <c r="D33" s="66"/>
      <c r="E33" s="200"/>
      <c r="F33" s="186"/>
      <c r="G33" s="186"/>
      <c r="H33" s="186"/>
      <c r="I33" s="186"/>
      <c r="J33" s="186"/>
      <c r="K33" s="200"/>
      <c r="L33" s="357"/>
      <c r="M33" s="16"/>
      <c r="N33" s="186"/>
      <c r="O33" s="200"/>
      <c r="P33" s="357"/>
      <c r="Q33" s="16"/>
      <c r="R33" s="186"/>
      <c r="S33" s="200"/>
      <c r="T33" s="186"/>
      <c r="U33" s="186"/>
      <c r="V33" s="358"/>
      <c r="W33" s="7"/>
    </row>
    <row r="34" spans="1:23" s="6" customFormat="1">
      <c r="B34" s="2" t="s">
        <v>72</v>
      </c>
      <c r="C34" s="2"/>
      <c r="D34" s="66" t="s">
        <v>141</v>
      </c>
      <c r="E34" s="200">
        <f>SUMIFS('305 Inputs'!$F:$F,'305 Inputs'!$I:$I,$D34,'305 Inputs'!$C:$C,$D$12)</f>
        <v>3070000</v>
      </c>
      <c r="F34" s="186">
        <f>-SUM(F20,F23)</f>
        <v>-3070000</v>
      </c>
      <c r="G34" s="186">
        <v>0</v>
      </c>
      <c r="H34" s="186">
        <v>0</v>
      </c>
      <c r="I34" s="186">
        <v>0</v>
      </c>
      <c r="J34" s="186">
        <f>SUM(F34:I34)</f>
        <v>-3070000</v>
      </c>
      <c r="K34" s="200">
        <f>E34+J34</f>
        <v>0</v>
      </c>
      <c r="L34" s="357">
        <v>0</v>
      </c>
      <c r="M34" s="186">
        <v>0</v>
      </c>
      <c r="N34" s="186">
        <f>SUM(M34:M34)</f>
        <v>0</v>
      </c>
      <c r="O34" s="200">
        <f>N34+K34</f>
        <v>0</v>
      </c>
      <c r="P34" s="357">
        <v>0</v>
      </c>
      <c r="Q34" s="186">
        <v>0</v>
      </c>
      <c r="R34" s="186">
        <f>SUM(Q34:Q34)</f>
        <v>0</v>
      </c>
      <c r="S34" s="200">
        <f>R34+O34</f>
        <v>0</v>
      </c>
      <c r="T34" s="186"/>
      <c r="U34" s="186">
        <f>J34+N34+R34</f>
        <v>-3070000</v>
      </c>
      <c r="V34" s="358">
        <f>+E34+U34</f>
        <v>0</v>
      </c>
      <c r="W34" s="7"/>
    </row>
    <row r="35" spans="1:23" s="6" customFormat="1">
      <c r="A35" s="2"/>
      <c r="D35" s="66"/>
      <c r="E35" s="200"/>
      <c r="F35" s="186"/>
      <c r="G35" s="186"/>
      <c r="H35" s="186"/>
      <c r="I35" s="186"/>
      <c r="J35" s="186"/>
      <c r="K35" s="200"/>
      <c r="L35" s="357"/>
      <c r="M35" s="357"/>
      <c r="N35" s="357"/>
      <c r="O35" s="200"/>
      <c r="P35" s="357"/>
      <c r="Q35" s="357"/>
      <c r="R35" s="357"/>
      <c r="S35" s="200"/>
      <c r="T35" s="186"/>
      <c r="U35" s="186"/>
      <c r="V35" s="186"/>
      <c r="W35" s="7"/>
    </row>
    <row r="36" spans="1:23">
      <c r="B36" s="18" t="s">
        <v>8</v>
      </c>
      <c r="C36" s="19"/>
      <c r="D36" s="323"/>
      <c r="E36" s="201">
        <f t="shared" ref="E36:S36" si="23">+E20+E23+E25+SUM(E27:E34)</f>
        <v>124334265.18000001</v>
      </c>
      <c r="F36" s="191">
        <f>SUM(F20,F23,F34)</f>
        <v>0</v>
      </c>
      <c r="G36" s="191">
        <f t="shared" si="23"/>
        <v>15105461.78001</v>
      </c>
      <c r="H36" s="191">
        <f t="shared" si="23"/>
        <v>12222112.039999999</v>
      </c>
      <c r="I36" s="191">
        <f t="shared" si="23"/>
        <v>0</v>
      </c>
      <c r="J36" s="191">
        <f t="shared" si="23"/>
        <v>27327573.820009999</v>
      </c>
      <c r="K36" s="201">
        <f t="shared" si="23"/>
        <v>151661839.00000995</v>
      </c>
      <c r="L36" s="191">
        <f t="shared" si="23"/>
        <v>0</v>
      </c>
      <c r="M36" s="191">
        <f t="shared" si="23"/>
        <v>0</v>
      </c>
      <c r="N36" s="191">
        <f t="shared" si="23"/>
        <v>0</v>
      </c>
      <c r="O36" s="201">
        <f t="shared" si="23"/>
        <v>151661839.00000995</v>
      </c>
      <c r="P36" s="191">
        <f t="shared" si="23"/>
        <v>0</v>
      </c>
      <c r="Q36" s="191">
        <f t="shared" si="23"/>
        <v>0</v>
      </c>
      <c r="R36" s="191">
        <f t="shared" si="23"/>
        <v>0</v>
      </c>
      <c r="S36" s="201">
        <f t="shared" si="23"/>
        <v>151661839.00000995</v>
      </c>
      <c r="T36" s="191"/>
      <c r="U36" s="191">
        <f>+U20+U23+U25+SUM(U27:U34)</f>
        <v>27327573.820009999</v>
      </c>
      <c r="V36" s="191">
        <f>+V20+V23+V25+SUM(V27:V34)</f>
        <v>151661839.00000995</v>
      </c>
      <c r="W36" s="5"/>
    </row>
    <row r="37" spans="1:23">
      <c r="E37" s="199"/>
      <c r="F37" s="16"/>
      <c r="G37" s="16"/>
      <c r="H37" s="16"/>
      <c r="I37" s="16"/>
      <c r="J37" s="16"/>
      <c r="K37" s="199"/>
      <c r="L37" s="16"/>
      <c r="M37" s="16"/>
      <c r="N37" s="16"/>
      <c r="O37" s="199"/>
      <c r="P37" s="16"/>
      <c r="Q37" s="16"/>
      <c r="R37" s="16"/>
      <c r="S37" s="199"/>
      <c r="T37" s="16"/>
      <c r="U37" s="181"/>
      <c r="V37" s="73"/>
      <c r="W37" s="5"/>
    </row>
    <row r="38" spans="1:23">
      <c r="A38" s="3" t="s">
        <v>16</v>
      </c>
      <c r="B38" s="3"/>
      <c r="C38" s="3"/>
      <c r="D38" s="155" t="s">
        <v>460</v>
      </c>
      <c r="E38" s="199"/>
      <c r="F38" s="16"/>
      <c r="G38" s="16"/>
      <c r="H38" s="16"/>
      <c r="I38" s="16"/>
      <c r="J38" s="16"/>
      <c r="K38" s="199"/>
      <c r="L38" s="16"/>
      <c r="M38" s="16"/>
      <c r="N38" s="16"/>
      <c r="O38" s="199"/>
      <c r="P38" s="16"/>
      <c r="Q38" s="16"/>
      <c r="R38" s="16"/>
      <c r="S38" s="199"/>
      <c r="T38" s="16"/>
      <c r="U38" s="181"/>
      <c r="V38" s="73"/>
      <c r="W38" s="5"/>
    </row>
    <row r="39" spans="1:23">
      <c r="B39" s="198" t="s">
        <v>48</v>
      </c>
      <c r="C39" s="198"/>
      <c r="D39" s="66">
        <v>24</v>
      </c>
      <c r="E39" s="199">
        <f>SUMIFS('305 Inputs'!$F:$F,'305 Inputs'!$I:$I,$D39,'305 Inputs'!$C:$C,$D$38)</f>
        <v>44443416.000000007</v>
      </c>
      <c r="F39" s="16">
        <f>E39/SUM($E$42,$E$45,$E$48,$E$52,$E$19)*$E$63</f>
        <v>-565460.09270051098</v>
      </c>
      <c r="G39" s="16">
        <f>-SUMIFS('WA SBC'!$O:$O,'WA SBC'!$B:$B,$D39,'WA SBC'!$A:$A,$D$38)-SUMIFS('WA Decoupling'!O:O,'WA Decoupling'!A:A,$D$38,'WA Decoupling'!B:B,$D39)-SUMIFS('WA PCAM'!$P:$P,'WA PCAM'!$C:$C,$D39,'WA PCAM'!$B:$B,$D$38)-SUMIFS('WA FTAA'!$O:$O,'WA FTAA'!$B:$B,$D39,'WA FTAA'!$A:$A,$D$38)-SUMIFS('WA SBC'!$O:$O,'WA SBC'!$B:$B,"45-24",'WA SBC'!$A:$A,$D$38)-SUMIFS('WA Decoupling'!O:O,'WA Decoupling'!A:A,$D$38,'WA Decoupling'!B:B,"45-24")-SUMIFS('WA PCAM'!$P:$P,'WA PCAM'!$C:$C,"45-24",'WA PCAM'!$B:$B,$D$38)-SUMIFS('WA FTAA'!$O:$O,'WA FTAA'!$B:$B,"45-24",'WA FTAA'!$A:$A,$D$38)</f>
        <v>1673223.7103579931</v>
      </c>
      <c r="H39" s="16">
        <f>-SUMIFS('305 Inputs'!$F:$F,'305 Inputs'!$I:$I,$D39,'305 Inputs'!$C:$C,$D$38,'305 Inputs'!$D:$D,"B")</f>
        <v>207710.73</v>
      </c>
      <c r="I39" s="16">
        <v>0</v>
      </c>
      <c r="J39" s="16">
        <f>SUM(F39:I39)</f>
        <v>1315474.3476574821</v>
      </c>
      <c r="K39" s="199">
        <f>E39+J39</f>
        <v>45758890.347657487</v>
      </c>
      <c r="L39" s="355">
        <f>$L$18</f>
        <v>0</v>
      </c>
      <c r="M39" s="16">
        <f>ROUND(K39*L39*(($Y$7-$Y$10)/($Y$7+$Y$10*L39)),0)</f>
        <v>0</v>
      </c>
      <c r="N39" s="16">
        <f>SUM(M39:M39)</f>
        <v>0</v>
      </c>
      <c r="O39" s="199">
        <f>N39+K39</f>
        <v>45758890.347657487</v>
      </c>
      <c r="P39" s="355">
        <f>$P$18</f>
        <v>0</v>
      </c>
      <c r="Q39" s="16">
        <f>ROUND(O39*P39*($Y$17/$Y$14),0)</f>
        <v>0</v>
      </c>
      <c r="R39" s="16">
        <f>SUM(Q39:Q39)</f>
        <v>0</v>
      </c>
      <c r="S39" s="199">
        <f>R39+O39</f>
        <v>45758890.347657487</v>
      </c>
      <c r="T39" s="16"/>
      <c r="U39" s="16">
        <f>J39+N39+R39</f>
        <v>1315474.3476574821</v>
      </c>
      <c r="V39" s="73">
        <f>+E39+U39</f>
        <v>45758890.347657487</v>
      </c>
      <c r="W39" s="5"/>
    </row>
    <row r="40" spans="1:23" s="6" customFormat="1">
      <c r="B40" s="198" t="s">
        <v>49</v>
      </c>
      <c r="C40" s="198"/>
      <c r="D40" s="66" t="s">
        <v>137</v>
      </c>
      <c r="E40" s="199">
        <f>SUMIFS('305 Inputs'!$F:$F,'305 Inputs'!$I:$I,$D40,'305 Inputs'!$C:$C,$D$38)</f>
        <v>166469.92000000001</v>
      </c>
      <c r="F40" s="16">
        <f>E40/SUM($E$42,$E$45,$E$48,$E$52,$E$19)*$E$63</f>
        <v>-2118.0211798986525</v>
      </c>
      <c r="G40" s="16">
        <f>-SUMIFS('WA SBC'!$O:$O,'WA SBC'!$B:$B,$D40,'WA SBC'!$A:$A,$D$38)-SUMIFS('WA Decoupling'!O:O,'WA Decoupling'!A:A,$D$38,'WA Decoupling'!B:B,$D40)-SUMIFS('WA PCAM'!$P:$P,'WA PCAM'!$C:$C,$D40,'WA PCAM'!$B:$B,$D$38)-SUMIFS('WA FTAA'!$O:$O,'WA FTAA'!$B:$B,$D40,'WA FTAA'!$A:$A,$D$38)</f>
        <v>0</v>
      </c>
      <c r="H40" s="16">
        <f>-SUMIFS('305 Inputs'!$F:$F,'305 Inputs'!$I:$I,$D40,'305 Inputs'!$C:$C,$D$38,'305 Inputs'!$D:$D,"B")</f>
        <v>6.49</v>
      </c>
      <c r="I40" s="16">
        <v>0</v>
      </c>
      <c r="J40" s="16">
        <f>SUM(F40:I40)</f>
        <v>-2111.5311798986527</v>
      </c>
      <c r="K40" s="199">
        <f>E40+J40</f>
        <v>164358.38882010136</v>
      </c>
      <c r="L40" s="356">
        <f>$L$18</f>
        <v>0</v>
      </c>
      <c r="M40" s="16">
        <f>ROUND(K40*L40*(($Y$7-$Y$10)/($Y$7+$Y$10*L40)),0)</f>
        <v>0</v>
      </c>
      <c r="N40" s="16">
        <f>SUM(M40:M40)</f>
        <v>0</v>
      </c>
      <c r="O40" s="199">
        <f>N40+K40</f>
        <v>164358.38882010136</v>
      </c>
      <c r="P40" s="356">
        <f>$P$18</f>
        <v>0</v>
      </c>
      <c r="Q40" s="16">
        <f>ROUND(O40*P40*($Y$17/$Y$14),0)</f>
        <v>0</v>
      </c>
      <c r="R40" s="16">
        <f>SUM(Q40:Q40)</f>
        <v>0</v>
      </c>
      <c r="S40" s="199">
        <f>R40+O40</f>
        <v>164358.38882010136</v>
      </c>
      <c r="T40" s="16"/>
      <c r="U40" s="16">
        <f>J40+N40+R40</f>
        <v>-2111.5311798986527</v>
      </c>
      <c r="V40" s="73">
        <f>+E40+U40</f>
        <v>164358.38882010136</v>
      </c>
      <c r="W40" s="7"/>
    </row>
    <row r="41" spans="1:23">
      <c r="B41" s="198" t="s">
        <v>54</v>
      </c>
      <c r="C41" s="198"/>
      <c r="D41" s="66" t="s">
        <v>144</v>
      </c>
      <c r="E41" s="200">
        <f>SUMIFS('305 Inputs'!$F:$F,'305 Inputs'!$I:$I,$D41,'305 Inputs'!$C:$C,$D$38)</f>
        <v>121960.01</v>
      </c>
      <c r="F41" s="186">
        <f>E41/SUM($E$42,$E$45,$E$48,$E$52,$E$19)*$E$63</f>
        <v>-1551.715074294812</v>
      </c>
      <c r="G41" s="186">
        <f>-SUMIFS('WA SBC'!$O:$O,'WA SBC'!$B:$B,$D41,'WA SBC'!$A:$A,$D$38)-SUMIFS('WA Decoupling'!O:O,'WA Decoupling'!A:A,$D$38,'WA Decoupling'!B:B,$D41)-SUMIFS('WA PCAM'!$P:$P,'WA PCAM'!$C:$C,$D41,'WA PCAM'!$B:$B,$D$38)-SUMIFS('WA FTAA'!$O:$O,'WA FTAA'!$B:$B,$D41,'WA FTAA'!$A:$A,$D$38)</f>
        <v>0</v>
      </c>
      <c r="H41" s="186">
        <f>-SUMIFS('305 Inputs'!$F:$F,'305 Inputs'!$I:$I,$D41,'305 Inputs'!$C:$C,$D$38,'305 Inputs'!$D:$D,"B")</f>
        <v>6293.35</v>
      </c>
      <c r="I41" s="186">
        <v>0</v>
      </c>
      <c r="J41" s="186">
        <f>SUM(F41:I41)</f>
        <v>4741.6349257051879</v>
      </c>
      <c r="K41" s="200">
        <f>E41+J41</f>
        <v>126701.64492570519</v>
      </c>
      <c r="L41" s="357">
        <f>$L$18</f>
        <v>0</v>
      </c>
      <c r="M41" s="186">
        <f>ROUND(K41*L41*(($Y$7-$Y$10)/($Y$7+$Y$10*L41)),0)</f>
        <v>0</v>
      </c>
      <c r="N41" s="186">
        <f>SUM(M41:M41)</f>
        <v>0</v>
      </c>
      <c r="O41" s="200">
        <f>N41+K41</f>
        <v>126701.64492570519</v>
      </c>
      <c r="P41" s="357">
        <f>$P$18</f>
        <v>0</v>
      </c>
      <c r="Q41" s="186">
        <f>ROUND(O41*P41*($Y$17/$Y$14),0)</f>
        <v>0</v>
      </c>
      <c r="R41" s="186">
        <f>SUM(Q41:Q41)</f>
        <v>0</v>
      </c>
      <c r="S41" s="200">
        <f>R41+O41</f>
        <v>126701.64492570519</v>
      </c>
      <c r="T41" s="186"/>
      <c r="U41" s="186">
        <f>J41+N41+R41</f>
        <v>4741.6349257051879</v>
      </c>
      <c r="V41" s="358">
        <f>+E41+U41</f>
        <v>126701.64492570519</v>
      </c>
      <c r="W41" s="5"/>
    </row>
    <row r="42" spans="1:23">
      <c r="B42" s="2" t="s">
        <v>33</v>
      </c>
      <c r="E42" s="199">
        <f t="shared" ref="E42:K42" si="24">SUM(E39:E41)</f>
        <v>44731845.930000007</v>
      </c>
      <c r="F42" s="16">
        <f>SUM(F39:F41)</f>
        <v>-569129.82895470446</v>
      </c>
      <c r="G42" s="16">
        <f t="shared" si="24"/>
        <v>1673223.7103579931</v>
      </c>
      <c r="H42" s="16">
        <f t="shared" si="24"/>
        <v>214010.57</v>
      </c>
      <c r="I42" s="16">
        <f t="shared" si="24"/>
        <v>0</v>
      </c>
      <c r="J42" s="16">
        <f>SUM(J39:J41)</f>
        <v>1318104.4514032886</v>
      </c>
      <c r="K42" s="199">
        <f t="shared" si="24"/>
        <v>46049950.381403297</v>
      </c>
      <c r="L42" s="356"/>
      <c r="M42" s="16">
        <f>SUM(M39:M41)</f>
        <v>0</v>
      </c>
      <c r="N42" s="16">
        <f>SUM(N39:N41)</f>
        <v>0</v>
      </c>
      <c r="O42" s="199">
        <f>SUM(O39:O41)</f>
        <v>46049950.381403297</v>
      </c>
      <c r="P42" s="356"/>
      <c r="Q42" s="16">
        <f>SUM(Q39:Q41)</f>
        <v>0</v>
      </c>
      <c r="R42" s="16">
        <f>SUM(R39:R41)</f>
        <v>0</v>
      </c>
      <c r="S42" s="199">
        <f>SUM(S39:S41)</f>
        <v>46049950.381403297</v>
      </c>
      <c r="T42" s="16"/>
      <c r="U42" s="16">
        <f>SUM(U39:U41)</f>
        <v>1318104.4514032886</v>
      </c>
      <c r="V42" s="16">
        <f>SUM(V39:V41)</f>
        <v>46049950.381403297</v>
      </c>
      <c r="W42" s="5"/>
    </row>
    <row r="43" spans="1:23">
      <c r="E43" s="199"/>
      <c r="F43" s="16"/>
      <c r="G43" s="16"/>
      <c r="H43" s="16"/>
      <c r="I43" s="16"/>
      <c r="J43" s="16"/>
      <c r="K43" s="199"/>
      <c r="L43" s="16"/>
      <c r="M43" s="16"/>
      <c r="N43" s="16"/>
      <c r="O43" s="199"/>
      <c r="P43" s="16"/>
      <c r="Q43" s="16"/>
      <c r="R43" s="16"/>
      <c r="S43" s="199"/>
      <c r="T43" s="16"/>
      <c r="U43" s="16"/>
      <c r="V43" s="73"/>
      <c r="W43" s="5"/>
    </row>
    <row r="44" spans="1:23">
      <c r="B44" s="198" t="s">
        <v>50</v>
      </c>
      <c r="C44" s="198"/>
      <c r="D44" s="66">
        <v>36</v>
      </c>
      <c r="E44" s="200">
        <f>SUMIFS('305 Inputs'!$F:$F,'305 Inputs'!$I:$I,$D44,'305 Inputs'!$C:$C,$D$38)</f>
        <v>62528098.890000001</v>
      </c>
      <c r="F44" s="186">
        <f>(E44+E19)/SUM($E$42,$E$45,$E$48,$E$52,$E$19)*$E$63</f>
        <v>-796969.38417223317</v>
      </c>
      <c r="G44" s="186">
        <f>-SUMIFS('WA SBC'!$O:$O,'WA SBC'!$B:$B,$D44,'WA SBC'!$A:$A,$D$38)-SUMIFS('WA Decoupling'!O:O,'WA Decoupling'!A:A,$D$38,'WA Decoupling'!B:B,$D44)-SUMIFS('WA PCAM'!$P:$P,'WA PCAM'!$C:$C,$D44,'WA PCAM'!$B:$B,$D$38)-SUMIFS('WA FTAA'!$O:$O,'WA FTAA'!$B:$B,$D44,'WA FTAA'!$A:$A,$D$38)</f>
        <v>3168943.6531400001</v>
      </c>
      <c r="H44" s="186">
        <f>-SUMIFS('305 Inputs'!$F:$F,'305 Inputs'!$I:$I,$D44,'305 Inputs'!$C:$C,$D$38,'305 Inputs'!$D:$D,"B")</f>
        <v>370241.43</v>
      </c>
      <c r="I44" s="186">
        <v>0</v>
      </c>
      <c r="J44" s="186">
        <f>SUM(F44:I44)</f>
        <v>2742215.6989677669</v>
      </c>
      <c r="K44" s="200">
        <f>E44+J44</f>
        <v>65270314.58896777</v>
      </c>
      <c r="L44" s="359">
        <v>0</v>
      </c>
      <c r="M44" s="186">
        <f>ROUND(K44*L44*(($Y$7-$Y$10)/($Y$7+$Y$10*L44)),0)</f>
        <v>0</v>
      </c>
      <c r="N44" s="186">
        <f>SUM(M44:M44)</f>
        <v>0</v>
      </c>
      <c r="O44" s="200">
        <f>N44+K44</f>
        <v>65270314.58896777</v>
      </c>
      <c r="P44" s="359">
        <v>0</v>
      </c>
      <c r="Q44" s="186">
        <f>ROUND(O44*P44*($Y$17/$Y$14),0)</f>
        <v>0</v>
      </c>
      <c r="R44" s="186">
        <f>SUM(Q44:Q44)</f>
        <v>0</v>
      </c>
      <c r="S44" s="200">
        <f>R44+O44</f>
        <v>65270314.58896777</v>
      </c>
      <c r="T44" s="186"/>
      <c r="U44" s="186">
        <f>J44+N44+R44</f>
        <v>2742215.6989677669</v>
      </c>
      <c r="V44" s="358">
        <f>+E44+U44</f>
        <v>65270314.58896777</v>
      </c>
      <c r="W44" s="5"/>
    </row>
    <row r="45" spans="1:23">
      <c r="B45" s="2" t="s">
        <v>33</v>
      </c>
      <c r="E45" s="199">
        <f t="shared" ref="E45:K45" si="25">SUM(E44:E44)</f>
        <v>62528098.890000001</v>
      </c>
      <c r="F45" s="16">
        <f>SUM(F44)</f>
        <v>-796969.38417223317</v>
      </c>
      <c r="G45" s="16">
        <f t="shared" si="25"/>
        <v>3168943.6531400001</v>
      </c>
      <c r="H45" s="16">
        <f t="shared" si="25"/>
        <v>370241.43</v>
      </c>
      <c r="I45" s="16">
        <f t="shared" si="25"/>
        <v>0</v>
      </c>
      <c r="J45" s="16">
        <f t="shared" si="25"/>
        <v>2742215.6989677669</v>
      </c>
      <c r="K45" s="199">
        <f t="shared" si="25"/>
        <v>65270314.58896777</v>
      </c>
      <c r="L45" s="356"/>
      <c r="M45" s="16">
        <f>SUM(M44:M44)</f>
        <v>0</v>
      </c>
      <c r="N45" s="16">
        <f>SUM(N44:N44)</f>
        <v>0</v>
      </c>
      <c r="O45" s="199">
        <f>SUM(O44:O44)</f>
        <v>65270314.58896777</v>
      </c>
      <c r="P45" s="356"/>
      <c r="Q45" s="16">
        <f>SUM(Q44:Q44)</f>
        <v>0</v>
      </c>
      <c r="R45" s="16">
        <f>SUM(R44:R44)</f>
        <v>0</v>
      </c>
      <c r="S45" s="199">
        <f>SUM(S44:S44)</f>
        <v>65270314.58896777</v>
      </c>
      <c r="T45" s="16"/>
      <c r="U45" s="16">
        <f>SUM(U44:U44)</f>
        <v>2742215.6989677669</v>
      </c>
      <c r="V45" s="16">
        <f>SUM(V44:V44)</f>
        <v>65270314.58896777</v>
      </c>
      <c r="W45" s="5"/>
    </row>
    <row r="46" spans="1:23">
      <c r="B46" s="198"/>
      <c r="C46" s="198"/>
      <c r="E46" s="199"/>
      <c r="F46" s="16"/>
      <c r="G46" s="16"/>
      <c r="H46" s="16"/>
      <c r="I46" s="16"/>
      <c r="J46" s="16"/>
      <c r="K46" s="199"/>
      <c r="L46" s="356"/>
      <c r="M46" s="16"/>
      <c r="N46" s="16"/>
      <c r="O46" s="199"/>
      <c r="P46" s="356"/>
      <c r="Q46" s="16"/>
      <c r="R46" s="16"/>
      <c r="S46" s="199"/>
      <c r="T46" s="16"/>
      <c r="U46" s="16"/>
      <c r="V46" s="73"/>
      <c r="W46" s="5"/>
    </row>
    <row r="47" spans="1:23" s="6" customFormat="1">
      <c r="B47" s="198" t="s">
        <v>51</v>
      </c>
      <c r="C47" s="198"/>
      <c r="D47" s="66" t="s">
        <v>143</v>
      </c>
      <c r="E47" s="200">
        <f>SUMIFS('305 Inputs'!$F:$F,'305 Inputs'!$I:$I,$D47,'305 Inputs'!$C:$C,$D$38)</f>
        <v>14306332.110000001</v>
      </c>
      <c r="F47" s="186">
        <f>E47/SUM($E$42,$E$45,$E$48,$E$52,$E$19)*$E$63</f>
        <v>-182021.55930419246</v>
      </c>
      <c r="G47" s="186">
        <f>-SUMIFS('WA SBC'!$O:$O,'WA SBC'!$B:$B,$D47,'WA SBC'!$A:$A,$D$38)-SUMIFS('WA Decoupling'!O:O,'WA Decoupling'!A:A,$D$38,'WA Decoupling'!B:B,$D47)-SUMIFS('WA PCAM'!$P:$P,'WA PCAM'!$C:$C,$D47,'WA PCAM'!$B:$B,$D$38)-SUMIFS('WA FTAA'!$O:$O,'WA FTAA'!$B:$B,$D47,'WA FTAA'!$A:$A,$D$38)</f>
        <v>201486.72399999993</v>
      </c>
      <c r="H47" s="186">
        <f>-SUMIFS('305 Inputs'!$F:$F,'305 Inputs'!$I:$I,$D47,'305 Inputs'!$C:$C,$D$38,'305 Inputs'!$D:$D,"B")</f>
        <v>0</v>
      </c>
      <c r="I47" s="186">
        <v>0</v>
      </c>
      <c r="J47" s="186">
        <f>SUM(F47:I47)</f>
        <v>19465.164695807471</v>
      </c>
      <c r="K47" s="200">
        <f>E47+J47</f>
        <v>14325797.274695808</v>
      </c>
      <c r="L47" s="359">
        <v>0</v>
      </c>
      <c r="M47" s="186">
        <f>ROUND(K47*L47*(($Y$7-$Y$10)/($Y$7+$Y$10*L47)),0)</f>
        <v>0</v>
      </c>
      <c r="N47" s="186">
        <f>SUM(M47:M47)</f>
        <v>0</v>
      </c>
      <c r="O47" s="200">
        <f>N47+K47</f>
        <v>14325797.274695808</v>
      </c>
      <c r="P47" s="359">
        <v>0</v>
      </c>
      <c r="Q47" s="186">
        <f>ROUND(O47*P47*($Y$17/$Y$14),0)</f>
        <v>0</v>
      </c>
      <c r="R47" s="186">
        <f>SUM(Q47:Q47)</f>
        <v>0</v>
      </c>
      <c r="S47" s="200">
        <f>R47+O47</f>
        <v>14325797.274695808</v>
      </c>
      <c r="T47" s="186"/>
      <c r="U47" s="186">
        <f>J47+N47+R47</f>
        <v>19465.164695807471</v>
      </c>
      <c r="V47" s="358">
        <f>+E47+U47</f>
        <v>14325797.274695808</v>
      </c>
      <c r="W47" s="7"/>
    </row>
    <row r="48" spans="1:23">
      <c r="B48" s="2" t="s">
        <v>33</v>
      </c>
      <c r="E48" s="199">
        <f t="shared" ref="E48:K48" si="26">SUM(E47)</f>
        <v>14306332.110000001</v>
      </c>
      <c r="F48" s="16">
        <f>SUM(F47)</f>
        <v>-182021.55930419246</v>
      </c>
      <c r="G48" s="16">
        <f t="shared" si="26"/>
        <v>201486.72399999993</v>
      </c>
      <c r="H48" s="16">
        <f t="shared" si="26"/>
        <v>0</v>
      </c>
      <c r="I48" s="16">
        <f t="shared" si="26"/>
        <v>0</v>
      </c>
      <c r="J48" s="16">
        <f t="shared" si="26"/>
        <v>19465.164695807471</v>
      </c>
      <c r="K48" s="199">
        <f t="shared" si="26"/>
        <v>14325797.274695808</v>
      </c>
      <c r="L48" s="356"/>
      <c r="M48" s="16">
        <f>SUM(M47)</f>
        <v>0</v>
      </c>
      <c r="N48" s="16">
        <f>SUM(N47)</f>
        <v>0</v>
      </c>
      <c r="O48" s="199">
        <f>SUM(O47)</f>
        <v>14325797.274695808</v>
      </c>
      <c r="P48" s="356"/>
      <c r="Q48" s="16">
        <f>SUM(Q47)</f>
        <v>0</v>
      </c>
      <c r="R48" s="16">
        <f>SUM(R47)</f>
        <v>0</v>
      </c>
      <c r="S48" s="199">
        <f>SUM(S47)</f>
        <v>14325797.274695808</v>
      </c>
      <c r="T48" s="16"/>
      <c r="U48" s="16">
        <f>SUM(U47)</f>
        <v>19465.164695807471</v>
      </c>
      <c r="V48" s="16">
        <f>SUM(V47)</f>
        <v>14325797.274695808</v>
      </c>
      <c r="W48" s="5"/>
    </row>
    <row r="49" spans="1:23">
      <c r="E49" s="199"/>
      <c r="F49" s="16"/>
      <c r="G49" s="16"/>
      <c r="H49" s="16"/>
      <c r="I49" s="16"/>
      <c r="J49" s="16"/>
      <c r="K49" s="199" t="s">
        <v>29</v>
      </c>
      <c r="L49" s="16"/>
      <c r="M49" s="16"/>
      <c r="N49" s="16"/>
      <c r="O49" s="199"/>
      <c r="P49" s="16"/>
      <c r="Q49" s="16"/>
      <c r="R49" s="16"/>
      <c r="S49" s="199"/>
      <c r="T49" s="16"/>
      <c r="U49" s="16"/>
      <c r="V49" s="73"/>
    </row>
    <row r="50" spans="1:23">
      <c r="B50" s="198" t="s">
        <v>52</v>
      </c>
      <c r="C50" s="198"/>
      <c r="D50" s="66" t="s">
        <v>139</v>
      </c>
      <c r="E50" s="199">
        <f>SUMIFS('305 Inputs'!$F:$F,'305 Inputs'!$I:$I,$D50,'305 Inputs'!$C:$C,$D$38)</f>
        <v>281190.39</v>
      </c>
      <c r="F50" s="16">
        <f>E50/SUM($E$42,$E$45,$E$48,$E$52,$E$19)*$E$63</f>
        <v>-3577.6265261854041</v>
      </c>
      <c r="G50" s="16">
        <f>-SUMIFS('WA SBC'!$O:$O,'WA SBC'!$B:$B,$D50,'WA SBC'!$A:$A,$D$38)-SUMIFS('WA Decoupling'!O:O,'WA Decoupling'!A:A,$D$38,'WA Decoupling'!B:B,$D50)-SUMIFS('WA PCAM'!$P:$P,'WA PCAM'!$C:$C,$D50,'WA PCAM'!$B:$B,$D$38)-SUMIFS('WA FTAA'!$O:$O,'WA FTAA'!$B:$B,$D50,'WA FTAA'!$A:$A,$D$38)</f>
        <v>2869.0468899999996</v>
      </c>
      <c r="H50" s="16">
        <f>-SUMIFS('305 Inputs'!$F:$F,'305 Inputs'!$I:$I,$D50,'305 Inputs'!$C:$C,$D$38,'305 Inputs'!$D:$D,"B")</f>
        <v>3753.95</v>
      </c>
      <c r="I50" s="16">
        <v>0</v>
      </c>
      <c r="J50" s="16">
        <f>SUM(F50:I50)</f>
        <v>3045.3703638145953</v>
      </c>
      <c r="K50" s="199">
        <f>E50+J50</f>
        <v>284235.7603638146</v>
      </c>
      <c r="L50" s="356">
        <f>$L$22</f>
        <v>0</v>
      </c>
      <c r="M50" s="16">
        <f>ROUND(K50*L50*(($Y$7-$Y$10)/($Y$7+$Y$10*L50)),0)</f>
        <v>0</v>
      </c>
      <c r="N50" s="16">
        <f>SUM(M50:M50)</f>
        <v>0</v>
      </c>
      <c r="O50" s="199">
        <f>N50+K50</f>
        <v>284235.7603638146</v>
      </c>
      <c r="P50" s="356">
        <f>$P$22</f>
        <v>0</v>
      </c>
      <c r="Q50" s="16">
        <f>ROUND(O50*P50*($Y$17/$Y$14),0)</f>
        <v>0</v>
      </c>
      <c r="R50" s="16">
        <f>SUM(Q50:Q50)</f>
        <v>0</v>
      </c>
      <c r="S50" s="199">
        <f>R50+O50</f>
        <v>284235.7603638146</v>
      </c>
      <c r="T50" s="16"/>
      <c r="U50" s="16">
        <f>J50+N50+R50</f>
        <v>3045.3703638145953</v>
      </c>
      <c r="V50" s="73">
        <f>+E50+U50</f>
        <v>284235.7603638146</v>
      </c>
      <c r="W50" s="5"/>
    </row>
    <row r="51" spans="1:23">
      <c r="B51" s="198" t="s">
        <v>53</v>
      </c>
      <c r="C51" s="198"/>
      <c r="D51" s="66">
        <v>54</v>
      </c>
      <c r="E51" s="200">
        <f>SUMIFS('305 Inputs'!$F:$F,'305 Inputs'!$I:$I,$D51,'305 Inputs'!$C:$C,$D$38)</f>
        <v>23704.91</v>
      </c>
      <c r="F51" s="186">
        <f>E51/SUM($E$42,$E$45,$E$48,$E$52,$E$19)*$E$63</f>
        <v>-301.60104268441626</v>
      </c>
      <c r="G51" s="186">
        <f>-SUMIFS('WA SBC'!$O:$O,'WA SBC'!$B:$B,$D51,'WA SBC'!$A:$A,$D$38)-SUMIFS('WA Decoupling'!O:O,'WA Decoupling'!A:A,$D$38,'WA Decoupling'!B:B,$D51)-SUMIFS('WA PCAM'!$P:$P,'WA PCAM'!$C:$C,$D51,'WA PCAM'!$B:$B,$D$38)-SUMIFS('WA FTAA'!$O:$O,'WA FTAA'!$B:$B,$D51,'WA FTAA'!$A:$A,$D$38)</f>
        <v>403.8751500000003</v>
      </c>
      <c r="H51" s="186">
        <f>-SUMIFS('305 Inputs'!$F:$F,'305 Inputs'!$I:$I,$D51,'305 Inputs'!$C:$C,$D$38,'305 Inputs'!$D:$D,"B")</f>
        <v>0</v>
      </c>
      <c r="I51" s="186">
        <v>0</v>
      </c>
      <c r="J51" s="186">
        <f>SUM(F51:I51)</f>
        <v>102.27410731558405</v>
      </c>
      <c r="K51" s="200">
        <f>E51+J51</f>
        <v>23807.184107315585</v>
      </c>
      <c r="L51" s="357">
        <v>0</v>
      </c>
      <c r="M51" s="186">
        <f>ROUND(K51*L51*(($Y$7-$Y$10)/($Y$7+$Y$10*L51)),0)</f>
        <v>0</v>
      </c>
      <c r="N51" s="186">
        <f>SUM(M51:M51)</f>
        <v>0</v>
      </c>
      <c r="O51" s="200">
        <f>N51+K51</f>
        <v>23807.184107315585</v>
      </c>
      <c r="P51" s="357">
        <v>0</v>
      </c>
      <c r="Q51" s="186">
        <f>ROUND(O51*P51*($Y$17/$Y$14),0)</f>
        <v>0</v>
      </c>
      <c r="R51" s="186">
        <f>SUM(Q51:Q51)</f>
        <v>0</v>
      </c>
      <c r="S51" s="200">
        <f>R51+O51</f>
        <v>23807.184107315585</v>
      </c>
      <c r="T51" s="186"/>
      <c r="U51" s="186">
        <f>J51+N51+R51</f>
        <v>102.27410731558405</v>
      </c>
      <c r="V51" s="358">
        <f>+E51+U51</f>
        <v>23807.184107315585</v>
      </c>
      <c r="W51" s="5"/>
    </row>
    <row r="52" spans="1:23">
      <c r="B52" s="2" t="s">
        <v>33</v>
      </c>
      <c r="E52" s="199">
        <f t="shared" ref="E52:K52" si="27">SUM(E50:E51)</f>
        <v>304895.3</v>
      </c>
      <c r="F52" s="16">
        <f>SUM(F50:F51)</f>
        <v>-3879.2275688698205</v>
      </c>
      <c r="G52" s="16">
        <f t="shared" si="27"/>
        <v>3272.9220399999999</v>
      </c>
      <c r="H52" s="16">
        <f t="shared" si="27"/>
        <v>3753.95</v>
      </c>
      <c r="I52" s="16">
        <f t="shared" si="27"/>
        <v>0</v>
      </c>
      <c r="J52" s="16">
        <f t="shared" si="27"/>
        <v>3147.6444711301792</v>
      </c>
      <c r="K52" s="199">
        <f t="shared" si="27"/>
        <v>308042.94447113021</v>
      </c>
      <c r="L52" s="357"/>
      <c r="M52" s="16">
        <f>SUM(M50:M51)</f>
        <v>0</v>
      </c>
      <c r="N52" s="16">
        <f>SUM(N50:N51)</f>
        <v>0</v>
      </c>
      <c r="O52" s="199">
        <f>SUM(O50:O51)</f>
        <v>308042.94447113021</v>
      </c>
      <c r="P52" s="357"/>
      <c r="Q52" s="16">
        <f>SUM(Q50:Q51)</f>
        <v>0</v>
      </c>
      <c r="R52" s="16">
        <f>SUM(R50:R51)</f>
        <v>0</v>
      </c>
      <c r="S52" s="199">
        <f>SUM(S50:S51)</f>
        <v>308042.94447113021</v>
      </c>
      <c r="T52" s="16"/>
      <c r="U52" s="16">
        <f>SUM(U50:U51)</f>
        <v>3147.6444711301792</v>
      </c>
      <c r="V52" s="16">
        <f>SUM(V50:V51)</f>
        <v>308042.94447113021</v>
      </c>
      <c r="W52" s="5"/>
    </row>
    <row r="53" spans="1:23">
      <c r="E53" s="199"/>
      <c r="F53" s="16"/>
      <c r="G53" s="16"/>
      <c r="H53" s="16"/>
      <c r="I53" s="16"/>
      <c r="J53" s="16"/>
      <c r="K53" s="199"/>
      <c r="L53" s="186"/>
      <c r="M53" s="16"/>
      <c r="N53" s="16"/>
      <c r="O53" s="199"/>
      <c r="P53" s="186"/>
      <c r="Q53" s="16"/>
      <c r="R53" s="16"/>
      <c r="S53" s="199"/>
      <c r="T53" s="16"/>
      <c r="U53" s="16"/>
      <c r="V53" s="73"/>
    </row>
    <row r="54" spans="1:23" s="6" customFormat="1">
      <c r="A54" s="2"/>
      <c r="B54" s="2" t="s">
        <v>32</v>
      </c>
      <c r="C54" s="2"/>
      <c r="D54" s="66" t="s">
        <v>138</v>
      </c>
      <c r="E54" s="200">
        <f>SUMIFS('305 Inputs'!$F:$F,'305 Inputs'!$I:$I,$D54,'305 Inputs'!$C:$C,$D$38)</f>
        <v>589888.98</v>
      </c>
      <c r="F54" s="186"/>
      <c r="G54" s="186">
        <v>0</v>
      </c>
      <c r="H54" s="186">
        <v>0</v>
      </c>
      <c r="I54" s="186">
        <v>0</v>
      </c>
      <c r="J54" s="186">
        <f>SUM(G54:I54)</f>
        <v>0</v>
      </c>
      <c r="K54" s="200">
        <f>E54+J54</f>
        <v>589888.98</v>
      </c>
      <c r="L54" s="357">
        <v>0</v>
      </c>
      <c r="M54" s="186">
        <v>0</v>
      </c>
      <c r="N54" s="186">
        <f>SUM(M54:M54)</f>
        <v>0</v>
      </c>
      <c r="O54" s="199">
        <f>N54+K54</f>
        <v>589888.98</v>
      </c>
      <c r="P54" s="357">
        <v>0</v>
      </c>
      <c r="Q54" s="186">
        <v>0</v>
      </c>
      <c r="R54" s="186">
        <f>SUM(Q54:Q54)</f>
        <v>0</v>
      </c>
      <c r="S54" s="199">
        <f>R54+O54</f>
        <v>589888.98</v>
      </c>
      <c r="T54" s="186"/>
      <c r="U54" s="186">
        <f>J54+N54+R54</f>
        <v>0</v>
      </c>
      <c r="V54" s="186">
        <f>+E54+U54</f>
        <v>589888.98</v>
      </c>
      <c r="W54" s="7"/>
    </row>
    <row r="55" spans="1:23" s="6" customFormat="1">
      <c r="A55" s="2"/>
      <c r="B55" s="2"/>
      <c r="C55" s="2"/>
      <c r="D55" s="66"/>
      <c r="E55" s="199"/>
      <c r="F55" s="16"/>
      <c r="G55" s="186"/>
      <c r="H55" s="16"/>
      <c r="I55" s="16"/>
      <c r="J55" s="16"/>
      <c r="K55" s="199"/>
      <c r="L55" s="357"/>
      <c r="M55" s="186"/>
      <c r="N55" s="186"/>
      <c r="O55" s="199"/>
      <c r="P55" s="357"/>
      <c r="Q55" s="186"/>
      <c r="R55" s="186"/>
      <c r="S55" s="199"/>
      <c r="T55" s="16"/>
      <c r="U55" s="16"/>
      <c r="V55" s="16"/>
      <c r="W55" s="7"/>
    </row>
    <row r="56" spans="1:23" s="6" customFormat="1">
      <c r="A56" s="2"/>
      <c r="B56" s="2" t="s">
        <v>235</v>
      </c>
      <c r="C56" s="2"/>
      <c r="D56" s="66" t="s">
        <v>203</v>
      </c>
      <c r="E56" s="200">
        <f>SUMIFS('305 Inputs'!$F:$F,'305 Inputs'!$I:$I,$D56,'305 Inputs'!$C:$C,$D$38)</f>
        <v>-7352379.21</v>
      </c>
      <c r="F56" s="186"/>
      <c r="G56" s="186">
        <f>-E56</f>
        <v>7352379.21</v>
      </c>
      <c r="H56" s="186">
        <v>0</v>
      </c>
      <c r="I56" s="186">
        <v>0</v>
      </c>
      <c r="J56" s="186">
        <f>SUM(G56:I56)</f>
        <v>7352379.21</v>
      </c>
      <c r="K56" s="200">
        <f t="shared" ref="K56:K61" si="28">E56+J56</f>
        <v>0</v>
      </c>
      <c r="L56" s="357">
        <v>0</v>
      </c>
      <c r="M56" s="186">
        <v>0</v>
      </c>
      <c r="N56" s="186">
        <f t="shared" ref="N56:N61" si="29">SUM(M56:M56)</f>
        <v>0</v>
      </c>
      <c r="O56" s="200">
        <f t="shared" ref="O56:O61" si="30">N56+K56</f>
        <v>0</v>
      </c>
      <c r="P56" s="357">
        <v>0</v>
      </c>
      <c r="Q56" s="186">
        <v>0</v>
      </c>
      <c r="R56" s="186">
        <f t="shared" ref="R56:R59" si="31">SUM(Q56:Q56)</f>
        <v>0</v>
      </c>
      <c r="S56" s="200">
        <f t="shared" ref="S56:S61" si="32">R56+O56</f>
        <v>0</v>
      </c>
      <c r="T56" s="186"/>
      <c r="U56" s="186">
        <f t="shared" ref="U56:U61" si="33">J56+N56+R56</f>
        <v>7352379.21</v>
      </c>
      <c r="V56" s="186">
        <f t="shared" ref="V56:V61" si="34">+E56+U56</f>
        <v>0</v>
      </c>
      <c r="W56" s="7"/>
    </row>
    <row r="57" spans="1:23" s="6" customFormat="1">
      <c r="A57" s="2"/>
      <c r="B57" s="2" t="s">
        <v>275</v>
      </c>
      <c r="C57" s="2"/>
      <c r="D57" s="66" t="s">
        <v>273</v>
      </c>
      <c r="E57" s="200">
        <f>SUMIFS('305 Inputs'!$F:$F,'305 Inputs'!$I:$I,$D57,'305 Inputs'!$C:$C,$D$38)</f>
        <v>3896022.27</v>
      </c>
      <c r="F57" s="186"/>
      <c r="G57" s="186">
        <f>-E57</f>
        <v>-3896022.27</v>
      </c>
      <c r="H57" s="186">
        <v>0</v>
      </c>
      <c r="I57" s="186">
        <v>0</v>
      </c>
      <c r="J57" s="186">
        <f t="shared" ref="J57:J61" si="35">SUM(G57:I57)</f>
        <v>-3896022.27</v>
      </c>
      <c r="K57" s="200">
        <f t="shared" si="28"/>
        <v>0</v>
      </c>
      <c r="L57" s="357">
        <v>0</v>
      </c>
      <c r="M57" s="186">
        <v>0</v>
      </c>
      <c r="N57" s="186">
        <f t="shared" si="29"/>
        <v>0</v>
      </c>
      <c r="O57" s="200">
        <f t="shared" si="30"/>
        <v>0</v>
      </c>
      <c r="P57" s="357">
        <v>0</v>
      </c>
      <c r="Q57" s="186">
        <v>0</v>
      </c>
      <c r="R57" s="186">
        <f t="shared" si="31"/>
        <v>0</v>
      </c>
      <c r="S57" s="200">
        <f t="shared" si="32"/>
        <v>0</v>
      </c>
      <c r="T57" s="186"/>
      <c r="U57" s="186">
        <f t="shared" si="33"/>
        <v>-3896022.27</v>
      </c>
      <c r="V57" s="186">
        <f t="shared" si="34"/>
        <v>0</v>
      </c>
      <c r="W57" s="7"/>
    </row>
    <row r="58" spans="1:23" s="6" customFormat="1">
      <c r="A58" s="2"/>
      <c r="B58" s="2" t="s">
        <v>276</v>
      </c>
      <c r="C58" s="2"/>
      <c r="D58" s="66" t="s">
        <v>274</v>
      </c>
      <c r="E58" s="200">
        <f>SUMIFS('305 Inputs'!$F:$F,'305 Inputs'!$I:$I,$D58,'305 Inputs'!$C:$C,$D$38)</f>
        <v>24654.6</v>
      </c>
      <c r="F58" s="186"/>
      <c r="G58" s="186">
        <f>-E58</f>
        <v>-24654.6</v>
      </c>
      <c r="H58" s="186">
        <v>0</v>
      </c>
      <c r="I58" s="186">
        <v>0</v>
      </c>
      <c r="J58" s="186">
        <f t="shared" si="35"/>
        <v>-24654.6</v>
      </c>
      <c r="K58" s="200">
        <f t="shared" si="28"/>
        <v>0</v>
      </c>
      <c r="L58" s="357">
        <v>0</v>
      </c>
      <c r="M58" s="186">
        <v>0</v>
      </c>
      <c r="N58" s="186">
        <f t="shared" si="29"/>
        <v>0</v>
      </c>
      <c r="O58" s="200">
        <f t="shared" si="30"/>
        <v>0</v>
      </c>
      <c r="P58" s="357">
        <v>0</v>
      </c>
      <c r="Q58" s="186">
        <v>0</v>
      </c>
      <c r="R58" s="186">
        <f t="shared" si="31"/>
        <v>0</v>
      </c>
      <c r="S58" s="200">
        <f t="shared" si="32"/>
        <v>0</v>
      </c>
      <c r="T58" s="186"/>
      <c r="U58" s="186">
        <f t="shared" si="33"/>
        <v>-24654.6</v>
      </c>
      <c r="V58" s="186">
        <f t="shared" si="34"/>
        <v>0</v>
      </c>
      <c r="W58" s="7"/>
    </row>
    <row r="59" spans="1:23" s="6" customFormat="1">
      <c r="A59" s="2"/>
      <c r="B59" s="2" t="s">
        <v>88</v>
      </c>
      <c r="C59" s="2"/>
      <c r="D59" s="66" t="s">
        <v>140</v>
      </c>
      <c r="E59" s="200">
        <f>SUMIFS('305 Inputs'!$F:$F,'305 Inputs'!$I:$I,$D59,'305 Inputs'!$C:$C,$D$38)</f>
        <v>-21879.03</v>
      </c>
      <c r="F59" s="186"/>
      <c r="G59" s="186">
        <v>0</v>
      </c>
      <c r="H59" s="186">
        <f>-E59</f>
        <v>21879.03</v>
      </c>
      <c r="I59" s="186">
        <v>0</v>
      </c>
      <c r="J59" s="186">
        <f t="shared" si="35"/>
        <v>21879.03</v>
      </c>
      <c r="K59" s="200">
        <f t="shared" si="28"/>
        <v>0</v>
      </c>
      <c r="L59" s="357">
        <v>0</v>
      </c>
      <c r="M59" s="186">
        <v>0</v>
      </c>
      <c r="N59" s="186">
        <f t="shared" si="29"/>
        <v>0</v>
      </c>
      <c r="O59" s="200">
        <f t="shared" si="30"/>
        <v>0</v>
      </c>
      <c r="P59" s="357">
        <v>0</v>
      </c>
      <c r="Q59" s="186">
        <v>0</v>
      </c>
      <c r="R59" s="186">
        <f t="shared" si="31"/>
        <v>0</v>
      </c>
      <c r="S59" s="200">
        <f t="shared" si="32"/>
        <v>0</v>
      </c>
      <c r="T59" s="186"/>
      <c r="U59" s="186">
        <f t="shared" si="33"/>
        <v>21879.03</v>
      </c>
      <c r="V59" s="186">
        <f t="shared" si="34"/>
        <v>0</v>
      </c>
      <c r="W59" s="7"/>
    </row>
    <row r="60" spans="1:23" s="6" customFormat="1">
      <c r="A60" s="2"/>
      <c r="B60" s="2" t="s">
        <v>406</v>
      </c>
      <c r="C60" s="2"/>
      <c r="D60" s="66" t="s">
        <v>407</v>
      </c>
      <c r="E60" s="200">
        <f>SUMIFS('305 Inputs'!$F:$F,'305 Inputs'!$I:$I,$D60,'305 Inputs'!$C:$C,$D$38)</f>
        <v>0</v>
      </c>
      <c r="F60" s="186"/>
      <c r="G60" s="186">
        <f t="shared" ref="G60:G61" si="36">E60*-1</f>
        <v>0</v>
      </c>
      <c r="H60" s="186">
        <v>0</v>
      </c>
      <c r="I60" s="186">
        <v>0</v>
      </c>
      <c r="J60" s="186">
        <f t="shared" si="35"/>
        <v>0</v>
      </c>
      <c r="K60" s="200">
        <f t="shared" si="28"/>
        <v>0</v>
      </c>
      <c r="L60" s="357">
        <v>0</v>
      </c>
      <c r="M60" s="186">
        <v>0</v>
      </c>
      <c r="N60" s="186">
        <f t="shared" si="29"/>
        <v>0</v>
      </c>
      <c r="O60" s="200">
        <f t="shared" si="30"/>
        <v>0</v>
      </c>
      <c r="P60" s="357"/>
      <c r="Q60" s="186"/>
      <c r="R60" s="186"/>
      <c r="S60" s="200">
        <f t="shared" si="32"/>
        <v>0</v>
      </c>
      <c r="T60" s="186"/>
      <c r="U60" s="186">
        <f t="shared" si="33"/>
        <v>0</v>
      </c>
      <c r="V60" s="186">
        <f t="shared" si="34"/>
        <v>0</v>
      </c>
      <c r="W60" s="7"/>
    </row>
    <row r="61" spans="1:23" s="6" customFormat="1">
      <c r="A61" s="2"/>
      <c r="B61" s="2" t="s">
        <v>405</v>
      </c>
      <c r="C61" s="2"/>
      <c r="D61" s="66" t="s">
        <v>408</v>
      </c>
      <c r="E61" s="200">
        <f>SUMIFS('305 Inputs'!$F:$F,'305 Inputs'!$I:$I,$D61,'305 Inputs'!$C:$C,$D$38)</f>
        <v>-7659430.7599999998</v>
      </c>
      <c r="F61" s="186"/>
      <c r="G61" s="186">
        <f t="shared" si="36"/>
        <v>7659430.7599999998</v>
      </c>
      <c r="H61" s="186">
        <v>0</v>
      </c>
      <c r="I61" s="186">
        <v>0</v>
      </c>
      <c r="J61" s="186">
        <f t="shared" si="35"/>
        <v>7659430.7599999998</v>
      </c>
      <c r="K61" s="200">
        <f t="shared" si="28"/>
        <v>0</v>
      </c>
      <c r="L61" s="357">
        <v>0</v>
      </c>
      <c r="M61" s="186">
        <v>0</v>
      </c>
      <c r="N61" s="186">
        <f t="shared" si="29"/>
        <v>0</v>
      </c>
      <c r="O61" s="200">
        <f t="shared" si="30"/>
        <v>0</v>
      </c>
      <c r="P61" s="357"/>
      <c r="Q61" s="186"/>
      <c r="R61" s="186"/>
      <c r="S61" s="200">
        <f t="shared" si="32"/>
        <v>0</v>
      </c>
      <c r="T61" s="186"/>
      <c r="U61" s="186">
        <f t="shared" si="33"/>
        <v>7659430.7599999998</v>
      </c>
      <c r="V61" s="186">
        <f t="shared" si="34"/>
        <v>0</v>
      </c>
      <c r="W61" s="7"/>
    </row>
    <row r="62" spans="1:23" s="6" customFormat="1">
      <c r="A62" s="2"/>
      <c r="D62" s="66"/>
      <c r="E62" s="485"/>
      <c r="F62" s="492"/>
      <c r="G62" s="186"/>
      <c r="H62" s="16"/>
      <c r="I62" s="16"/>
      <c r="J62" s="16" t="s">
        <v>29</v>
      </c>
      <c r="K62" s="199"/>
      <c r="L62" s="357"/>
      <c r="M62" s="16"/>
      <c r="N62" s="186"/>
      <c r="O62" s="200"/>
      <c r="P62" s="357"/>
      <c r="Q62" s="16"/>
      <c r="R62" s="186"/>
      <c r="S62" s="200"/>
      <c r="T62" s="186"/>
      <c r="U62" s="16"/>
      <c r="V62" s="16"/>
      <c r="W62" s="7"/>
    </row>
    <row r="63" spans="1:23" s="6" customFormat="1">
      <c r="A63" s="2"/>
      <c r="B63" s="2" t="s">
        <v>73</v>
      </c>
      <c r="C63" s="2"/>
      <c r="D63" s="66" t="s">
        <v>141</v>
      </c>
      <c r="E63" s="200">
        <f>SUMIFS('305 Inputs'!$F:$F,'305 Inputs'!$I:$I,$D63,'305 Inputs'!$C:$C,$D$38)</f>
        <v>-1552000</v>
      </c>
      <c r="F63" s="186">
        <f>-SUM(F42,F45,F48,F52)</f>
        <v>1551999.9999999998</v>
      </c>
      <c r="G63" s="186">
        <v>0</v>
      </c>
      <c r="H63" s="186">
        <v>0</v>
      </c>
      <c r="I63" s="186">
        <v>0</v>
      </c>
      <c r="J63" s="186">
        <f>SUM(F63:I63)</f>
        <v>1551999.9999999998</v>
      </c>
      <c r="K63" s="200">
        <f>E63+J63</f>
        <v>0</v>
      </c>
      <c r="L63" s="357">
        <v>0</v>
      </c>
      <c r="M63" s="186">
        <v>0</v>
      </c>
      <c r="N63" s="186">
        <f>SUM(M63:M63)</f>
        <v>0</v>
      </c>
      <c r="O63" s="200">
        <f>N63+K63</f>
        <v>0</v>
      </c>
      <c r="P63" s="357">
        <v>0</v>
      </c>
      <c r="Q63" s="186">
        <v>0</v>
      </c>
      <c r="R63" s="186">
        <f>SUM(Q63:Q63)</f>
        <v>0</v>
      </c>
      <c r="S63" s="200">
        <f>R63+O63</f>
        <v>0</v>
      </c>
      <c r="T63" s="186"/>
      <c r="U63" s="186">
        <f>J63+N63+R63</f>
        <v>1551999.9999999998</v>
      </c>
      <c r="V63" s="186">
        <f>+E63+U63</f>
        <v>0</v>
      </c>
      <c r="W63" s="7"/>
    </row>
    <row r="64" spans="1:23" s="6" customFormat="1">
      <c r="A64" s="2"/>
      <c r="D64" s="66"/>
      <c r="E64" s="199"/>
      <c r="F64" s="16"/>
      <c r="G64" s="186"/>
      <c r="H64" s="16"/>
      <c r="I64" s="16"/>
      <c r="J64" s="16"/>
      <c r="K64" s="199"/>
      <c r="L64" s="16"/>
      <c r="M64" s="16"/>
      <c r="N64" s="186"/>
      <c r="O64" s="199"/>
      <c r="P64" s="16"/>
      <c r="Q64" s="16"/>
      <c r="R64" s="186"/>
      <c r="S64" s="199"/>
      <c r="T64" s="16"/>
      <c r="U64" s="16"/>
      <c r="V64" s="16"/>
      <c r="W64" s="7"/>
    </row>
    <row r="65" spans="1:23">
      <c r="B65" s="18" t="s">
        <v>8</v>
      </c>
      <c r="C65" s="19"/>
      <c r="D65" s="323"/>
      <c r="E65" s="201">
        <f t="shared" ref="E65:S65" si="37">+E42+E45+E48+E52+E54+SUM(E56:E63)</f>
        <v>109796049.08000001</v>
      </c>
      <c r="F65" s="191">
        <f>SUM(F63,F52,F48,F45,F42)</f>
        <v>0</v>
      </c>
      <c r="G65" s="191">
        <f t="shared" si="37"/>
        <v>16138060.109537993</v>
      </c>
      <c r="H65" s="191">
        <f t="shared" si="37"/>
        <v>609884.98</v>
      </c>
      <c r="I65" s="191">
        <f t="shared" si="37"/>
        <v>0</v>
      </c>
      <c r="J65" s="191">
        <f t="shared" si="37"/>
        <v>16747945.089537993</v>
      </c>
      <c r="K65" s="201">
        <f t="shared" si="37"/>
        <v>126543994.16953802</v>
      </c>
      <c r="L65" s="191">
        <f t="shared" si="37"/>
        <v>0</v>
      </c>
      <c r="M65" s="191">
        <f t="shared" si="37"/>
        <v>0</v>
      </c>
      <c r="N65" s="191">
        <f t="shared" si="37"/>
        <v>0</v>
      </c>
      <c r="O65" s="201">
        <f t="shared" si="37"/>
        <v>126543994.16953802</v>
      </c>
      <c r="P65" s="191">
        <f t="shared" si="37"/>
        <v>0</v>
      </c>
      <c r="Q65" s="191">
        <f t="shared" si="37"/>
        <v>0</v>
      </c>
      <c r="R65" s="191">
        <f t="shared" si="37"/>
        <v>0</v>
      </c>
      <c r="S65" s="201">
        <f t="shared" si="37"/>
        <v>126543994.16953802</v>
      </c>
      <c r="T65" s="191"/>
      <c r="U65" s="191">
        <f>+U42+U45+U48+U52+U54+SUM(U56:U63)</f>
        <v>16747945.089537993</v>
      </c>
      <c r="V65" s="191">
        <f>+V42+V45+V48+V52+V54+SUM(V56:V63)</f>
        <v>126543994.16953802</v>
      </c>
    </row>
    <row r="66" spans="1:23">
      <c r="E66" s="199"/>
      <c r="F66" s="16"/>
      <c r="G66" s="16" t="s">
        <v>29</v>
      </c>
      <c r="H66" s="16"/>
      <c r="I66" s="16"/>
      <c r="J66" s="16"/>
      <c r="K66" s="199" t="s">
        <v>29</v>
      </c>
      <c r="L66" s="356"/>
      <c r="M66" s="356"/>
      <c r="N66" s="16" t="s">
        <v>29</v>
      </c>
      <c r="O66" s="199"/>
      <c r="P66" s="356"/>
      <c r="Q66" s="356"/>
      <c r="R66" s="16" t="s">
        <v>29</v>
      </c>
      <c r="S66" s="199"/>
      <c r="T66" s="16"/>
      <c r="U66" s="16"/>
      <c r="V66" s="73"/>
    </row>
    <row r="67" spans="1:23">
      <c r="A67" s="3" t="s">
        <v>28</v>
      </c>
      <c r="B67" s="3"/>
      <c r="C67" s="3"/>
      <c r="D67" s="155" t="s">
        <v>461</v>
      </c>
      <c r="E67" s="199"/>
      <c r="F67" s="16"/>
      <c r="G67" s="16"/>
      <c r="H67" s="16"/>
      <c r="I67" s="16"/>
      <c r="J67" s="16"/>
      <c r="K67" s="199" t="s">
        <v>29</v>
      </c>
      <c r="L67" s="16"/>
      <c r="M67" s="16"/>
      <c r="N67" s="16"/>
      <c r="O67" s="199"/>
      <c r="P67" s="16"/>
      <c r="Q67" s="16"/>
      <c r="R67" s="16"/>
      <c r="S67" s="199"/>
      <c r="T67" s="16"/>
      <c r="U67" s="16"/>
      <c r="V67" s="73"/>
    </row>
    <row r="68" spans="1:23">
      <c r="B68" s="198" t="s">
        <v>48</v>
      </c>
      <c r="C68" s="198"/>
      <c r="D68" s="66">
        <v>24</v>
      </c>
      <c r="E68" s="199">
        <f>SUMIFS('305 Inputs'!$F:$F,'305 Inputs'!$I:$I,$D68,'305 Inputs'!$C:$C,$D$67)</f>
        <v>1379100.99</v>
      </c>
      <c r="F68" s="16">
        <f>E68/SUM($E$71,$E$74,$E$79,$E$82)*$E$93</f>
        <v>-33074.372220231176</v>
      </c>
      <c r="G68" s="16">
        <f>-SUMIFS('WA SBC'!$O:$O,'WA SBC'!$B:$B,$D68,'WA SBC'!$A:$A,$D$67)-SUMIFS('WA Decoupling'!O:O,'WA Decoupling'!A:A,$D$67,'WA Decoupling'!B:B,$D68)-SUMIFS('WA PCAM'!$P:$P,'WA PCAM'!$C:$C,$D68,'WA PCAM'!$B:$B,$D$67)-SUMIFS('WA FTAA'!$O:$O,'WA FTAA'!$B:$B,$D68,'WA FTAA'!$A:$A,$D$67)</f>
        <v>50922.622869999992</v>
      </c>
      <c r="H68" s="16">
        <f>-SUMIFS('305 Inputs'!$F:$F,'305 Inputs'!$I:$I,$D68,'305 Inputs'!$C:$C,$D$67,'305 Inputs'!$D:$D,"B")</f>
        <v>6575.05</v>
      </c>
      <c r="I68" s="16">
        <v>0</v>
      </c>
      <c r="J68" s="16">
        <f>SUM(F68:I68)</f>
        <v>24423.300649768815</v>
      </c>
      <c r="K68" s="199">
        <f>E68+J68</f>
        <v>1403524.2906497689</v>
      </c>
      <c r="L68" s="355">
        <f>$L$18</f>
        <v>0</v>
      </c>
      <c r="M68" s="16">
        <f>ROUND(K68*L68*(($Y$7-$Y$10)/($Y$7+$Y$10*L68)),0)</f>
        <v>0</v>
      </c>
      <c r="N68" s="16">
        <f>SUM(M68:M68)</f>
        <v>0</v>
      </c>
      <c r="O68" s="199">
        <f>N68+K68</f>
        <v>1403524.2906497689</v>
      </c>
      <c r="P68" s="355">
        <f>$P$18</f>
        <v>0</v>
      </c>
      <c r="Q68" s="16">
        <f>ROUND(O68*P68*($Y$17/$Y$14),0)</f>
        <v>0</v>
      </c>
      <c r="R68" s="16">
        <f>SUM(Q68:Q68)</f>
        <v>0</v>
      </c>
      <c r="S68" s="199">
        <f>R68+O68</f>
        <v>1403524.2906497689</v>
      </c>
      <c r="T68" s="16"/>
      <c r="U68" s="16">
        <f>J68+N68+R68</f>
        <v>24423.300649768815</v>
      </c>
      <c r="V68" s="73">
        <f>+E68+U68</f>
        <v>1403524.2906497689</v>
      </c>
      <c r="W68" s="5"/>
    </row>
    <row r="69" spans="1:23" s="6" customFormat="1">
      <c r="B69" s="198" t="s">
        <v>49</v>
      </c>
      <c r="C69" s="198"/>
      <c r="D69" s="66" t="s">
        <v>137</v>
      </c>
      <c r="E69" s="199">
        <f>SUMIFS('305 Inputs'!$F:$F,'305 Inputs'!$I:$I,$D69,'305 Inputs'!$C:$C,$D$67)</f>
        <v>8671.15</v>
      </c>
      <c r="F69" s="16">
        <f t="shared" ref="F69:F70" si="38">E69/SUM($E$71,$E$74,$E$79,$E$82)*$E$93</f>
        <v>-207.95637502766024</v>
      </c>
      <c r="G69" s="16">
        <f>-SUMIFS('WA SBC'!$O:$O,'WA SBC'!$B:$B,$D69,'WA SBC'!$A:$A,$D$67)-SUMIFS('WA Decoupling'!O:O,'WA Decoupling'!A:A,$D$67,'WA Decoupling'!B:B,$D69)-SUMIFS('WA PCAM'!$P:$P,'WA PCAM'!$C:$C,$D69,'WA PCAM'!$B:$B,$D$67)-SUMIFS('WA FTAA'!$O:$O,'WA FTAA'!$B:$B,$D69,'WA FTAA'!$A:$A,$D$67)</f>
        <v>0</v>
      </c>
      <c r="H69" s="16">
        <f>-SUMIFS('305 Inputs'!$F:$F,'305 Inputs'!$I:$I,$D69,'305 Inputs'!$C:$C,$D$67,'305 Inputs'!$D:$D,"B")</f>
        <v>0</v>
      </c>
      <c r="I69" s="16">
        <v>0</v>
      </c>
      <c r="J69" s="16">
        <f>SUM(F69:I69)</f>
        <v>-207.95637502766024</v>
      </c>
      <c r="K69" s="199">
        <f>E69+J69</f>
        <v>8463.1936249723385</v>
      </c>
      <c r="L69" s="356">
        <f>$L$18</f>
        <v>0</v>
      </c>
      <c r="M69" s="16">
        <f>ROUND(K69*L69*(($Y$7-$Y$10)/($Y$7+$Y$10*L69)),0)</f>
        <v>0</v>
      </c>
      <c r="N69" s="16">
        <f>SUM(M69:M69)</f>
        <v>0</v>
      </c>
      <c r="O69" s="199">
        <f>N69+K69</f>
        <v>8463.1936249723385</v>
      </c>
      <c r="P69" s="356">
        <f>$P$18</f>
        <v>0</v>
      </c>
      <c r="Q69" s="16">
        <f>ROUND(O69*P69*($Y$17/$Y$14),0)</f>
        <v>0</v>
      </c>
      <c r="R69" s="16">
        <f>SUM(Q69:Q69)</f>
        <v>0</v>
      </c>
      <c r="S69" s="199">
        <f>R69+O69</f>
        <v>8463.1936249723385</v>
      </c>
      <c r="T69" s="16"/>
      <c r="U69" s="16">
        <f>J69+N69+R69</f>
        <v>-207.95637502766024</v>
      </c>
      <c r="V69" s="73">
        <f>+E69+U69</f>
        <v>8463.1936249723385</v>
      </c>
      <c r="W69" s="7"/>
    </row>
    <row r="70" spans="1:23">
      <c r="B70" s="198" t="s">
        <v>54</v>
      </c>
      <c r="C70" s="198"/>
      <c r="D70" s="66" t="s">
        <v>144</v>
      </c>
      <c r="E70" s="200">
        <f>SUMIFS('305 Inputs'!$F:$F,'305 Inputs'!$I:$I,$D70,'305 Inputs'!$C:$C,$D$67)</f>
        <v>1001.49</v>
      </c>
      <c r="F70" s="186">
        <f t="shared" si="38"/>
        <v>-24.018294000963134</v>
      </c>
      <c r="G70" s="186">
        <f>-SUMIFS('WA SBC'!$O:$O,'WA SBC'!$B:$B,$D70,'WA SBC'!$A:$A,$D$67)-SUMIFS('WA Decoupling'!O:O,'WA Decoupling'!A:A,$D$67,'WA Decoupling'!B:B,$D70)-SUMIFS('WA PCAM'!$P:$P,'WA PCAM'!$C:$C,$D70,'WA PCAM'!$B:$B,$D$67)-SUMIFS('WA FTAA'!$O:$O,'WA FTAA'!$B:$B,$D70,'WA FTAA'!$A:$A,$D$67)</f>
        <v>0</v>
      </c>
      <c r="H70" s="186">
        <f>-SUMIFS('305 Inputs'!$F:$F,'305 Inputs'!$I:$I,$D70,'305 Inputs'!$C:$C,$D$67,'305 Inputs'!$D:$D,"B")</f>
        <v>28.23</v>
      </c>
      <c r="I70" s="186">
        <v>0</v>
      </c>
      <c r="J70" s="186">
        <f>SUM(F70:I70)</f>
        <v>4.2117059990368659</v>
      </c>
      <c r="K70" s="200">
        <f>E70+J70</f>
        <v>1005.7017059990369</v>
      </c>
      <c r="L70" s="357">
        <f>$L$18</f>
        <v>0</v>
      </c>
      <c r="M70" s="186">
        <f>ROUND(K70*L70*(($Y$7-$Y$10)/($Y$7+$Y$10*L70)),0)</f>
        <v>0</v>
      </c>
      <c r="N70" s="186">
        <f>SUM(M70:M70)</f>
        <v>0</v>
      </c>
      <c r="O70" s="200">
        <f>N70+K70</f>
        <v>1005.7017059990369</v>
      </c>
      <c r="P70" s="357">
        <f>$P$18</f>
        <v>0</v>
      </c>
      <c r="Q70" s="186">
        <f>ROUND(O70*P70*($Y$17/$Y$14),0)</f>
        <v>0</v>
      </c>
      <c r="R70" s="186">
        <f>SUM(Q70:Q70)</f>
        <v>0</v>
      </c>
      <c r="S70" s="200">
        <f>R70+O70</f>
        <v>1005.7017059990369</v>
      </c>
      <c r="T70" s="186"/>
      <c r="U70" s="186">
        <f>J70+N70+R70</f>
        <v>4.2117059990368659</v>
      </c>
      <c r="V70" s="358">
        <f>+E70+U70</f>
        <v>1005.7017059990369</v>
      </c>
      <c r="W70" s="5"/>
    </row>
    <row r="71" spans="1:23">
      <c r="B71" s="2" t="s">
        <v>33</v>
      </c>
      <c r="E71" s="199">
        <f t="shared" ref="E71:K71" si="39">SUM(E68:E70)</f>
        <v>1388773.63</v>
      </c>
      <c r="F71" s="16">
        <f>SUM(F68:F70)</f>
        <v>-33306.346889259796</v>
      </c>
      <c r="G71" s="16">
        <f t="shared" si="39"/>
        <v>50922.622869999992</v>
      </c>
      <c r="H71" s="16">
        <f t="shared" si="39"/>
        <v>6603.28</v>
      </c>
      <c r="I71" s="16">
        <f t="shared" si="39"/>
        <v>0</v>
      </c>
      <c r="J71" s="16">
        <f t="shared" si="39"/>
        <v>24219.555980740191</v>
      </c>
      <c r="K71" s="199">
        <f t="shared" si="39"/>
        <v>1412993.1859807402</v>
      </c>
      <c r="L71" s="356"/>
      <c r="M71" s="16">
        <f>SUM(M68:M70)</f>
        <v>0</v>
      </c>
      <c r="N71" s="16">
        <f>SUM(N68:N70)</f>
        <v>0</v>
      </c>
      <c r="O71" s="199">
        <f>SUM(O68:O70)</f>
        <v>1412993.1859807402</v>
      </c>
      <c r="P71" s="356"/>
      <c r="Q71" s="16">
        <f>SUM(Q68:Q70)</f>
        <v>0</v>
      </c>
      <c r="R71" s="16">
        <f>SUM(R68:R70)</f>
        <v>0</v>
      </c>
      <c r="S71" s="199">
        <f>SUM(S68:S70)</f>
        <v>1412993.1859807402</v>
      </c>
      <c r="T71" s="16"/>
      <c r="U71" s="16">
        <f>SUM(U68:U70)</f>
        <v>24219.555980740191</v>
      </c>
      <c r="V71" s="73">
        <f>SUM(V68:V70)</f>
        <v>1412993.1859807402</v>
      </c>
      <c r="W71" s="5"/>
    </row>
    <row r="72" spans="1:23">
      <c r="E72" s="199"/>
      <c r="F72" s="16"/>
      <c r="G72" s="16"/>
      <c r="H72" s="16"/>
      <c r="I72" s="16"/>
      <c r="J72" s="16"/>
      <c r="K72" s="199"/>
      <c r="L72" s="16"/>
      <c r="M72" s="16"/>
      <c r="N72" s="16"/>
      <c r="O72" s="199"/>
      <c r="P72" s="16"/>
      <c r="Q72" s="16"/>
      <c r="R72" s="16"/>
      <c r="S72" s="199"/>
      <c r="T72" s="16"/>
      <c r="U72" s="16"/>
      <c r="V72" s="73"/>
    </row>
    <row r="73" spans="1:23">
      <c r="B73" s="198" t="s">
        <v>50</v>
      </c>
      <c r="C73" s="198"/>
      <c r="D73" s="66">
        <v>36</v>
      </c>
      <c r="E73" s="200">
        <f>SUMIFS('305 Inputs'!$F:$F,'305 Inputs'!$I:$I,$D73,'305 Inputs'!$C:$C,$D$67)</f>
        <v>7731572.9900000002</v>
      </c>
      <c r="F73" s="186">
        <f t="shared" ref="F73" si="40">E73/SUM($E$71,$E$74,$E$79,$E$82)*$E$93</f>
        <v>-185422.91302332087</v>
      </c>
      <c r="G73" s="186">
        <f>-SUMIFS('WA SBC'!$O:$O,'WA SBC'!$B:$B,$D73,'WA SBC'!$A:$A,$D$67)-SUMIFS('WA Decoupling'!O:O,'WA Decoupling'!A:A,$D$67,'WA Decoupling'!B:B,$D73)-SUMIFS('WA PCAM'!$P:$P,'WA PCAM'!$C:$C,$D73,'WA PCAM'!$B:$B,$D$67)-SUMIFS('WA FTAA'!$O:$O,'WA FTAA'!$B:$B,$D73,'WA FTAA'!$A:$A,$D$67)</f>
        <v>376554.03517999989</v>
      </c>
      <c r="H73" s="186">
        <f>-SUMIFS('305 Inputs'!$F:$F,'305 Inputs'!$I:$I,$D73,'305 Inputs'!$C:$C,$D$67,'305 Inputs'!$D:$D,"B")</f>
        <v>11515.94</v>
      </c>
      <c r="I73" s="186">
        <v>0</v>
      </c>
      <c r="J73" s="186">
        <f>SUM(F73:I73)</f>
        <v>202647.06215667902</v>
      </c>
      <c r="K73" s="200">
        <f>E73+J73</f>
        <v>7934220.0521566793</v>
      </c>
      <c r="L73" s="357">
        <f>$L$44</f>
        <v>0</v>
      </c>
      <c r="M73" s="186">
        <f>ROUND(K73*L73*(($Y$7-$Y$10)/($Y$7+$Y$10*L73)),0)</f>
        <v>0</v>
      </c>
      <c r="N73" s="186">
        <f>SUM(M73:M73)</f>
        <v>0</v>
      </c>
      <c r="O73" s="200">
        <f>N73+K73</f>
        <v>7934220.0521566793</v>
      </c>
      <c r="P73" s="357">
        <f>$P$44</f>
        <v>0</v>
      </c>
      <c r="Q73" s="186">
        <f>ROUND(O73*P73*($Y$17/$Y$14),0)</f>
        <v>0</v>
      </c>
      <c r="R73" s="186">
        <f>SUM(Q73:Q73)</f>
        <v>0</v>
      </c>
      <c r="S73" s="200">
        <f>R73+O73</f>
        <v>7934220.0521566793</v>
      </c>
      <c r="T73" s="186"/>
      <c r="U73" s="186">
        <f>J73+N73+R73</f>
        <v>202647.06215667902</v>
      </c>
      <c r="V73" s="358">
        <f>+E73+U73</f>
        <v>7934220.0521566793</v>
      </c>
      <c r="W73" s="5"/>
    </row>
    <row r="74" spans="1:23">
      <c r="B74" s="2" t="s">
        <v>33</v>
      </c>
      <c r="E74" s="199">
        <f t="shared" ref="E74:K74" si="41">SUM(E73:E73)</f>
        <v>7731572.9900000002</v>
      </c>
      <c r="F74" s="16">
        <f>SUM(F73)</f>
        <v>-185422.91302332087</v>
      </c>
      <c r="G74" s="16">
        <f t="shared" si="41"/>
        <v>376554.03517999989</v>
      </c>
      <c r="H74" s="16">
        <f t="shared" si="41"/>
        <v>11515.94</v>
      </c>
      <c r="I74" s="16">
        <f t="shared" si="41"/>
        <v>0</v>
      </c>
      <c r="J74" s="16">
        <f t="shared" si="41"/>
        <v>202647.06215667902</v>
      </c>
      <c r="K74" s="199">
        <f t="shared" si="41"/>
        <v>7934220.0521566793</v>
      </c>
      <c r="L74" s="356"/>
      <c r="M74" s="16">
        <f>SUM(M73:M73)</f>
        <v>0</v>
      </c>
      <c r="N74" s="16">
        <f>SUM(N73:N73)</f>
        <v>0</v>
      </c>
      <c r="O74" s="199">
        <f>SUM(O73:O73)</f>
        <v>7934220.0521566793</v>
      </c>
      <c r="P74" s="356"/>
      <c r="Q74" s="16">
        <f>SUM(Q73:Q73)</f>
        <v>0</v>
      </c>
      <c r="R74" s="16">
        <f>SUM(R73:R73)</f>
        <v>0</v>
      </c>
      <c r="S74" s="199">
        <f>SUM(S73:S73)</f>
        <v>7934220.0521566793</v>
      </c>
      <c r="T74" s="16"/>
      <c r="U74" s="16">
        <f>SUM(U73:U73)</f>
        <v>202647.06215667902</v>
      </c>
      <c r="V74" s="73">
        <f>SUM(V73:V73)</f>
        <v>7934220.0521566793</v>
      </c>
      <c r="W74" s="5"/>
    </row>
    <row r="75" spans="1:23">
      <c r="E75" s="199"/>
      <c r="F75" s="16"/>
      <c r="G75" s="16"/>
      <c r="H75" s="16"/>
      <c r="I75" s="16"/>
      <c r="J75" s="16"/>
      <c r="K75" s="199"/>
      <c r="L75" s="360"/>
      <c r="M75" s="16"/>
      <c r="N75" s="16" t="s">
        <v>29</v>
      </c>
      <c r="O75" s="199"/>
      <c r="P75" s="360"/>
      <c r="Q75" s="16"/>
      <c r="R75" s="16" t="s">
        <v>29</v>
      </c>
      <c r="S75" s="199"/>
      <c r="T75" s="16"/>
      <c r="U75" s="16"/>
      <c r="V75" s="73"/>
    </row>
    <row r="76" spans="1:23" s="6" customFormat="1">
      <c r="B76" s="198" t="s">
        <v>153</v>
      </c>
      <c r="C76" s="198"/>
      <c r="D76" s="66">
        <v>47</v>
      </c>
      <c r="E76" s="199">
        <f>SUMIFS('305 Inputs'!$F:$F,'305 Inputs'!$I:$I,$D76,'305 Inputs'!$C:$C,$D$67)</f>
        <v>307582.31</v>
      </c>
      <c r="F76" s="16">
        <f t="shared" ref="F76:F78" si="42">E76/SUM($E$71,$E$74,$E$79,$E$82)*$E$93</f>
        <v>-7376.6112003868066</v>
      </c>
      <c r="G76" s="16">
        <f>-SUMIFS('WA SBC'!$O:$O,'WA SBC'!$B:$B,$D76,'WA SBC'!$A:$A,$D$67)-SUMIFS('WA Decoupling'!O:O,'WA Decoupling'!A:A,$D$67,'WA Decoupling'!B:B,$D76)-SUMIFS('WA PCAM'!$P:$P,'WA PCAM'!$C:$C,$D76,'WA PCAM'!$B:$B,$D$67)-SUMIFS('WA FTAA'!$O:$O,'WA FTAA'!$B:$B,$D76,'WA FTAA'!$A:$A,$D$67)</f>
        <v>1607.7275</v>
      </c>
      <c r="H76" s="16">
        <f>-SUMIFS('305 Inputs'!$F:$F,'305 Inputs'!$I:$I,$D76,'305 Inputs'!$C:$C,$D$67,'305 Inputs'!$D:$D,"B")</f>
        <v>0</v>
      </c>
      <c r="I76" s="16">
        <v>0</v>
      </c>
      <c r="J76" s="16">
        <f>SUM(F76:I76)</f>
        <v>-5768.8837003868066</v>
      </c>
      <c r="K76" s="199">
        <f>E76+J76</f>
        <v>301813.4262996132</v>
      </c>
      <c r="L76" s="356">
        <v>0</v>
      </c>
      <c r="M76" s="16">
        <f>ROUND(K76*L76*(($Y$7-$Y$10)/($Y$7+$Y$10*L76)),0)</f>
        <v>0</v>
      </c>
      <c r="N76" s="16">
        <f>SUM(M76:M76)</f>
        <v>0</v>
      </c>
      <c r="O76" s="199">
        <f>N76+K76</f>
        <v>301813.4262996132</v>
      </c>
      <c r="P76" s="356">
        <v>0</v>
      </c>
      <c r="Q76" s="16">
        <f>ROUND(O76*P76*($Y$17/$Y$14),0)</f>
        <v>0</v>
      </c>
      <c r="R76" s="16">
        <f>SUM(Q76:Q76)</f>
        <v>0</v>
      </c>
      <c r="S76" s="199">
        <f>R76+O76</f>
        <v>301813.4262996132</v>
      </c>
      <c r="T76" s="16"/>
      <c r="U76" s="16">
        <f>J76+N76+R76</f>
        <v>-5768.8837003868066</v>
      </c>
      <c r="V76" s="73">
        <f>+E76+U76</f>
        <v>301813.4262996132</v>
      </c>
      <c r="W76" s="7"/>
    </row>
    <row r="77" spans="1:23" s="6" customFormat="1">
      <c r="B77" s="198" t="s">
        <v>57</v>
      </c>
      <c r="C77" s="198"/>
      <c r="D77" s="66" t="s">
        <v>142</v>
      </c>
      <c r="E77" s="199">
        <f>SUMIFS('305 Inputs'!$F:$F,'305 Inputs'!$I:$I,$D77,'305 Inputs'!$C:$C,$D$67)</f>
        <v>0</v>
      </c>
      <c r="F77" s="16">
        <f t="shared" si="42"/>
        <v>0</v>
      </c>
      <c r="G77" s="16">
        <f>-SUMIFS('WA SBC'!$O:$O,'WA SBC'!$B:$B,$D77,'WA SBC'!$A:$A,$D$67)-SUMIFS('WA Decoupling'!O:O,'WA Decoupling'!A:A,$D$67,'WA Decoupling'!B:B,$D77)-SUMIFS('WA PCAM'!$P:$P,'WA PCAM'!$C:$C,$D77,'WA PCAM'!$B:$B,$D$67)-SUMIFS('WA FTAA'!$O:$O,'WA FTAA'!$B:$B,$D77,'WA FTAA'!$A:$A,$D$67)</f>
        <v>0</v>
      </c>
      <c r="H77" s="16">
        <f>-SUMIFS('305 Inputs'!$F:$F,'305 Inputs'!$I:$I,$D77,'305 Inputs'!$C:$C,$D$67,'305 Inputs'!$D:$D,"B")</f>
        <v>0</v>
      </c>
      <c r="I77" s="16">
        <v>0</v>
      </c>
      <c r="J77" s="16">
        <f>SUM(F77:I77)</f>
        <v>0</v>
      </c>
      <c r="K77" s="199">
        <f>E77+J77</f>
        <v>0</v>
      </c>
      <c r="L77" s="356">
        <f>$L$47</f>
        <v>0</v>
      </c>
      <c r="M77" s="16">
        <f>ROUND(K77*L77*(($Y$7-$Y$10)/($Y$7+$Y$10*L77)),0)</f>
        <v>0</v>
      </c>
      <c r="N77" s="16">
        <f>SUM(M77:M77)</f>
        <v>0</v>
      </c>
      <c r="O77" s="199">
        <f>N77+K77</f>
        <v>0</v>
      </c>
      <c r="P77" s="356">
        <f>$P$47</f>
        <v>0</v>
      </c>
      <c r="Q77" s="16">
        <f>ROUND(O77*P77*($Y$17/$Y$14),0)</f>
        <v>0</v>
      </c>
      <c r="R77" s="16">
        <f>SUM(Q77:Q77)</f>
        <v>0</v>
      </c>
      <c r="S77" s="199">
        <f>R77+O77</f>
        <v>0</v>
      </c>
      <c r="T77" s="16"/>
      <c r="U77" s="16">
        <f>J77+N77+R77</f>
        <v>0</v>
      </c>
      <c r="V77" s="73">
        <f>+E77+U77</f>
        <v>0</v>
      </c>
      <c r="W77" s="7"/>
    </row>
    <row r="78" spans="1:23" s="6" customFormat="1" ht="17.399999999999999">
      <c r="B78" s="198" t="s">
        <v>51</v>
      </c>
      <c r="C78" s="198"/>
      <c r="D78" s="66" t="s">
        <v>143</v>
      </c>
      <c r="E78" s="200">
        <f>SUMIFS('305 Inputs'!$F:$F,'305 Inputs'!$I:$I,$D78,'305 Inputs'!$C:$C,$D$67)</f>
        <v>42759970.450000003</v>
      </c>
      <c r="F78" s="186">
        <f t="shared" si="42"/>
        <v>-1025493.5563416469</v>
      </c>
      <c r="G78" s="186">
        <f>-SUMIFS('WA SBC'!$O:$O,'WA SBC'!$B:$B,$D78,'WA SBC'!$A:$A,$D$67)-SUMIFS('WA Decoupling'!O:O,'WA Decoupling'!A:A,$D$67,'WA Decoupling'!B:B,$D78)-SUMIFS('WA PCAM'!$P:$P,'WA PCAM'!$C:$C,$D78,'WA PCAM'!$B:$B,$D$67)-SUMIFS('WA FTAA'!$O:$O,'WA FTAA'!$B:$B,$D78,'WA FTAA'!$A:$A,$D$67)</f>
        <v>655911.75499999977</v>
      </c>
      <c r="H78" s="186">
        <f>-SUMIFS('305 Inputs'!$F:$F,'305 Inputs'!$I:$I,$D78,'305 Inputs'!$C:$C,$D$67,'305 Inputs'!$D:$D,"B")</f>
        <v>0</v>
      </c>
      <c r="I78" s="187">
        <v>0</v>
      </c>
      <c r="J78" s="186">
        <f>SUM(F78:I78)</f>
        <v>-369581.80134164717</v>
      </c>
      <c r="K78" s="200">
        <f>E78+J78</f>
        <v>42390388.648658358</v>
      </c>
      <c r="L78" s="357">
        <f>$L$47</f>
        <v>0</v>
      </c>
      <c r="M78" s="186">
        <f>ROUND(K78*L78*(($Y$7-$Y$10)/($Y$7+$Y$10*L78)),0)</f>
        <v>0</v>
      </c>
      <c r="N78" s="186">
        <f>SUM(M78:M78)</f>
        <v>0</v>
      </c>
      <c r="O78" s="200">
        <f>N78+K78</f>
        <v>42390388.648658358</v>
      </c>
      <c r="P78" s="357">
        <f>$P$47</f>
        <v>0</v>
      </c>
      <c r="Q78" s="186">
        <f>ROUND(O78*P78*($Y$17/$Y$14),0)</f>
        <v>0</v>
      </c>
      <c r="R78" s="186">
        <f>SUM(Q78:Q78)</f>
        <v>0</v>
      </c>
      <c r="S78" s="200">
        <f>R78+O78</f>
        <v>42390388.648658358</v>
      </c>
      <c r="T78" s="186"/>
      <c r="U78" s="186">
        <f>J78+N78+R78</f>
        <v>-369581.80134164717</v>
      </c>
      <c r="V78" s="358">
        <f>+E78+U78</f>
        <v>42390388.648658358</v>
      </c>
      <c r="W78" s="7"/>
    </row>
    <row r="79" spans="1:23">
      <c r="B79" s="2" t="s">
        <v>33</v>
      </c>
      <c r="E79" s="199">
        <f t="shared" ref="E79:K79" si="43">SUM(E76:E78)</f>
        <v>43067552.760000005</v>
      </c>
      <c r="F79" s="16">
        <f>SUM(F76:F78)</f>
        <v>-1032870.1675420337</v>
      </c>
      <c r="G79" s="16">
        <f t="shared" si="43"/>
        <v>657519.48249999981</v>
      </c>
      <c r="H79" s="16">
        <f t="shared" si="43"/>
        <v>0</v>
      </c>
      <c r="I79" s="16">
        <f t="shared" si="43"/>
        <v>0</v>
      </c>
      <c r="J79" s="16">
        <f t="shared" si="43"/>
        <v>-375350.68504203396</v>
      </c>
      <c r="K79" s="199">
        <f t="shared" si="43"/>
        <v>42692202.074957974</v>
      </c>
      <c r="L79" s="356"/>
      <c r="M79" s="16">
        <f>SUM(M76:M78)</f>
        <v>0</v>
      </c>
      <c r="N79" s="16">
        <f>SUM(N76:N78)</f>
        <v>0</v>
      </c>
      <c r="O79" s="199">
        <f>SUM(O76:O78)</f>
        <v>42692202.074957974</v>
      </c>
      <c r="P79" s="356"/>
      <c r="Q79" s="16">
        <f>SUM(Q76:Q78)</f>
        <v>0</v>
      </c>
      <c r="R79" s="16">
        <f>SUM(R76:R78)</f>
        <v>0</v>
      </c>
      <c r="S79" s="199">
        <f>SUM(S76:S78)</f>
        <v>42692202.074957974</v>
      </c>
      <c r="T79" s="16"/>
      <c r="U79" s="16">
        <f>SUM(U76:U78)</f>
        <v>-375350.68504203396</v>
      </c>
      <c r="V79" s="73">
        <f>SUM(V76:V78)</f>
        <v>42692202.074957974</v>
      </c>
      <c r="W79" s="5"/>
    </row>
    <row r="80" spans="1:23">
      <c r="E80" s="199"/>
      <c r="F80" s="16"/>
      <c r="G80" s="16"/>
      <c r="H80" s="16"/>
      <c r="I80" s="16"/>
      <c r="J80" s="16"/>
      <c r="K80" s="199"/>
      <c r="L80" s="16"/>
      <c r="M80" s="16"/>
      <c r="N80" s="16" t="s">
        <v>29</v>
      </c>
      <c r="O80" s="199"/>
      <c r="P80" s="16"/>
      <c r="Q80" s="16"/>
      <c r="R80" s="16" t="s">
        <v>29</v>
      </c>
      <c r="S80" s="199"/>
      <c r="T80" s="16"/>
      <c r="U80" s="16"/>
      <c r="V80" s="73"/>
    </row>
    <row r="81" spans="1:23">
      <c r="B81" s="198" t="s">
        <v>52</v>
      </c>
      <c r="C81" s="198"/>
      <c r="D81" s="66" t="s">
        <v>139</v>
      </c>
      <c r="E81" s="200">
        <f>SUMIFS('305 Inputs'!$F:$F,'305 Inputs'!$I:$I,$D81,'305 Inputs'!$C:$C,$D$67)</f>
        <v>16702.66</v>
      </c>
      <c r="F81" s="186">
        <f t="shared" ref="F81" si="44">E81/SUM($E$71,$E$74,$E$79,$E$82)*$E$93</f>
        <v>-400.57254538550256</v>
      </c>
      <c r="G81" s="186">
        <f>-SUMIFS('WA SBC'!$O:$O,'WA SBC'!$B:$B,$D81,'WA SBC'!$A:$A,$D$67)+SUMIFS('WA Decoupling'!O:O,'WA Decoupling'!A:A,$D$67,'WA Decoupling'!B:B,$D81)-SUMIFS('WA PCAM'!$P:$P,'WA PCAM'!$C:$C,$D81,'WA PCAM'!$B:$B,$D$67)-SUMIFS('WA FTAA'!$O:$O,'WA FTAA'!$B:$B,$D81,'WA FTAA'!$A:$A,$D$67)</f>
        <v>188.69619000000012</v>
      </c>
      <c r="H81" s="186">
        <f>-SUMIFS('305 Inputs'!$F:$F,'305 Inputs'!$I:$I,$D81,'305 Inputs'!$C:$C,$D$67,'305 Inputs'!$D:$D,"B")</f>
        <v>201.72</v>
      </c>
      <c r="I81" s="186">
        <v>0</v>
      </c>
      <c r="J81" s="186">
        <f>SUM(F81:I81)</f>
        <v>-10.156355385502451</v>
      </c>
      <c r="K81" s="200">
        <f>E81+J81</f>
        <v>16692.503644614499</v>
      </c>
      <c r="L81" s="357">
        <f>$L$22</f>
        <v>0</v>
      </c>
      <c r="M81" s="186">
        <f>ROUND(K81*L81*(($Y$7-$Y$10)/($Y$7+$Y$10*L81)),0)</f>
        <v>0</v>
      </c>
      <c r="N81" s="186">
        <f>SUM(M81:M81)</f>
        <v>0</v>
      </c>
      <c r="O81" s="200">
        <f>N81+K81</f>
        <v>16692.503644614499</v>
      </c>
      <c r="P81" s="357">
        <f>$P$22</f>
        <v>0</v>
      </c>
      <c r="Q81" s="186">
        <f>ROUND(O81*P81*($Y$17/$Y$14),0)</f>
        <v>0</v>
      </c>
      <c r="R81" s="186">
        <f>SUM(Q81:Q81)</f>
        <v>0</v>
      </c>
      <c r="S81" s="200">
        <f>R81+O81</f>
        <v>16692.503644614499</v>
      </c>
      <c r="T81" s="186"/>
      <c r="U81" s="186">
        <f>J81+N81+R81</f>
        <v>-10.156355385502451</v>
      </c>
      <c r="V81" s="358">
        <f>+E81+U81</f>
        <v>16692.503644614499</v>
      </c>
      <c r="W81" s="5"/>
    </row>
    <row r="82" spans="1:23">
      <c r="B82" s="2" t="s">
        <v>33</v>
      </c>
      <c r="E82" s="199">
        <f t="shared" ref="E82:K82" si="45">SUM(E81:E81)</f>
        <v>16702.66</v>
      </c>
      <c r="F82" s="16">
        <f>SUM(F81)</f>
        <v>-400.57254538550256</v>
      </c>
      <c r="G82" s="16">
        <f t="shared" si="45"/>
        <v>188.69619000000012</v>
      </c>
      <c r="H82" s="16">
        <f t="shared" si="45"/>
        <v>201.72</v>
      </c>
      <c r="I82" s="16">
        <f t="shared" si="45"/>
        <v>0</v>
      </c>
      <c r="J82" s="16">
        <f t="shared" si="45"/>
        <v>-10.156355385502451</v>
      </c>
      <c r="K82" s="199">
        <f t="shared" si="45"/>
        <v>16692.503644614499</v>
      </c>
      <c r="L82" s="357"/>
      <c r="M82" s="16">
        <f>SUM(M81:M81)</f>
        <v>0</v>
      </c>
      <c r="N82" s="16">
        <f>SUM(N81:N81)</f>
        <v>0</v>
      </c>
      <c r="O82" s="199">
        <f>SUM(O81:O81)</f>
        <v>16692.503644614499</v>
      </c>
      <c r="P82" s="357"/>
      <c r="Q82" s="16">
        <f>SUM(Q81:Q81)</f>
        <v>0</v>
      </c>
      <c r="R82" s="16">
        <f>SUM(R81:R81)</f>
        <v>0</v>
      </c>
      <c r="S82" s="199">
        <f>SUM(S81:S81)</f>
        <v>16692.503644614499</v>
      </c>
      <c r="T82" s="16"/>
      <c r="U82" s="16">
        <f>SUM(U81:U81)</f>
        <v>-10.156355385502451</v>
      </c>
      <c r="V82" s="73">
        <f>SUM(V81:V81)</f>
        <v>16692.503644614499</v>
      </c>
      <c r="W82" s="5"/>
    </row>
    <row r="83" spans="1:23">
      <c r="E83" s="199"/>
      <c r="F83" s="16"/>
      <c r="G83" s="16"/>
      <c r="H83" s="16"/>
      <c r="I83" s="16"/>
      <c r="J83" s="16"/>
      <c r="K83" s="199"/>
      <c r="L83" s="186"/>
      <c r="M83" s="16"/>
      <c r="N83" s="16"/>
      <c r="O83" s="199"/>
      <c r="P83" s="186"/>
      <c r="Q83" s="16"/>
      <c r="R83" s="16"/>
      <c r="S83" s="199"/>
      <c r="T83" s="16"/>
      <c r="U83" s="16"/>
      <c r="V83" s="73"/>
    </row>
    <row r="84" spans="1:23" s="6" customFormat="1">
      <c r="B84" s="2" t="s">
        <v>32</v>
      </c>
      <c r="C84" s="2"/>
      <c r="D84" s="66" t="s">
        <v>138</v>
      </c>
      <c r="E84" s="200">
        <f>SUMIFS('305 Inputs'!$F:$F,'305 Inputs'!$I:$I,$D84,'305 Inputs'!$C:$C,$D$67)</f>
        <v>47833.229999999996</v>
      </c>
      <c r="F84" s="186"/>
      <c r="G84" s="186">
        <v>0</v>
      </c>
      <c r="H84" s="186">
        <v>0</v>
      </c>
      <c r="I84" s="186">
        <v>0</v>
      </c>
      <c r="J84" s="186">
        <f>SUM(G84:I84)</f>
        <v>0</v>
      </c>
      <c r="K84" s="200">
        <f>E84+J84</f>
        <v>47833.229999999996</v>
      </c>
      <c r="L84" s="357">
        <v>0</v>
      </c>
      <c r="M84" s="186">
        <v>0</v>
      </c>
      <c r="N84" s="186">
        <f>SUM(M84:M84)</f>
        <v>0</v>
      </c>
      <c r="O84" s="200">
        <f>N84+K84</f>
        <v>47833.229999999996</v>
      </c>
      <c r="P84" s="357">
        <v>0</v>
      </c>
      <c r="Q84" s="186">
        <v>0</v>
      </c>
      <c r="R84" s="186">
        <f>SUM(Q84:Q84)</f>
        <v>0</v>
      </c>
      <c r="S84" s="200">
        <f>R84+O84</f>
        <v>47833.229999999996</v>
      </c>
      <c r="T84" s="186"/>
      <c r="U84" s="186">
        <f>J84+N84+R84</f>
        <v>0</v>
      </c>
      <c r="V84" s="358">
        <f>+E84+U84</f>
        <v>47833.229999999996</v>
      </c>
      <c r="W84" s="7"/>
    </row>
    <row r="85" spans="1:23" s="6" customFormat="1">
      <c r="B85" s="2"/>
      <c r="C85" s="2"/>
      <c r="D85" s="66"/>
      <c r="E85" s="199"/>
      <c r="F85" s="16"/>
      <c r="G85" s="186"/>
      <c r="H85" s="186"/>
      <c r="I85" s="186"/>
      <c r="J85" s="186"/>
      <c r="K85" s="200"/>
      <c r="L85" s="357"/>
      <c r="M85" s="186"/>
      <c r="N85" s="186"/>
      <c r="O85" s="200"/>
      <c r="P85" s="357"/>
      <c r="Q85" s="186"/>
      <c r="R85" s="186"/>
      <c r="S85" s="200"/>
      <c r="T85" s="186"/>
      <c r="U85" s="186"/>
      <c r="V85" s="358"/>
      <c r="W85" s="7"/>
    </row>
    <row r="86" spans="1:23" s="6" customFormat="1">
      <c r="A86" s="2"/>
      <c r="B86" s="2" t="s">
        <v>235</v>
      </c>
      <c r="C86" s="2"/>
      <c r="D86" s="66" t="s">
        <v>203</v>
      </c>
      <c r="E86" s="200">
        <f>SUMIFS('305 Inputs'!$F:$F,'305 Inputs'!$I:$I,$D86,'305 Inputs'!$C:$C,$D$67)</f>
        <v>-1342730.94</v>
      </c>
      <c r="F86" s="186"/>
      <c r="G86" s="186">
        <f>-E86</f>
        <v>1342730.94</v>
      </c>
      <c r="H86" s="186">
        <v>0</v>
      </c>
      <c r="I86" s="186">
        <v>0</v>
      </c>
      <c r="J86" s="186">
        <f t="shared" ref="J86:J89" si="46">SUM(G86:I86)</f>
        <v>1342730.94</v>
      </c>
      <c r="K86" s="200">
        <f t="shared" ref="K86:K89" si="47">E86+J86</f>
        <v>0</v>
      </c>
      <c r="L86" s="357">
        <v>0</v>
      </c>
      <c r="M86" s="186">
        <v>0</v>
      </c>
      <c r="N86" s="186">
        <f t="shared" ref="N86:N91" si="48">SUM(M86:M86)</f>
        <v>0</v>
      </c>
      <c r="O86" s="200">
        <f t="shared" ref="O86:O91" si="49">N86+K86</f>
        <v>0</v>
      </c>
      <c r="P86" s="357">
        <v>0</v>
      </c>
      <c r="Q86" s="186">
        <v>0</v>
      </c>
      <c r="R86" s="186">
        <f t="shared" ref="R86:R89" si="50">SUM(Q86:Q86)</f>
        <v>0</v>
      </c>
      <c r="S86" s="200">
        <f t="shared" ref="S86:S91" si="51">R86+O86</f>
        <v>0</v>
      </c>
      <c r="T86" s="186"/>
      <c r="U86" s="186">
        <f t="shared" ref="U86:U91" si="52">J86+N86+R86</f>
        <v>1342730.94</v>
      </c>
      <c r="V86" s="358">
        <f t="shared" ref="V86:V91" si="53">+E86+U86</f>
        <v>0</v>
      </c>
      <c r="W86" s="7"/>
    </row>
    <row r="87" spans="1:23" s="6" customFormat="1">
      <c r="B87" s="2" t="s">
        <v>280</v>
      </c>
      <c r="C87" s="2"/>
      <c r="D87" s="66" t="s">
        <v>273</v>
      </c>
      <c r="E87" s="200">
        <f>SUMIFS('305 Inputs'!$F:$F,'305 Inputs'!$I:$I,$D87,'305 Inputs'!$C:$C,$D$67)</f>
        <v>1683397.1</v>
      </c>
      <c r="F87" s="186"/>
      <c r="G87" s="186">
        <f>-E87</f>
        <v>-1683397.1</v>
      </c>
      <c r="H87" s="186">
        <v>0</v>
      </c>
      <c r="I87" s="186">
        <v>0</v>
      </c>
      <c r="J87" s="186">
        <f t="shared" si="46"/>
        <v>-1683397.1</v>
      </c>
      <c r="K87" s="200">
        <f t="shared" si="47"/>
        <v>0</v>
      </c>
      <c r="L87" s="357">
        <v>0</v>
      </c>
      <c r="M87" s="186">
        <v>0</v>
      </c>
      <c r="N87" s="186">
        <f t="shared" si="48"/>
        <v>0</v>
      </c>
      <c r="O87" s="200">
        <f t="shared" si="49"/>
        <v>0</v>
      </c>
      <c r="P87" s="357">
        <v>0</v>
      </c>
      <c r="Q87" s="186">
        <v>0</v>
      </c>
      <c r="R87" s="186">
        <f t="shared" si="50"/>
        <v>0</v>
      </c>
      <c r="S87" s="200">
        <f t="shared" si="51"/>
        <v>0</v>
      </c>
      <c r="T87" s="186"/>
      <c r="U87" s="186">
        <f t="shared" si="52"/>
        <v>-1683397.1</v>
      </c>
      <c r="V87" s="358">
        <f t="shared" si="53"/>
        <v>0</v>
      </c>
      <c r="W87" s="7"/>
    </row>
    <row r="88" spans="1:23" s="6" customFormat="1">
      <c r="B88" s="2" t="s">
        <v>276</v>
      </c>
      <c r="C88" s="2"/>
      <c r="D88" s="66" t="s">
        <v>274</v>
      </c>
      <c r="E88" s="200">
        <f>SUMIFS('305 Inputs'!$F:$F,'305 Inputs'!$I:$I,$D88,'305 Inputs'!$C:$C,$D$67)</f>
        <v>11.9</v>
      </c>
      <c r="F88" s="186"/>
      <c r="G88" s="186">
        <f>-E88</f>
        <v>-11.9</v>
      </c>
      <c r="H88" s="186">
        <v>0</v>
      </c>
      <c r="I88" s="186">
        <v>0</v>
      </c>
      <c r="J88" s="186">
        <f t="shared" si="46"/>
        <v>-11.9</v>
      </c>
      <c r="K88" s="200">
        <f t="shared" si="47"/>
        <v>0</v>
      </c>
      <c r="L88" s="357">
        <v>0</v>
      </c>
      <c r="M88" s="186">
        <v>0</v>
      </c>
      <c r="N88" s="186">
        <f t="shared" si="48"/>
        <v>0</v>
      </c>
      <c r="O88" s="200">
        <f t="shared" si="49"/>
        <v>0</v>
      </c>
      <c r="P88" s="357">
        <v>0</v>
      </c>
      <c r="Q88" s="186">
        <v>0</v>
      </c>
      <c r="R88" s="186">
        <f t="shared" si="50"/>
        <v>0</v>
      </c>
      <c r="S88" s="200">
        <f t="shared" si="51"/>
        <v>0</v>
      </c>
      <c r="T88" s="186"/>
      <c r="U88" s="186">
        <f t="shared" si="52"/>
        <v>-11.9</v>
      </c>
      <c r="V88" s="358">
        <f t="shared" si="53"/>
        <v>0</v>
      </c>
      <c r="W88" s="7"/>
    </row>
    <row r="89" spans="1:23" s="6" customFormat="1">
      <c r="B89" s="2" t="s">
        <v>89</v>
      </c>
      <c r="C89" s="2"/>
      <c r="D89" s="66" t="s">
        <v>140</v>
      </c>
      <c r="E89" s="200">
        <f>SUMIFS('305 Inputs'!$F:$F,'305 Inputs'!$I:$I,$D89,'305 Inputs'!$C:$C,$D$67)</f>
        <v>-242.86</v>
      </c>
      <c r="F89" s="186"/>
      <c r="G89" s="186">
        <v>0</v>
      </c>
      <c r="H89" s="186">
        <f>-E89</f>
        <v>242.86</v>
      </c>
      <c r="I89" s="186">
        <v>0</v>
      </c>
      <c r="J89" s="186">
        <f t="shared" si="46"/>
        <v>242.86</v>
      </c>
      <c r="K89" s="200">
        <f t="shared" si="47"/>
        <v>0</v>
      </c>
      <c r="L89" s="357">
        <v>0</v>
      </c>
      <c r="M89" s="186">
        <v>0</v>
      </c>
      <c r="N89" s="186">
        <f t="shared" si="48"/>
        <v>0</v>
      </c>
      <c r="O89" s="200">
        <f t="shared" si="49"/>
        <v>0</v>
      </c>
      <c r="P89" s="357">
        <v>0</v>
      </c>
      <c r="Q89" s="186">
        <v>0</v>
      </c>
      <c r="R89" s="186">
        <f t="shared" si="50"/>
        <v>0</v>
      </c>
      <c r="S89" s="200">
        <f t="shared" si="51"/>
        <v>0</v>
      </c>
      <c r="T89" s="186"/>
      <c r="U89" s="186">
        <f t="shared" si="52"/>
        <v>242.86</v>
      </c>
      <c r="V89" s="358">
        <f t="shared" si="53"/>
        <v>0</v>
      </c>
      <c r="W89" s="7"/>
    </row>
    <row r="90" spans="1:23" s="6" customFormat="1">
      <c r="B90" s="2" t="s">
        <v>406</v>
      </c>
      <c r="C90" s="2"/>
      <c r="D90" s="66" t="s">
        <v>407</v>
      </c>
      <c r="E90" s="200">
        <f>SUMIFS('305 Inputs'!$F:$F,'305 Inputs'!$I:$I,$D90,'305 Inputs'!$C:$C,$D$67)</f>
        <v>0</v>
      </c>
      <c r="F90" s="186"/>
      <c r="G90" s="186">
        <f t="shared" ref="G90:G91" si="54">E90*-1</f>
        <v>0</v>
      </c>
      <c r="H90" s="186">
        <v>0</v>
      </c>
      <c r="I90" s="186">
        <v>0</v>
      </c>
      <c r="J90" s="186">
        <f t="shared" ref="J90:J91" si="55">SUM(G90:I90)</f>
        <v>0</v>
      </c>
      <c r="K90" s="200">
        <f t="shared" ref="K90:K91" si="56">E90+J90</f>
        <v>0</v>
      </c>
      <c r="L90" s="357">
        <v>0</v>
      </c>
      <c r="M90" s="186">
        <v>0</v>
      </c>
      <c r="N90" s="186">
        <f t="shared" si="48"/>
        <v>0</v>
      </c>
      <c r="O90" s="200">
        <f t="shared" si="49"/>
        <v>0</v>
      </c>
      <c r="P90" s="357"/>
      <c r="Q90" s="186"/>
      <c r="R90" s="186"/>
      <c r="S90" s="200">
        <f t="shared" si="51"/>
        <v>0</v>
      </c>
      <c r="T90" s="186"/>
      <c r="U90" s="186">
        <f t="shared" si="52"/>
        <v>0</v>
      </c>
      <c r="V90" s="358">
        <f t="shared" si="53"/>
        <v>0</v>
      </c>
      <c r="W90" s="7"/>
    </row>
    <row r="91" spans="1:23" s="6" customFormat="1">
      <c r="B91" s="2" t="s">
        <v>405</v>
      </c>
      <c r="C91" s="2"/>
      <c r="D91" s="66" t="s">
        <v>408</v>
      </c>
      <c r="E91" s="200">
        <f>SUMIFS('305 Inputs'!$F:$F,'305 Inputs'!$I:$I,$D91,'305 Inputs'!$C:$C,$D$67)</f>
        <v>-197603.57</v>
      </c>
      <c r="F91" s="186"/>
      <c r="G91" s="186">
        <f t="shared" si="54"/>
        <v>197603.57</v>
      </c>
      <c r="H91" s="186">
        <v>0</v>
      </c>
      <c r="I91" s="186">
        <v>0</v>
      </c>
      <c r="J91" s="186">
        <f t="shared" si="55"/>
        <v>197603.57</v>
      </c>
      <c r="K91" s="200">
        <f t="shared" si="56"/>
        <v>0</v>
      </c>
      <c r="L91" s="357">
        <v>0</v>
      </c>
      <c r="M91" s="186">
        <v>0</v>
      </c>
      <c r="N91" s="186">
        <f t="shared" si="48"/>
        <v>0</v>
      </c>
      <c r="O91" s="200">
        <f t="shared" si="49"/>
        <v>0</v>
      </c>
      <c r="P91" s="357"/>
      <c r="Q91" s="186"/>
      <c r="R91" s="186"/>
      <c r="S91" s="200">
        <f t="shared" si="51"/>
        <v>0</v>
      </c>
      <c r="T91" s="186"/>
      <c r="U91" s="186">
        <f t="shared" si="52"/>
        <v>197603.57</v>
      </c>
      <c r="V91" s="358">
        <f t="shared" si="53"/>
        <v>0</v>
      </c>
      <c r="W91" s="7"/>
    </row>
    <row r="92" spans="1:23" s="6" customFormat="1">
      <c r="A92" s="2"/>
      <c r="D92" s="66"/>
      <c r="E92" s="199"/>
      <c r="F92" s="16"/>
      <c r="G92" s="16"/>
      <c r="H92" s="16"/>
      <c r="I92" s="16"/>
      <c r="J92" s="16"/>
      <c r="K92" s="199"/>
      <c r="L92" s="357"/>
      <c r="M92" s="16"/>
      <c r="N92" s="16"/>
      <c r="O92" s="200"/>
      <c r="P92" s="357"/>
      <c r="Q92" s="16"/>
      <c r="R92" s="16"/>
      <c r="S92" s="200"/>
      <c r="T92" s="186"/>
      <c r="U92" s="186"/>
      <c r="V92" s="73"/>
      <c r="W92" s="7"/>
    </row>
    <row r="93" spans="1:23" s="6" customFormat="1">
      <c r="B93" s="2" t="s">
        <v>73</v>
      </c>
      <c r="C93" s="2"/>
      <c r="D93" s="66" t="s">
        <v>141</v>
      </c>
      <c r="E93" s="200">
        <f>SUMIFS('305 Inputs'!$F:$F,'305 Inputs'!$I:$I,$D93,'305 Inputs'!$C:$C,$D$67)</f>
        <v>-1252000</v>
      </c>
      <c r="F93" s="186">
        <f>-SUM(F71,F74,F79,F82)</f>
        <v>1251999.9999999998</v>
      </c>
      <c r="G93" s="186">
        <v>0</v>
      </c>
      <c r="H93" s="186">
        <v>0</v>
      </c>
      <c r="I93" s="186">
        <v>0</v>
      </c>
      <c r="J93" s="186">
        <f>SUM(F93:I93)</f>
        <v>1251999.9999999998</v>
      </c>
      <c r="K93" s="200">
        <f>E93+J93</f>
        <v>0</v>
      </c>
      <c r="L93" s="357">
        <v>0</v>
      </c>
      <c r="M93" s="186">
        <v>0</v>
      </c>
      <c r="N93" s="186">
        <f>SUM(M93:M93)</f>
        <v>0</v>
      </c>
      <c r="O93" s="200">
        <f>N93+K93</f>
        <v>0</v>
      </c>
      <c r="P93" s="357">
        <v>0</v>
      </c>
      <c r="Q93" s="186">
        <v>0</v>
      </c>
      <c r="R93" s="186">
        <f>SUM(Q93:Q93)</f>
        <v>0</v>
      </c>
      <c r="S93" s="200">
        <f>R93+O93</f>
        <v>0</v>
      </c>
      <c r="T93" s="186"/>
      <c r="U93" s="186">
        <f>J93+N93+R93</f>
        <v>1251999.9999999998</v>
      </c>
      <c r="V93" s="358">
        <f>+E93+U93</f>
        <v>0</v>
      </c>
      <c r="W93" s="7"/>
    </row>
    <row r="94" spans="1:23" s="6" customFormat="1">
      <c r="A94" s="2"/>
      <c r="D94" s="66"/>
      <c r="E94" s="200"/>
      <c r="F94" s="186"/>
      <c r="G94" s="186"/>
      <c r="H94" s="186"/>
      <c r="I94" s="186"/>
      <c r="J94" s="186"/>
      <c r="K94" s="200"/>
      <c r="L94" s="186"/>
      <c r="M94" s="186"/>
      <c r="N94" s="186"/>
      <c r="O94" s="200"/>
      <c r="P94" s="186"/>
      <c r="Q94" s="186"/>
      <c r="R94" s="186"/>
      <c r="S94" s="200"/>
      <c r="T94" s="186"/>
      <c r="U94" s="186"/>
      <c r="V94" s="186"/>
      <c r="W94" s="7"/>
    </row>
    <row r="95" spans="1:23">
      <c r="B95" s="18" t="s">
        <v>8</v>
      </c>
      <c r="C95" s="19"/>
      <c r="D95" s="323"/>
      <c r="E95" s="201">
        <f t="shared" ref="E95:S95" si="57">+E71+E74+E79+E82+E84+SUM(E86:E93)</f>
        <v>51143266.900000006</v>
      </c>
      <c r="F95" s="191">
        <f>+F71+F74+F79+F82+F84+SUM(F86:F93)</f>
        <v>0</v>
      </c>
      <c r="G95" s="191">
        <f t="shared" si="57"/>
        <v>942110.34673999948</v>
      </c>
      <c r="H95" s="191">
        <f t="shared" si="57"/>
        <v>18563.800000000003</v>
      </c>
      <c r="I95" s="191">
        <f t="shared" si="57"/>
        <v>0</v>
      </c>
      <c r="J95" s="191">
        <f t="shared" si="57"/>
        <v>960674.14673999941</v>
      </c>
      <c r="K95" s="201">
        <f t="shared" si="57"/>
        <v>52103941.046740003</v>
      </c>
      <c r="L95" s="191">
        <f t="shared" si="57"/>
        <v>0</v>
      </c>
      <c r="M95" s="191">
        <f t="shared" si="57"/>
        <v>0</v>
      </c>
      <c r="N95" s="191">
        <f t="shared" si="57"/>
        <v>0</v>
      </c>
      <c r="O95" s="201">
        <f t="shared" si="57"/>
        <v>52103941.046740003</v>
      </c>
      <c r="P95" s="191">
        <f t="shared" si="57"/>
        <v>0</v>
      </c>
      <c r="Q95" s="191">
        <f t="shared" si="57"/>
        <v>0</v>
      </c>
      <c r="R95" s="191">
        <f t="shared" si="57"/>
        <v>0</v>
      </c>
      <c r="S95" s="201">
        <f t="shared" si="57"/>
        <v>52103941.046740003</v>
      </c>
      <c r="T95" s="191"/>
      <c r="U95" s="191">
        <f>+U71+U74+U79+U82+U84+SUM(U86:U93)</f>
        <v>960674.14673999941</v>
      </c>
      <c r="V95" s="191">
        <f>+V71+V74+V79+V82+V84+SUM(V86:V93)</f>
        <v>52103941.046740003</v>
      </c>
      <c r="W95" s="5"/>
    </row>
    <row r="96" spans="1:23">
      <c r="E96" s="199"/>
      <c r="F96" s="16"/>
      <c r="G96" s="16"/>
      <c r="H96" s="16"/>
      <c r="I96" s="16"/>
      <c r="J96" s="16"/>
      <c r="K96" s="199" t="s">
        <v>29</v>
      </c>
      <c r="L96" s="16"/>
      <c r="M96" s="16"/>
      <c r="N96" s="16"/>
      <c r="O96" s="199" t="s">
        <v>29</v>
      </c>
      <c r="P96" s="16"/>
      <c r="Q96" s="16"/>
      <c r="R96" s="16"/>
      <c r="S96" s="199" t="s">
        <v>29</v>
      </c>
      <c r="T96" s="16"/>
      <c r="U96" s="16"/>
      <c r="V96" s="73"/>
      <c r="W96" s="24"/>
    </row>
    <row r="97" spans="1:23">
      <c r="B97" s="3"/>
      <c r="C97" s="3"/>
      <c r="E97" s="199"/>
      <c r="F97" s="16"/>
      <c r="G97" s="16"/>
      <c r="H97" s="16"/>
      <c r="I97" s="16"/>
      <c r="J97" s="16"/>
      <c r="K97" s="199" t="s">
        <v>29</v>
      </c>
      <c r="L97" s="16"/>
      <c r="M97" s="16"/>
      <c r="N97" s="16"/>
      <c r="O97" s="199"/>
      <c r="P97" s="16"/>
      <c r="Q97" s="16"/>
      <c r="R97" s="16"/>
      <c r="S97" s="199"/>
      <c r="T97" s="16"/>
      <c r="U97" s="16"/>
      <c r="V97" s="73"/>
    </row>
    <row r="98" spans="1:23">
      <c r="A98" s="3" t="s">
        <v>171</v>
      </c>
      <c r="B98" s="3"/>
      <c r="C98" s="3"/>
      <c r="D98" s="155" t="s">
        <v>433</v>
      </c>
      <c r="E98" s="199"/>
      <c r="F98" s="16"/>
      <c r="G98" s="16"/>
      <c r="H98" s="16"/>
      <c r="I98" s="16"/>
      <c r="J98" s="16"/>
      <c r="K98" s="199"/>
      <c r="L98" s="16"/>
      <c r="M98" s="16"/>
      <c r="N98" s="16"/>
      <c r="O98" s="199"/>
      <c r="P98" s="16"/>
      <c r="Q98" s="16"/>
      <c r="R98" s="16"/>
      <c r="S98" s="199"/>
      <c r="T98" s="16"/>
      <c r="U98" s="16"/>
      <c r="V98" s="73"/>
    </row>
    <row r="99" spans="1:23">
      <c r="B99" s="198" t="s">
        <v>55</v>
      </c>
      <c r="C99" s="198"/>
      <c r="D99" s="66">
        <v>40</v>
      </c>
      <c r="E99" s="199">
        <f>SUMIFS('305 Inputs'!$F:$F,'305 Inputs'!$I:$I,$D99,'305 Inputs'!$C:$C,$D$98)</f>
        <v>7340405.1399999997</v>
      </c>
      <c r="F99" s="16">
        <f>E99/E101*E114</f>
        <v>130839.18997540417</v>
      </c>
      <c r="G99" s="16">
        <f>-SUMIFS('WA SBC'!$O:$O,'WA SBC'!$B:$B,$D99,'WA SBC'!$A:$A,$D$98)-SUMIFS('WA Decoupling'!O:O,'WA Decoupling'!A:A,$D$98,'WA Decoupling'!B:B,$D99)-SUMIFS('WA PCAM'!$P:$P,'WA PCAM'!$C:$C,$D99,'WA PCAM'!$B:$B,$D$98)-SUMIFS('WA FTAA'!$O:$O,'WA FTAA'!$B:$B,$D99,'WA FTAA'!$A:$A,$D$98)</f>
        <v>927307.7394399998</v>
      </c>
      <c r="H99" s="16">
        <f>-SUMIFS('305 Inputs'!$F:$F,'305 Inputs'!$I:$I,$D99,'305 Inputs'!$C:$C,$D$98,'305 Inputs'!$D:$D,"B")</f>
        <v>764678.54</v>
      </c>
      <c r="I99" s="16">
        <v>0</v>
      </c>
      <c r="J99" s="16">
        <f>SUM(F99:I99)</f>
        <v>1822825.4694154039</v>
      </c>
      <c r="K99" s="199">
        <f>E99+J99</f>
        <v>9163230.6094154045</v>
      </c>
      <c r="L99" s="356">
        <v>0</v>
      </c>
      <c r="M99" s="16">
        <f>ROUND(K99*L99*(($Y$7-$Y$10)/($Y$7+$Y$10*L99)),0)</f>
        <v>0</v>
      </c>
      <c r="N99" s="16">
        <f>SUM(M99:M99)</f>
        <v>0</v>
      </c>
      <c r="O99" s="199">
        <f>N99+K99</f>
        <v>9163230.6094154045</v>
      </c>
      <c r="P99" s="356">
        <v>0</v>
      </c>
      <c r="Q99" s="16">
        <f>ROUND(O99*P99*($Y$17/$Y$14),0)</f>
        <v>0</v>
      </c>
      <c r="R99" s="16">
        <f>SUM(Q99:Q99)</f>
        <v>0</v>
      </c>
      <c r="S99" s="199">
        <f>R99+O99</f>
        <v>9163230.6094154045</v>
      </c>
      <c r="T99" s="16"/>
      <c r="U99" s="16">
        <f>J99+N99+R99</f>
        <v>1822825.4694154039</v>
      </c>
      <c r="V99" s="73">
        <f>+E99+U99</f>
        <v>9163230.6094154045</v>
      </c>
      <c r="W99" s="5"/>
    </row>
    <row r="100" spans="1:23" ht="17.399999999999999">
      <c r="B100" s="198" t="s">
        <v>56</v>
      </c>
      <c r="C100" s="198"/>
      <c r="D100" s="66" t="s">
        <v>145</v>
      </c>
      <c r="E100" s="200">
        <f>SUMIFS('305 Inputs'!$F:$F,'305 Inputs'!$I:$I,$D100,'305 Inputs'!$C:$C,$D$98)</f>
        <v>5899783.9299999997</v>
      </c>
      <c r="F100" s="186">
        <f>E100/E101*E114</f>
        <v>105160.81002459582</v>
      </c>
      <c r="G100" s="186">
        <f>-SUMIFS('WA SBC'!$O:$O,'WA SBC'!$B:$B,$D100,'WA SBC'!$A:$A,$D$98)-SUMIFS('WA Decoupling'!O:O,'WA Decoupling'!A:A,$D$98,'WA Decoupling'!B:B,$D100)-SUMIFS('WA PCAM'!$P:$P,'WA PCAM'!$C:$C,$D100,'WA PCAM'!$B:$B,$D$98)-SUMIFS('WA FTAA'!$O:$O,'WA FTAA'!$B:$B,$D100,'WA FTAA'!$A:$A,$D$98)</f>
        <v>0</v>
      </c>
      <c r="H100" s="186">
        <f>-SUMIFS('305 Inputs'!$F:$F,'305 Inputs'!$I:$I,$D100,'305 Inputs'!$C:$C,$D$67,'305 Inputs'!$D:$D,"B")</f>
        <v>0</v>
      </c>
      <c r="I100" s="187">
        <v>0</v>
      </c>
      <c r="J100" s="186">
        <f>SUM(F100:I100)</f>
        <v>105160.81002459582</v>
      </c>
      <c r="K100" s="200">
        <f>E100+J100</f>
        <v>6004944.7400245955</v>
      </c>
      <c r="L100" s="361">
        <v>0</v>
      </c>
      <c r="M100" s="186">
        <f>ROUND(K100*L100*(($Y$7-$Y$10)/($Y$7+$Y$10*L100)),0)</f>
        <v>0</v>
      </c>
      <c r="N100" s="186">
        <f>SUM(M100:M100)</f>
        <v>0</v>
      </c>
      <c r="O100" s="199">
        <f>N100+K100</f>
        <v>6004944.7400245955</v>
      </c>
      <c r="P100" s="361">
        <f>$P$99</f>
        <v>0</v>
      </c>
      <c r="Q100" s="186">
        <f>ROUND(O100*P100*($Y$17/$Y$14),0)</f>
        <v>0</v>
      </c>
      <c r="R100" s="186">
        <f>SUM(Q100:Q100)</f>
        <v>0</v>
      </c>
      <c r="S100" s="200">
        <f>R100+O100</f>
        <v>6004944.7400245955</v>
      </c>
      <c r="T100" s="186"/>
      <c r="U100" s="186">
        <f>J100+N100+R100</f>
        <v>105160.81002459582</v>
      </c>
      <c r="V100" s="358">
        <f>+E100+U100</f>
        <v>6004944.7400245955</v>
      </c>
      <c r="W100" s="5"/>
    </row>
    <row r="101" spans="1:23">
      <c r="B101" s="2" t="s">
        <v>33</v>
      </c>
      <c r="E101" s="199">
        <f t="shared" ref="E101:K101" si="58">SUM(E99:E100)</f>
        <v>13240189.07</v>
      </c>
      <c r="F101" s="16">
        <f>SUM(F99:F100)</f>
        <v>236000</v>
      </c>
      <c r="G101" s="16">
        <f t="shared" si="58"/>
        <v>927307.7394399998</v>
      </c>
      <c r="H101" s="16">
        <f t="shared" si="58"/>
        <v>764678.54</v>
      </c>
      <c r="I101" s="16">
        <f t="shared" si="58"/>
        <v>0</v>
      </c>
      <c r="J101" s="16">
        <f t="shared" si="58"/>
        <v>1927986.2794399997</v>
      </c>
      <c r="K101" s="199">
        <f t="shared" si="58"/>
        <v>15168175.349440001</v>
      </c>
      <c r="L101" s="356"/>
      <c r="M101" s="16">
        <f>SUM(M99:M100)</f>
        <v>0</v>
      </c>
      <c r="N101" s="16">
        <f>SUM(N99:N100)</f>
        <v>0</v>
      </c>
      <c r="O101" s="199">
        <f>SUM(O99:O100)</f>
        <v>15168175.349440001</v>
      </c>
      <c r="P101" s="356"/>
      <c r="Q101" s="16">
        <f>SUM(Q99:Q100)</f>
        <v>0</v>
      </c>
      <c r="R101" s="16">
        <f>SUM(R99:R100)</f>
        <v>0</v>
      </c>
      <c r="S101" s="199">
        <f>SUM(S99:S100)</f>
        <v>15168175.349440001</v>
      </c>
      <c r="T101" s="16"/>
      <c r="U101" s="16">
        <f>SUM(U99:U100)</f>
        <v>1927986.2794399997</v>
      </c>
      <c r="V101" s="73">
        <f>SUM(V99:V100)</f>
        <v>15168175.349440001</v>
      </c>
      <c r="W101" s="5"/>
    </row>
    <row r="102" spans="1:23" s="6" customFormat="1">
      <c r="A102" s="2"/>
      <c r="B102" s="2"/>
      <c r="C102" s="2"/>
      <c r="D102" s="66"/>
      <c r="E102" s="199"/>
      <c r="F102" s="16"/>
      <c r="G102" s="16"/>
      <c r="H102" s="16"/>
      <c r="I102" s="16"/>
      <c r="J102" s="16"/>
      <c r="K102" s="199"/>
      <c r="L102" s="356"/>
      <c r="M102" s="16"/>
      <c r="N102" s="16"/>
      <c r="O102" s="199"/>
      <c r="P102" s="356"/>
      <c r="Q102" s="16"/>
      <c r="R102" s="16"/>
      <c r="S102" s="199"/>
      <c r="T102" s="16"/>
      <c r="U102" s="16"/>
      <c r="V102" s="73"/>
      <c r="W102" s="7"/>
    </row>
    <row r="103" spans="1:23" s="6" customFormat="1">
      <c r="B103" s="2" t="s">
        <v>32</v>
      </c>
      <c r="C103" s="2"/>
      <c r="D103" s="66" t="s">
        <v>138</v>
      </c>
      <c r="E103" s="200">
        <f>SUMIFS('305 Inputs'!$F:$F,'305 Inputs'!$I:$I,$D103,'305 Inputs'!$C:$C,$D$98)</f>
        <v>184551.3</v>
      </c>
      <c r="F103" s="186"/>
      <c r="G103" s="186">
        <v>0</v>
      </c>
      <c r="H103" s="186">
        <v>0</v>
      </c>
      <c r="I103" s="186">
        <v>0</v>
      </c>
      <c r="J103" s="186">
        <f>SUM(G103:I103)</f>
        <v>0</v>
      </c>
      <c r="K103" s="200">
        <f>E103+J103</f>
        <v>184551.3</v>
      </c>
      <c r="L103" s="357">
        <v>0</v>
      </c>
      <c r="M103" s="186">
        <v>0</v>
      </c>
      <c r="N103" s="186">
        <f>SUM(M103:M103)</f>
        <v>0</v>
      </c>
      <c r="O103" s="200">
        <f>N103+K103</f>
        <v>184551.3</v>
      </c>
      <c r="P103" s="357">
        <v>0</v>
      </c>
      <c r="Q103" s="186">
        <v>0</v>
      </c>
      <c r="R103" s="186">
        <f>SUM(Q103:Q103)</f>
        <v>0</v>
      </c>
      <c r="S103" s="200">
        <f>R103+O103</f>
        <v>184551.3</v>
      </c>
      <c r="T103" s="186"/>
      <c r="U103" s="186">
        <f>J103+N103+R103</f>
        <v>0</v>
      </c>
      <c r="V103" s="358">
        <f>+E103+U103</f>
        <v>184551.3</v>
      </c>
      <c r="W103" s="7"/>
    </row>
    <row r="104" spans="1:23" s="6" customFormat="1">
      <c r="B104" s="2"/>
      <c r="C104" s="2"/>
      <c r="D104" s="66"/>
      <c r="E104" s="199"/>
      <c r="F104" s="16"/>
      <c r="G104" s="186"/>
      <c r="H104" s="186"/>
      <c r="I104" s="186"/>
      <c r="J104" s="186"/>
      <c r="K104" s="200"/>
      <c r="L104" s="357"/>
      <c r="M104" s="186"/>
      <c r="N104" s="186"/>
      <c r="O104" s="200"/>
      <c r="P104" s="357"/>
      <c r="Q104" s="186"/>
      <c r="R104" s="186"/>
      <c r="S104" s="200"/>
      <c r="T104" s="186"/>
      <c r="U104" s="186"/>
      <c r="V104" s="358"/>
      <c r="W104" s="7"/>
    </row>
    <row r="105" spans="1:23" s="6" customFormat="1">
      <c r="B105" s="2" t="s">
        <v>237</v>
      </c>
      <c r="C105" s="2"/>
      <c r="D105" s="66" t="s">
        <v>344</v>
      </c>
      <c r="E105" s="200">
        <f>SUMIFS('305 Inputs'!$F:$F,'305 Inputs'!$I:$I,$D105,'305 Inputs'!$C:$C,$D$98)</f>
        <v>-132000</v>
      </c>
      <c r="F105" s="186"/>
      <c r="G105" s="186">
        <f>-E105</f>
        <v>132000</v>
      </c>
      <c r="H105" s="186">
        <v>0</v>
      </c>
      <c r="I105" s="186">
        <v>0</v>
      </c>
      <c r="J105" s="186">
        <f t="shared" ref="J105:J112" si="59">SUM(G105:I105)</f>
        <v>132000</v>
      </c>
      <c r="K105" s="200">
        <f t="shared" ref="K105:K112" si="60">E105+J105</f>
        <v>0</v>
      </c>
      <c r="L105" s="357">
        <v>0</v>
      </c>
      <c r="M105" s="186">
        <v>0</v>
      </c>
      <c r="N105" s="186">
        <f t="shared" ref="N105:N112" si="61">SUM(M105:M105)</f>
        <v>0</v>
      </c>
      <c r="O105" s="200">
        <f t="shared" ref="O105:O112" si="62">N105+K105</f>
        <v>0</v>
      </c>
      <c r="P105" s="357">
        <v>0</v>
      </c>
      <c r="Q105" s="186">
        <v>0</v>
      </c>
      <c r="R105" s="186">
        <f t="shared" ref="R105:R110" si="63">SUM(Q105:Q105)</f>
        <v>0</v>
      </c>
      <c r="S105" s="200">
        <f t="shared" ref="S105:S112" si="64">R105+O105</f>
        <v>0</v>
      </c>
      <c r="T105" s="186"/>
      <c r="U105" s="186">
        <f t="shared" ref="U105:U112" si="65">J105+N105+R105</f>
        <v>132000</v>
      </c>
      <c r="V105" s="358">
        <f t="shared" ref="V105:V112" si="66">+E105+U105</f>
        <v>0</v>
      </c>
      <c r="W105" s="7"/>
    </row>
    <row r="106" spans="1:23">
      <c r="B106" s="2" t="s">
        <v>235</v>
      </c>
      <c r="D106" s="66" t="s">
        <v>203</v>
      </c>
      <c r="E106" s="200">
        <f>SUMIFS('305 Inputs'!$F:$F,'305 Inputs'!$I:$I,$D106,'305 Inputs'!$C:$C,$D$98)</f>
        <v>-363297.7</v>
      </c>
      <c r="F106" s="186"/>
      <c r="G106" s="186">
        <f>-E106</f>
        <v>363297.7</v>
      </c>
      <c r="H106" s="16">
        <v>0</v>
      </c>
      <c r="I106" s="186">
        <v>0</v>
      </c>
      <c r="J106" s="186">
        <f t="shared" si="59"/>
        <v>363297.7</v>
      </c>
      <c r="K106" s="200">
        <f t="shared" si="60"/>
        <v>0</v>
      </c>
      <c r="L106" s="357">
        <v>0</v>
      </c>
      <c r="M106" s="186">
        <v>0</v>
      </c>
      <c r="N106" s="186">
        <f t="shared" si="61"/>
        <v>0</v>
      </c>
      <c r="O106" s="200">
        <f t="shared" si="62"/>
        <v>0</v>
      </c>
      <c r="P106" s="357">
        <v>0</v>
      </c>
      <c r="Q106" s="186">
        <v>0</v>
      </c>
      <c r="R106" s="186">
        <f t="shared" si="63"/>
        <v>0</v>
      </c>
      <c r="S106" s="200">
        <f t="shared" si="64"/>
        <v>0</v>
      </c>
      <c r="T106" s="186"/>
      <c r="U106" s="186">
        <f t="shared" si="65"/>
        <v>363297.7</v>
      </c>
      <c r="V106" s="358">
        <f t="shared" si="66"/>
        <v>0</v>
      </c>
    </row>
    <row r="107" spans="1:23" s="6" customFormat="1">
      <c r="B107" s="2" t="s">
        <v>280</v>
      </c>
      <c r="C107" s="2"/>
      <c r="D107" s="66" t="s">
        <v>273</v>
      </c>
      <c r="E107" s="200">
        <f>SUMIFS('305 Inputs'!$F:$F,'305 Inputs'!$I:$I,$D107,'305 Inputs'!$C:$C,$D$98)</f>
        <v>447812.01</v>
      </c>
      <c r="F107" s="186"/>
      <c r="G107" s="186">
        <f>-E107</f>
        <v>-447812.01</v>
      </c>
      <c r="H107" s="186">
        <v>0</v>
      </c>
      <c r="I107" s="186">
        <v>0</v>
      </c>
      <c r="J107" s="186">
        <f t="shared" si="59"/>
        <v>-447812.01</v>
      </c>
      <c r="K107" s="200">
        <f t="shared" si="60"/>
        <v>0</v>
      </c>
      <c r="L107" s="357">
        <v>0</v>
      </c>
      <c r="M107" s="186">
        <v>0</v>
      </c>
      <c r="N107" s="186">
        <f t="shared" si="61"/>
        <v>0</v>
      </c>
      <c r="O107" s="200">
        <f t="shared" si="62"/>
        <v>0</v>
      </c>
      <c r="P107" s="357">
        <v>0</v>
      </c>
      <c r="Q107" s="186">
        <v>0</v>
      </c>
      <c r="R107" s="186">
        <f t="shared" si="63"/>
        <v>0</v>
      </c>
      <c r="S107" s="200">
        <f t="shared" si="64"/>
        <v>0</v>
      </c>
      <c r="T107" s="186"/>
      <c r="U107" s="186">
        <f t="shared" si="65"/>
        <v>-447812.01</v>
      </c>
      <c r="V107" s="358">
        <f t="shared" si="66"/>
        <v>0</v>
      </c>
      <c r="W107" s="7"/>
    </row>
    <row r="108" spans="1:23" s="6" customFormat="1">
      <c r="B108" s="2" t="s">
        <v>276</v>
      </c>
      <c r="C108" s="2"/>
      <c r="D108" s="66" t="s">
        <v>274</v>
      </c>
      <c r="E108" s="200">
        <f>SUMIFS('305 Inputs'!$F:$F,'305 Inputs'!$I:$I,$D108,'305 Inputs'!$C:$C,$D$98)</f>
        <v>1046.21</v>
      </c>
      <c r="F108" s="186"/>
      <c r="G108" s="186">
        <f>-E108</f>
        <v>-1046.21</v>
      </c>
      <c r="H108" s="186">
        <v>0</v>
      </c>
      <c r="I108" s="186">
        <v>0</v>
      </c>
      <c r="J108" s="186">
        <f t="shared" si="59"/>
        <v>-1046.21</v>
      </c>
      <c r="K108" s="200">
        <f t="shared" si="60"/>
        <v>0</v>
      </c>
      <c r="L108" s="357">
        <v>0</v>
      </c>
      <c r="M108" s="186">
        <v>0</v>
      </c>
      <c r="N108" s="186">
        <f t="shared" si="61"/>
        <v>0</v>
      </c>
      <c r="O108" s="200">
        <f t="shared" si="62"/>
        <v>0</v>
      </c>
      <c r="P108" s="357">
        <v>0</v>
      </c>
      <c r="Q108" s="186">
        <v>0</v>
      </c>
      <c r="R108" s="186">
        <f t="shared" si="63"/>
        <v>0</v>
      </c>
      <c r="S108" s="200">
        <f t="shared" si="64"/>
        <v>0</v>
      </c>
      <c r="T108" s="186"/>
      <c r="U108" s="186">
        <f t="shared" si="65"/>
        <v>-1046.21</v>
      </c>
      <c r="V108" s="358">
        <f t="shared" si="66"/>
        <v>0</v>
      </c>
      <c r="W108" s="7"/>
    </row>
    <row r="109" spans="1:23" s="6" customFormat="1">
      <c r="B109" s="2" t="s">
        <v>89</v>
      </c>
      <c r="C109" s="2"/>
      <c r="D109" s="66" t="s">
        <v>140</v>
      </c>
      <c r="E109" s="200">
        <f>SUMIFS('305 Inputs'!$F:$F,'305 Inputs'!$I:$I,$D109,'305 Inputs'!$C:$C,$D$98)</f>
        <v>-28399.55</v>
      </c>
      <c r="F109" s="186"/>
      <c r="G109" s="186">
        <v>0</v>
      </c>
      <c r="H109" s="186">
        <f>-E109</f>
        <v>28399.55</v>
      </c>
      <c r="I109" s="186">
        <v>0</v>
      </c>
      <c r="J109" s="186">
        <f t="shared" si="59"/>
        <v>28399.55</v>
      </c>
      <c r="K109" s="200">
        <f t="shared" si="60"/>
        <v>0</v>
      </c>
      <c r="L109" s="357">
        <v>0</v>
      </c>
      <c r="M109" s="186">
        <v>0</v>
      </c>
      <c r="N109" s="186">
        <f t="shared" si="61"/>
        <v>0</v>
      </c>
      <c r="O109" s="200">
        <f t="shared" si="62"/>
        <v>0</v>
      </c>
      <c r="P109" s="357">
        <v>0</v>
      </c>
      <c r="Q109" s="186">
        <v>0</v>
      </c>
      <c r="R109" s="186">
        <f t="shared" si="63"/>
        <v>0</v>
      </c>
      <c r="S109" s="200">
        <f t="shared" si="64"/>
        <v>0</v>
      </c>
      <c r="T109" s="186"/>
      <c r="U109" s="186">
        <f t="shared" si="65"/>
        <v>28399.55</v>
      </c>
      <c r="V109" s="358">
        <f t="shared" si="66"/>
        <v>0</v>
      </c>
      <c r="W109" s="7"/>
    </row>
    <row r="110" spans="1:23" s="6" customFormat="1">
      <c r="B110" s="2" t="s">
        <v>152</v>
      </c>
      <c r="C110" s="2"/>
      <c r="D110" s="66" t="s">
        <v>225</v>
      </c>
      <c r="E110" s="200">
        <f>SUMIFS('305 Inputs'!$F:$F,'305 Inputs'!$I:$I,$D110,'305 Inputs'!$C:$C,$D$98)</f>
        <v>100967.39</v>
      </c>
      <c r="F110" s="186"/>
      <c r="G110" s="186">
        <v>0</v>
      </c>
      <c r="H110" s="186">
        <f>-E110</f>
        <v>-100967.39</v>
      </c>
      <c r="I110" s="186">
        <v>0</v>
      </c>
      <c r="J110" s="186">
        <f t="shared" si="59"/>
        <v>-100967.39</v>
      </c>
      <c r="K110" s="200">
        <f t="shared" si="60"/>
        <v>0</v>
      </c>
      <c r="L110" s="357">
        <v>0</v>
      </c>
      <c r="M110" s="186">
        <v>0</v>
      </c>
      <c r="N110" s="186">
        <f t="shared" si="61"/>
        <v>0</v>
      </c>
      <c r="O110" s="200">
        <f t="shared" si="62"/>
        <v>0</v>
      </c>
      <c r="P110" s="357">
        <v>0</v>
      </c>
      <c r="Q110" s="186">
        <v>0</v>
      </c>
      <c r="R110" s="186">
        <f t="shared" si="63"/>
        <v>0</v>
      </c>
      <c r="S110" s="200">
        <f t="shared" si="64"/>
        <v>0</v>
      </c>
      <c r="T110" s="186"/>
      <c r="U110" s="186">
        <f t="shared" si="65"/>
        <v>-100967.39</v>
      </c>
      <c r="V110" s="358">
        <f t="shared" si="66"/>
        <v>0</v>
      </c>
      <c r="W110" s="7"/>
    </row>
    <row r="111" spans="1:23" s="6" customFormat="1">
      <c r="B111" s="2" t="s">
        <v>406</v>
      </c>
      <c r="C111" s="2"/>
      <c r="D111" s="66" t="s">
        <v>407</v>
      </c>
      <c r="E111" s="200">
        <f>SUMIFS('305 Inputs'!$F:$F,'305 Inputs'!$I:$I,$D111,'305 Inputs'!$C:$C,$D$98)</f>
        <v>0</v>
      </c>
      <c r="F111" s="186"/>
      <c r="G111" s="186">
        <f>-E111</f>
        <v>0</v>
      </c>
      <c r="H111" s="186">
        <v>0</v>
      </c>
      <c r="I111" s="186">
        <v>0</v>
      </c>
      <c r="J111" s="186">
        <f t="shared" si="59"/>
        <v>0</v>
      </c>
      <c r="K111" s="200">
        <f t="shared" si="60"/>
        <v>0</v>
      </c>
      <c r="L111" s="357">
        <v>0</v>
      </c>
      <c r="M111" s="186">
        <v>0</v>
      </c>
      <c r="N111" s="186">
        <f t="shared" si="61"/>
        <v>0</v>
      </c>
      <c r="O111" s="200">
        <f t="shared" si="62"/>
        <v>0</v>
      </c>
      <c r="P111" s="357"/>
      <c r="Q111" s="186"/>
      <c r="R111" s="186"/>
      <c r="S111" s="200">
        <f t="shared" si="64"/>
        <v>0</v>
      </c>
      <c r="T111" s="186"/>
      <c r="U111" s="186">
        <f t="shared" si="65"/>
        <v>0</v>
      </c>
      <c r="V111" s="358">
        <f t="shared" si="66"/>
        <v>0</v>
      </c>
      <c r="W111" s="7"/>
    </row>
    <row r="112" spans="1:23" s="6" customFormat="1">
      <c r="B112" s="2" t="s">
        <v>405</v>
      </c>
      <c r="C112" s="2"/>
      <c r="D112" s="66" t="s">
        <v>408</v>
      </c>
      <c r="E112" s="200">
        <f>SUMIFS('305 Inputs'!$F:$F,'305 Inputs'!$I:$I,$D112,'305 Inputs'!$C:$C,$D$98)</f>
        <v>-937011.72</v>
      </c>
      <c r="F112" s="186"/>
      <c r="G112" s="186">
        <f>-E112</f>
        <v>937011.72</v>
      </c>
      <c r="H112" s="186">
        <v>0</v>
      </c>
      <c r="I112" s="186">
        <v>0</v>
      </c>
      <c r="J112" s="186">
        <f t="shared" si="59"/>
        <v>937011.72</v>
      </c>
      <c r="K112" s="200">
        <f t="shared" si="60"/>
        <v>0</v>
      </c>
      <c r="L112" s="357">
        <v>0</v>
      </c>
      <c r="M112" s="186">
        <v>0</v>
      </c>
      <c r="N112" s="186">
        <f t="shared" si="61"/>
        <v>0</v>
      </c>
      <c r="O112" s="200">
        <f t="shared" si="62"/>
        <v>0</v>
      </c>
      <c r="P112" s="357"/>
      <c r="Q112" s="186"/>
      <c r="R112" s="186"/>
      <c r="S112" s="200">
        <f t="shared" si="64"/>
        <v>0</v>
      </c>
      <c r="T112" s="186"/>
      <c r="U112" s="186">
        <f t="shared" si="65"/>
        <v>937011.72</v>
      </c>
      <c r="V112" s="358">
        <f t="shared" si="66"/>
        <v>0</v>
      </c>
      <c r="W112" s="7"/>
    </row>
    <row r="113" spans="1:23" s="6" customFormat="1">
      <c r="B113" s="2"/>
      <c r="C113" s="2"/>
      <c r="D113" s="66"/>
      <c r="E113" s="200"/>
      <c r="F113" s="186"/>
      <c r="G113" s="186"/>
      <c r="H113" s="186"/>
      <c r="I113" s="186"/>
      <c r="J113" s="186"/>
      <c r="K113" s="200"/>
      <c r="L113" s="357"/>
      <c r="M113" s="16"/>
      <c r="N113" s="186"/>
      <c r="O113" s="200"/>
      <c r="P113" s="357"/>
      <c r="Q113" s="16"/>
      <c r="R113" s="186"/>
      <c r="S113" s="200"/>
      <c r="T113" s="186"/>
      <c r="U113" s="186"/>
      <c r="V113" s="358"/>
      <c r="W113" s="7"/>
    </row>
    <row r="114" spans="1:23" s="6" customFormat="1">
      <c r="B114" s="2" t="s">
        <v>73</v>
      </c>
      <c r="C114" s="2"/>
      <c r="D114" s="66" t="s">
        <v>141</v>
      </c>
      <c r="E114" s="200">
        <f>SUMIFS('305 Inputs'!$F:$F,'305 Inputs'!$I:$I,$D114,'305 Inputs'!$C:$C,$D$98)</f>
        <v>236000</v>
      </c>
      <c r="F114" s="186">
        <f>-F101</f>
        <v>-236000</v>
      </c>
      <c r="G114" s="186">
        <v>0</v>
      </c>
      <c r="H114" s="186">
        <v>0</v>
      </c>
      <c r="I114" s="186">
        <v>0</v>
      </c>
      <c r="J114" s="186">
        <f>SUM(F114:I114)</f>
        <v>-236000</v>
      </c>
      <c r="K114" s="200">
        <f>E114+J114</f>
        <v>0</v>
      </c>
      <c r="L114" s="357">
        <v>0</v>
      </c>
      <c r="M114" s="186">
        <v>0</v>
      </c>
      <c r="N114" s="186">
        <f>SUM(M114:M114)</f>
        <v>0</v>
      </c>
      <c r="O114" s="200">
        <f>N114+K114</f>
        <v>0</v>
      </c>
      <c r="P114" s="357">
        <v>0</v>
      </c>
      <c r="Q114" s="186">
        <v>0</v>
      </c>
      <c r="R114" s="186">
        <f>SUM(Q114:Q114)</f>
        <v>0</v>
      </c>
      <c r="S114" s="200">
        <f>R114+O114</f>
        <v>0</v>
      </c>
      <c r="T114" s="186"/>
      <c r="U114" s="186">
        <f>J114+N114+R114</f>
        <v>-236000</v>
      </c>
      <c r="V114" s="358">
        <f>+E114+U114</f>
        <v>0</v>
      </c>
      <c r="W114" s="7"/>
    </row>
    <row r="115" spans="1:23" s="6" customFormat="1">
      <c r="A115" s="2"/>
      <c r="D115" s="66"/>
      <c r="E115" s="200"/>
      <c r="F115" s="186"/>
      <c r="G115" s="186"/>
      <c r="H115" s="186"/>
      <c r="I115" s="186"/>
      <c r="J115" s="186"/>
      <c r="K115" s="200"/>
      <c r="L115" s="186"/>
      <c r="M115" s="186"/>
      <c r="N115" s="186"/>
      <c r="O115" s="200"/>
      <c r="P115" s="186"/>
      <c r="Q115" s="186"/>
      <c r="R115" s="186"/>
      <c r="S115" s="200"/>
      <c r="T115" s="186"/>
      <c r="U115" s="186"/>
      <c r="V115" s="186"/>
      <c r="W115" s="7"/>
    </row>
    <row r="116" spans="1:23">
      <c r="B116" s="18" t="s">
        <v>8</v>
      </c>
      <c r="C116" s="19"/>
      <c r="D116" s="323"/>
      <c r="E116" s="201">
        <f t="shared" ref="E116:S116" si="67">E101+E103+SUM(E105:E114)</f>
        <v>12749857.010000002</v>
      </c>
      <c r="F116" s="191">
        <f>SUM(F101,F114)</f>
        <v>0</v>
      </c>
      <c r="G116" s="191">
        <f t="shared" si="67"/>
        <v>1910758.9394399999</v>
      </c>
      <c r="H116" s="191">
        <f t="shared" si="67"/>
        <v>692110.70000000007</v>
      </c>
      <c r="I116" s="191">
        <f t="shared" si="67"/>
        <v>0</v>
      </c>
      <c r="J116" s="191">
        <f t="shared" si="67"/>
        <v>2602869.6394399996</v>
      </c>
      <c r="K116" s="201">
        <f t="shared" si="67"/>
        <v>15352726.649440002</v>
      </c>
      <c r="L116" s="191">
        <f t="shared" si="67"/>
        <v>0</v>
      </c>
      <c r="M116" s="191">
        <f t="shared" si="67"/>
        <v>0</v>
      </c>
      <c r="N116" s="191">
        <f t="shared" si="67"/>
        <v>0</v>
      </c>
      <c r="O116" s="201">
        <f t="shared" si="67"/>
        <v>15352726.649440002</v>
      </c>
      <c r="P116" s="191">
        <f t="shared" si="67"/>
        <v>0</v>
      </c>
      <c r="Q116" s="191">
        <f t="shared" si="67"/>
        <v>0</v>
      </c>
      <c r="R116" s="191">
        <f t="shared" si="67"/>
        <v>0</v>
      </c>
      <c r="S116" s="201">
        <f t="shared" si="67"/>
        <v>15352726.649440002</v>
      </c>
      <c r="T116" s="191"/>
      <c r="U116" s="191">
        <f>U101+U103+SUM(U105:U114)</f>
        <v>2602869.6394399996</v>
      </c>
      <c r="V116" s="191">
        <f>V101+V103+SUM(V105:V114)</f>
        <v>15352726.649440002</v>
      </c>
      <c r="W116" s="5"/>
    </row>
    <row r="117" spans="1:23">
      <c r="E117" s="199"/>
      <c r="F117" s="16"/>
      <c r="G117" s="16" t="s">
        <v>29</v>
      </c>
      <c r="H117" s="16"/>
      <c r="I117" s="16"/>
      <c r="J117" s="16"/>
      <c r="K117" s="199"/>
      <c r="L117" s="16"/>
      <c r="M117" s="16"/>
      <c r="N117" s="16"/>
      <c r="O117" s="199"/>
      <c r="P117" s="16"/>
      <c r="Q117" s="16"/>
      <c r="R117" s="16"/>
      <c r="S117" s="199"/>
      <c r="T117" s="16"/>
      <c r="U117" s="16"/>
      <c r="V117" s="73"/>
    </row>
    <row r="118" spans="1:23">
      <c r="B118" s="3"/>
      <c r="C118" s="3"/>
      <c r="E118" s="199"/>
      <c r="F118" s="16"/>
      <c r="G118" s="16"/>
      <c r="H118" s="16"/>
      <c r="I118" s="16"/>
      <c r="J118" s="16"/>
      <c r="K118" s="199"/>
      <c r="L118" s="16"/>
      <c r="M118" s="16"/>
      <c r="N118" s="16"/>
      <c r="O118" s="199"/>
      <c r="P118" s="16"/>
      <c r="Q118" s="16"/>
      <c r="R118" s="16"/>
      <c r="S118" s="199"/>
      <c r="T118" s="16"/>
      <c r="U118" s="16"/>
      <c r="V118" s="73"/>
    </row>
    <row r="119" spans="1:23">
      <c r="A119" s="3" t="s">
        <v>34</v>
      </c>
      <c r="D119" s="155" t="s">
        <v>462</v>
      </c>
      <c r="E119" s="203"/>
      <c r="F119" s="4"/>
      <c r="H119" s="4"/>
      <c r="I119" s="4"/>
      <c r="K119" s="203"/>
      <c r="L119" s="4"/>
      <c r="M119" s="4"/>
      <c r="N119" s="4"/>
      <c r="O119" s="199"/>
      <c r="P119" s="4"/>
      <c r="Q119" s="4"/>
      <c r="R119" s="4"/>
      <c r="S119" s="199"/>
      <c r="T119" s="16"/>
      <c r="W119" s="210"/>
    </row>
    <row r="120" spans="1:23">
      <c r="B120" s="198" t="s">
        <v>58</v>
      </c>
      <c r="C120" s="198"/>
      <c r="D120" s="66">
        <v>52</v>
      </c>
      <c r="E120" s="199">
        <f>SUMIFS('305 Inputs'!$F:$F,'305 Inputs'!$I:$I,$D120,'305 Inputs'!$C:$C,$D$119)</f>
        <v>4180.96</v>
      </c>
      <c r="F120" s="16">
        <f>E120/$E$126*$E$134</f>
        <v>-909.83932767246199</v>
      </c>
      <c r="G120" s="16">
        <f>-SUMIFS('WA SBC'!$O:$O,'WA SBC'!$B:$B,$D120,'WA SBC'!$A:$A,$D$119)-SUMIFS('WA Decoupling'!O:O,'WA Decoupling'!A:A,$D$119,'WA Decoupling'!B:B,$D120)-SUMIFS('WA PCAM'!$P:$P,'WA PCAM'!$C:$C,$D120,'WA PCAM'!$B:$B,$D$119)-SUMIFS('WA FTAA'!$O:$O,'WA FTAA'!$B:$B,$D120,'WA FTAA'!$A:$A,$D$119)</f>
        <v>70.13321999999998</v>
      </c>
      <c r="H120" s="16">
        <f>-SUMIFS('305 Inputs'!$F:$F,'305 Inputs'!$I:$I,$D120,'305 Inputs'!$C:$C,$D$119,'305 Inputs'!$D:$D,"B")</f>
        <v>0</v>
      </c>
      <c r="I120" s="16">
        <v>0</v>
      </c>
      <c r="J120" s="16">
        <f>SUM(F120:I120)</f>
        <v>-839.70610767246205</v>
      </c>
      <c r="K120" s="199">
        <f t="shared" ref="K120:K125" si="68">E120+J120</f>
        <v>3341.2538923275379</v>
      </c>
      <c r="L120" s="356">
        <v>0</v>
      </c>
      <c r="M120" s="16">
        <f t="shared" ref="M120:M125" si="69">ROUND(K120*L120*(($Y$7-$Y$10)/($Y$7+$Y$10*L120)),0)</f>
        <v>0</v>
      </c>
      <c r="N120" s="16">
        <f t="shared" ref="N120:N125" si="70">SUM(M120:M120)</f>
        <v>0</v>
      </c>
      <c r="O120" s="199">
        <f t="shared" ref="O120:O125" si="71">N120+K120</f>
        <v>3341.2538923275379</v>
      </c>
      <c r="P120" s="356">
        <v>0</v>
      </c>
      <c r="Q120" s="16">
        <f t="shared" ref="Q120:Q125" si="72">ROUND(O120*P120*($Y$17/$Y$14),0)</f>
        <v>0</v>
      </c>
      <c r="R120" s="16">
        <f t="shared" ref="R120:R125" si="73">SUM(Q120:Q120)</f>
        <v>0</v>
      </c>
      <c r="S120" s="199">
        <f t="shared" ref="S120:S125" si="74">R120+O120</f>
        <v>3341.2538923275379</v>
      </c>
      <c r="T120" s="16"/>
      <c r="U120" s="16">
        <f t="shared" ref="U120:U125" si="75">J120+N120+R120</f>
        <v>-839.70610767246205</v>
      </c>
      <c r="V120" s="73">
        <f t="shared" ref="V120:V125" si="76">+E120+U120</f>
        <v>3341.2538923275379</v>
      </c>
      <c r="W120" s="5"/>
    </row>
    <row r="121" spans="1:23">
      <c r="B121" s="198" t="s">
        <v>59</v>
      </c>
      <c r="C121" s="198"/>
      <c r="D121" s="66" t="s">
        <v>146</v>
      </c>
      <c r="E121" s="199">
        <f>SUMIFS('305 Inputs'!$F:$F,'305 Inputs'!$I:$I,$D121,'305 Inputs'!$C:$C,$D$119)</f>
        <v>190991.81</v>
      </c>
      <c r="F121" s="16">
        <f t="shared" ref="F121:F125" si="77">E121/$E$126*$E$134</f>
        <v>-41562.669817780268</v>
      </c>
      <c r="G121" s="16">
        <f>-SUMIFS('WA SBC'!$O:$O,'WA SBC'!$B:$B,$D121,'WA SBC'!$A:$A,$D$119)-SUMIFS('WA Decoupling'!O:O,'WA Decoupling'!A:A,$D$119,'WA Decoupling'!B:B,$D121)-SUMIFS('WA PCAM'!$P:$P,'WA PCAM'!$C:$C,$D121,'WA PCAM'!$B:$B,$D$119)-SUMIFS('WA FTAA'!$O:$O,'WA FTAA'!$B:$B,$D121,'WA FTAA'!$A:$A,$D$119)</f>
        <v>5053.2299500000008</v>
      </c>
      <c r="H121" s="16">
        <f>-SUMIFS('305 Inputs'!$F:$F,'305 Inputs'!$I:$I,$D121,'305 Inputs'!$C:$C,$D$119,'305 Inputs'!$D:$D,"B")</f>
        <v>0</v>
      </c>
      <c r="I121" s="16">
        <v>0</v>
      </c>
      <c r="J121" s="16">
        <f t="shared" ref="J121:J125" si="78">SUM(F121:I121)</f>
        <v>-36509.439867780267</v>
      </c>
      <c r="K121" s="199">
        <f t="shared" si="68"/>
        <v>154482.37013221974</v>
      </c>
      <c r="L121" s="356">
        <v>0</v>
      </c>
      <c r="M121" s="16">
        <f t="shared" si="69"/>
        <v>0</v>
      </c>
      <c r="N121" s="16">
        <f t="shared" si="70"/>
        <v>0</v>
      </c>
      <c r="O121" s="199">
        <f t="shared" si="71"/>
        <v>154482.37013221974</v>
      </c>
      <c r="P121" s="356">
        <v>0</v>
      </c>
      <c r="Q121" s="16">
        <f t="shared" si="72"/>
        <v>0</v>
      </c>
      <c r="R121" s="16">
        <f t="shared" si="73"/>
        <v>0</v>
      </c>
      <c r="S121" s="199">
        <f t="shared" si="74"/>
        <v>154482.37013221974</v>
      </c>
      <c r="T121" s="16"/>
      <c r="U121" s="16">
        <f t="shared" si="75"/>
        <v>-36509.439867780267</v>
      </c>
      <c r="V121" s="73">
        <f t="shared" si="76"/>
        <v>154482.37013221974</v>
      </c>
      <c r="W121" s="5"/>
    </row>
    <row r="122" spans="1:23">
      <c r="B122" s="198" t="s">
        <v>60</v>
      </c>
      <c r="C122" s="198"/>
      <c r="D122" s="66" t="s">
        <v>147</v>
      </c>
      <c r="E122" s="199">
        <f>SUMIFS('305 Inputs'!$F:$F,'305 Inputs'!$I:$I,$D122,'305 Inputs'!$C:$C,$D$119)</f>
        <v>51077.56</v>
      </c>
      <c r="F122" s="16">
        <f t="shared" si="77"/>
        <v>-11115.239765400729</v>
      </c>
      <c r="G122" s="16">
        <f>-SUMIFS('WA SBC'!$O:$O,'WA SBC'!$B:$B,$D122,'WA SBC'!$A:$A,$D$119)-SUMIFS('WA Decoupling'!O:O,'WA Decoupling'!A:A,$D$119,'WA Decoupling'!B:B,$D122)-SUMIFS('WA PCAM'!$P:$P,'WA PCAM'!$C:$C,$D122,'WA PCAM'!$B:$B,$D$119)-SUMIFS('WA FTAA'!$O:$O,'WA FTAA'!$B:$B,$D122,'WA FTAA'!$A:$A,$D$119)</f>
        <v>0</v>
      </c>
      <c r="H122" s="16">
        <f>-SUMIFS('305 Inputs'!$F:$F,'305 Inputs'!$I:$I,$D122,'305 Inputs'!$C:$C,$D$119,'305 Inputs'!$D:$D,"B")</f>
        <v>0</v>
      </c>
      <c r="I122" s="16">
        <v>0</v>
      </c>
      <c r="J122" s="16">
        <f t="shared" si="78"/>
        <v>-11115.239765400729</v>
      </c>
      <c r="K122" s="199">
        <f t="shared" si="68"/>
        <v>39962.320234599269</v>
      </c>
      <c r="L122" s="356">
        <v>0</v>
      </c>
      <c r="M122" s="16">
        <f t="shared" si="69"/>
        <v>0</v>
      </c>
      <c r="N122" s="16">
        <f t="shared" si="70"/>
        <v>0</v>
      </c>
      <c r="O122" s="199">
        <f t="shared" si="71"/>
        <v>39962.320234599269</v>
      </c>
      <c r="P122" s="356">
        <f>$P$121</f>
        <v>0</v>
      </c>
      <c r="Q122" s="16">
        <f t="shared" si="72"/>
        <v>0</v>
      </c>
      <c r="R122" s="16">
        <f t="shared" si="73"/>
        <v>0</v>
      </c>
      <c r="S122" s="199">
        <f t="shared" si="74"/>
        <v>39962.320234599269</v>
      </c>
      <c r="T122" s="16"/>
      <c r="U122" s="16">
        <f t="shared" si="75"/>
        <v>-11115.239765400729</v>
      </c>
      <c r="V122" s="73">
        <f t="shared" si="76"/>
        <v>39962.320234599269</v>
      </c>
      <c r="W122" s="5"/>
    </row>
    <row r="123" spans="1:23">
      <c r="B123" s="198" t="s">
        <v>61</v>
      </c>
      <c r="C123" s="198"/>
      <c r="D123" s="66">
        <v>51</v>
      </c>
      <c r="E123" s="199">
        <f>SUMIFS('305 Inputs'!$F:$F,'305 Inputs'!$I:$I,$D123,'305 Inputs'!$C:$C,$D$119)</f>
        <v>738217.54</v>
      </c>
      <c r="F123" s="16">
        <f t="shared" si="77"/>
        <v>-160647.16004688368</v>
      </c>
      <c r="G123" s="16">
        <f>-SUMIFS('WA SBC'!$O:$O,'WA SBC'!$B:$B,$D123,'WA SBC'!$A:$A,$D$119)-SUMIFS('WA Decoupling'!O:O,'WA Decoupling'!A:A,$D$119,'WA Decoupling'!B:B,$D123)-SUMIFS('WA PCAM'!$P:$P,'WA PCAM'!$C:$C,$D123,'WA PCAM'!$B:$B,$D$119)-SUMIFS('WA FTAA'!$O:$O,'WA FTAA'!$B:$B,$D123,'WA FTAA'!$A:$A,$D$119)</f>
        <v>4619.9265700000005</v>
      </c>
      <c r="H123" s="16">
        <f>-SUMIFS('305 Inputs'!$F:$F,'305 Inputs'!$I:$I,$D123,'305 Inputs'!$C:$C,$D$119,'305 Inputs'!$D:$D,"B")</f>
        <v>0</v>
      </c>
      <c r="I123" s="16">
        <v>0</v>
      </c>
      <c r="J123" s="16">
        <f t="shared" si="78"/>
        <v>-156027.23347688367</v>
      </c>
      <c r="K123" s="199">
        <f t="shared" si="68"/>
        <v>582190.30652311631</v>
      </c>
      <c r="L123" s="356">
        <v>0</v>
      </c>
      <c r="M123" s="16">
        <f t="shared" si="69"/>
        <v>0</v>
      </c>
      <c r="N123" s="16">
        <f t="shared" si="70"/>
        <v>0</v>
      </c>
      <c r="O123" s="199">
        <f t="shared" si="71"/>
        <v>582190.30652311631</v>
      </c>
      <c r="P123" s="356">
        <v>0</v>
      </c>
      <c r="Q123" s="16">
        <f t="shared" si="72"/>
        <v>0</v>
      </c>
      <c r="R123" s="16">
        <f t="shared" si="73"/>
        <v>0</v>
      </c>
      <c r="S123" s="199">
        <f t="shared" si="74"/>
        <v>582190.30652311631</v>
      </c>
      <c r="T123" s="16"/>
      <c r="U123" s="16">
        <f t="shared" si="75"/>
        <v>-156027.23347688367</v>
      </c>
      <c r="V123" s="73">
        <f t="shared" si="76"/>
        <v>582190.30652311631</v>
      </c>
      <c r="W123" s="5"/>
    </row>
    <row r="124" spans="1:23" s="6" customFormat="1">
      <c r="B124" s="198" t="s">
        <v>62</v>
      </c>
      <c r="C124" s="198"/>
      <c r="D124" s="66">
        <v>57</v>
      </c>
      <c r="E124" s="199">
        <f>SUMIFS('305 Inputs'!$F:$F,'305 Inputs'!$I:$I,$D124,'305 Inputs'!$C:$C,$D$119)</f>
        <v>95330.42</v>
      </c>
      <c r="F124" s="16">
        <f t="shared" si="77"/>
        <v>-20745.322901805666</v>
      </c>
      <c r="G124" s="16">
        <f>-SUMIFS('WA SBC'!$O:$O,'WA SBC'!$B:$B,$D124,'WA SBC'!$A:$A,$D$119)-SUMIFS('WA Decoupling'!O:O,'WA Decoupling'!A:A,$D$119,'WA Decoupling'!B:B,$D124)-SUMIFS('WA PCAM'!$P:$P,'WA PCAM'!$C:$C,$D124,'WA PCAM'!$B:$B,$D$119)-SUMIFS('WA FTAA'!$O:$O,'WA FTAA'!$B:$B,$D124,'WA FTAA'!$A:$A,$D$119)</f>
        <v>1516.58006</v>
      </c>
      <c r="H124" s="16">
        <f>-SUMIFS('305 Inputs'!$F:$F,'305 Inputs'!$I:$I,$D124,'305 Inputs'!$C:$C,$D$119,'305 Inputs'!$D:$D,"B")</f>
        <v>0</v>
      </c>
      <c r="I124" s="16">
        <v>0</v>
      </c>
      <c r="J124" s="16">
        <f t="shared" si="78"/>
        <v>-19228.742841805666</v>
      </c>
      <c r="K124" s="199">
        <f t="shared" si="68"/>
        <v>76101.677158194332</v>
      </c>
      <c r="L124" s="356">
        <v>0</v>
      </c>
      <c r="M124" s="16">
        <f t="shared" si="69"/>
        <v>0</v>
      </c>
      <c r="N124" s="16">
        <f t="shared" si="70"/>
        <v>0</v>
      </c>
      <c r="O124" s="199">
        <f t="shared" si="71"/>
        <v>76101.677158194332</v>
      </c>
      <c r="P124" s="356">
        <v>0</v>
      </c>
      <c r="Q124" s="16">
        <f t="shared" si="72"/>
        <v>0</v>
      </c>
      <c r="R124" s="16">
        <f t="shared" si="73"/>
        <v>0</v>
      </c>
      <c r="S124" s="199">
        <f t="shared" si="74"/>
        <v>76101.677158194332</v>
      </c>
      <c r="T124" s="16"/>
      <c r="U124" s="16">
        <f t="shared" si="75"/>
        <v>-19228.742841805666</v>
      </c>
      <c r="V124" s="73">
        <f t="shared" si="76"/>
        <v>76101.677158194332</v>
      </c>
      <c r="W124" s="7"/>
    </row>
    <row r="125" spans="1:23" s="6" customFormat="1">
      <c r="B125" s="198" t="s">
        <v>238</v>
      </c>
      <c r="C125" s="198"/>
      <c r="D125" s="66">
        <v>12</v>
      </c>
      <c r="E125" s="200">
        <f>SUMIFS('305 Inputs'!$F:$F,'305 Inputs'!$I:$I,$D125,'305 Inputs'!$C:$C,$D$119)</f>
        <v>90.84</v>
      </c>
      <c r="F125" s="186">
        <f t="shared" si="77"/>
        <v>-19.76814045715971</v>
      </c>
      <c r="G125" s="186">
        <f>-SUMIFS('WA SBC'!$O:$O,'WA SBC'!$B:$B,$D125,'WA SBC'!$A:$A,$D$119)-SUMIFS('WA Decoupling'!O:O,'WA Decoupling'!A:A,$D$119,'WA Decoupling'!B:B,$D125)-SUMIFS('WA PCAM'!$P:$P,'WA PCAM'!$C:$C,$D125,'WA PCAM'!$B:$B,$D$119)-SUMIFS('WA FTAA'!$O:$O,'WA FTAA'!$B:$B,$D125,'WA FTAA'!$A:$A,$D$119)</f>
        <v>0</v>
      </c>
      <c r="H125" s="186">
        <f>-SUMIFS('305 Inputs'!$F:$F,'305 Inputs'!$I:$I,$D125,'305 Inputs'!$C:$C,$D$119,'305 Inputs'!$D:$D,"B")</f>
        <v>0</v>
      </c>
      <c r="I125" s="186">
        <v>0</v>
      </c>
      <c r="J125" s="186">
        <f t="shared" si="78"/>
        <v>-19.76814045715971</v>
      </c>
      <c r="K125" s="200">
        <f t="shared" si="68"/>
        <v>71.071859542840286</v>
      </c>
      <c r="L125" s="357">
        <v>0</v>
      </c>
      <c r="M125" s="186">
        <f t="shared" si="69"/>
        <v>0</v>
      </c>
      <c r="N125" s="186">
        <f t="shared" si="70"/>
        <v>0</v>
      </c>
      <c r="O125" s="200">
        <f t="shared" si="71"/>
        <v>71.071859542840286</v>
      </c>
      <c r="P125" s="357">
        <v>0</v>
      </c>
      <c r="Q125" s="186">
        <f t="shared" si="72"/>
        <v>0</v>
      </c>
      <c r="R125" s="186">
        <f t="shared" si="73"/>
        <v>0</v>
      </c>
      <c r="S125" s="200">
        <f t="shared" si="74"/>
        <v>71.071859542840286</v>
      </c>
      <c r="T125" s="186"/>
      <c r="U125" s="186">
        <f t="shared" si="75"/>
        <v>-19.76814045715971</v>
      </c>
      <c r="V125" s="358">
        <f t="shared" si="76"/>
        <v>71.071859542840286</v>
      </c>
      <c r="W125" s="7"/>
    </row>
    <row r="126" spans="1:23">
      <c r="B126" s="2" t="s">
        <v>65</v>
      </c>
      <c r="E126" s="199">
        <f>SUM(E120:E125)</f>
        <v>1079889.1300000001</v>
      </c>
      <c r="F126" s="16">
        <f>SUM(F120:F125)</f>
        <v>-234999.99999999997</v>
      </c>
      <c r="G126" s="16">
        <f>SUM(G120:G125)</f>
        <v>11259.8698</v>
      </c>
      <c r="H126" s="16">
        <f>SUM(H120:H125)</f>
        <v>0</v>
      </c>
      <c r="I126" s="16">
        <f>SUM(I120:I124)</f>
        <v>0</v>
      </c>
      <c r="J126" s="16">
        <f>SUM(J120:J124)</f>
        <v>-223720.36205954279</v>
      </c>
      <c r="K126" s="199">
        <f>SUM(K120:K125)</f>
        <v>856148.99980000011</v>
      </c>
      <c r="L126" s="356"/>
      <c r="M126" s="16">
        <f>SUM(M120:M125)</f>
        <v>0</v>
      </c>
      <c r="N126" s="16">
        <f>SUM(N120:N125)</f>
        <v>0</v>
      </c>
      <c r="O126" s="199">
        <f>SUM(O120:O125)</f>
        <v>856148.99980000011</v>
      </c>
      <c r="P126" s="356"/>
      <c r="Q126" s="16">
        <f>SUM(Q120:Q125)</f>
        <v>0</v>
      </c>
      <c r="R126" s="16">
        <f>SUM(R120:R125)</f>
        <v>0</v>
      </c>
      <c r="S126" s="199">
        <f>SUM(S120:S125)</f>
        <v>856148.99980000011</v>
      </c>
      <c r="T126" s="16"/>
      <c r="U126" s="16">
        <f>SUM(U120:U125)</f>
        <v>-223740.13019999996</v>
      </c>
      <c r="V126" s="16">
        <f>SUM(V120:V125)</f>
        <v>856148.99980000011</v>
      </c>
      <c r="W126" s="5"/>
    </row>
    <row r="127" spans="1:23">
      <c r="E127" s="199"/>
      <c r="F127" s="16"/>
      <c r="G127" s="16"/>
      <c r="H127" s="16"/>
      <c r="I127" s="16"/>
      <c r="J127" s="16"/>
      <c r="K127" s="199"/>
      <c r="L127" s="356"/>
      <c r="M127" s="16"/>
      <c r="N127" s="16"/>
      <c r="O127" s="199"/>
      <c r="P127" s="356"/>
      <c r="Q127" s="16"/>
      <c r="R127" s="16"/>
      <c r="S127" s="199"/>
      <c r="T127" s="16"/>
      <c r="U127" s="16"/>
      <c r="V127" s="16"/>
      <c r="W127" s="5"/>
    </row>
    <row r="128" spans="1:23">
      <c r="B128" s="198" t="s">
        <v>32</v>
      </c>
      <c r="C128" s="198"/>
      <c r="D128" s="66" t="s">
        <v>138</v>
      </c>
      <c r="E128" s="200">
        <f>SUMIFS('305 Inputs'!$F:$F,'305 Inputs'!$I:$I,$D128,'305 Inputs'!$C:$C,$D$119)</f>
        <v>0</v>
      </c>
      <c r="F128" s="186"/>
      <c r="G128" s="186">
        <v>0</v>
      </c>
      <c r="H128" s="186">
        <v>0</v>
      </c>
      <c r="I128" s="186">
        <v>0</v>
      </c>
      <c r="J128" s="186">
        <f>SUM(G128:I128)</f>
        <v>0</v>
      </c>
      <c r="K128" s="200">
        <f>E128+J128</f>
        <v>0</v>
      </c>
      <c r="L128" s="357">
        <v>0</v>
      </c>
      <c r="M128" s="186">
        <v>0</v>
      </c>
      <c r="N128" s="186">
        <f>SUM(M128:M128)</f>
        <v>0</v>
      </c>
      <c r="O128" s="200">
        <f>N128+K128</f>
        <v>0</v>
      </c>
      <c r="P128" s="357">
        <v>0</v>
      </c>
      <c r="Q128" s="186">
        <v>0</v>
      </c>
      <c r="R128" s="186">
        <f>SUM(Q128:Q128)</f>
        <v>0</v>
      </c>
      <c r="S128" s="200">
        <f>R128+O128</f>
        <v>0</v>
      </c>
      <c r="T128" s="186"/>
      <c r="U128" s="186">
        <f>J128+N128+R128</f>
        <v>0</v>
      </c>
      <c r="V128" s="358">
        <f>+E128+U128</f>
        <v>0</v>
      </c>
      <c r="W128" s="210"/>
    </row>
    <row r="129" spans="1:23">
      <c r="B129" s="198"/>
      <c r="C129" s="198"/>
      <c r="E129" s="199"/>
      <c r="F129" s="16"/>
      <c r="G129" s="186"/>
      <c r="H129" s="186"/>
      <c r="I129" s="186"/>
      <c r="J129" s="186"/>
      <c r="K129" s="200"/>
      <c r="L129" s="357"/>
      <c r="M129" s="186"/>
      <c r="N129" s="186"/>
      <c r="O129" s="200"/>
      <c r="P129" s="357"/>
      <c r="Q129" s="186"/>
      <c r="R129" s="186"/>
      <c r="S129" s="200"/>
      <c r="T129" s="186"/>
      <c r="U129" s="186"/>
      <c r="V129" s="358"/>
      <c r="W129" s="210"/>
    </row>
    <row r="130" spans="1:23">
      <c r="B130" s="2" t="s">
        <v>235</v>
      </c>
      <c r="D130" s="66" t="s">
        <v>203</v>
      </c>
      <c r="E130" s="200">
        <f>SUMIFS('305 Inputs'!$F:$F,'305 Inputs'!$I:$I,$D130,'305 Inputs'!$C:$C,$D$119)</f>
        <v>-43449.86</v>
      </c>
      <c r="F130" s="186"/>
      <c r="G130" s="186">
        <f>-E130</f>
        <v>43449.86</v>
      </c>
      <c r="H130" s="186">
        <v>0</v>
      </c>
      <c r="I130" s="186">
        <v>0</v>
      </c>
      <c r="J130" s="186">
        <f>SUM(G130:I130)</f>
        <v>43449.86</v>
      </c>
      <c r="K130" s="200">
        <f>E130+J130</f>
        <v>0</v>
      </c>
      <c r="L130" s="357">
        <v>0</v>
      </c>
      <c r="M130" s="186">
        <v>0</v>
      </c>
      <c r="N130" s="186">
        <f>SUM(M130:M130)</f>
        <v>0</v>
      </c>
      <c r="O130" s="200">
        <f>N130+K130</f>
        <v>0</v>
      </c>
      <c r="P130" s="357">
        <v>0</v>
      </c>
      <c r="Q130" s="186">
        <v>0</v>
      </c>
      <c r="R130" s="186">
        <f>SUM(Q130:Q130)</f>
        <v>0</v>
      </c>
      <c r="S130" s="200">
        <f>R130+O130</f>
        <v>0</v>
      </c>
      <c r="T130" s="186"/>
      <c r="U130" s="186">
        <f>J130+N130+R130</f>
        <v>43449.86</v>
      </c>
      <c r="V130" s="358">
        <f>+E130+U130</f>
        <v>0</v>
      </c>
      <c r="W130" s="210"/>
    </row>
    <row r="131" spans="1:23" s="6" customFormat="1">
      <c r="B131" s="2" t="s">
        <v>280</v>
      </c>
      <c r="C131" s="2"/>
      <c r="D131" s="66" t="s">
        <v>273</v>
      </c>
      <c r="E131" s="200">
        <f>SUMIFS('305 Inputs'!$F:$F,'305 Inputs'!$I:$I,$D131,'305 Inputs'!$C:$C,$D$119)</f>
        <v>18613.95</v>
      </c>
      <c r="F131" s="186"/>
      <c r="G131" s="186">
        <f>-E131</f>
        <v>-18613.95</v>
      </c>
      <c r="H131" s="186">
        <v>0</v>
      </c>
      <c r="I131" s="186">
        <v>0</v>
      </c>
      <c r="J131" s="186">
        <f>SUM(G131:I131)</f>
        <v>-18613.95</v>
      </c>
      <c r="K131" s="200">
        <f>E131+J131</f>
        <v>0</v>
      </c>
      <c r="L131" s="357">
        <v>0</v>
      </c>
      <c r="M131" s="186">
        <v>0</v>
      </c>
      <c r="N131" s="186">
        <f>SUM(M131:M131)</f>
        <v>0</v>
      </c>
      <c r="O131" s="200">
        <f>N131+K131</f>
        <v>0</v>
      </c>
      <c r="P131" s="357">
        <v>0</v>
      </c>
      <c r="Q131" s="186">
        <v>0</v>
      </c>
      <c r="R131" s="186">
        <f>SUM(Q131:Q131)</f>
        <v>0</v>
      </c>
      <c r="S131" s="200">
        <f>R131+O131</f>
        <v>0</v>
      </c>
      <c r="T131" s="186"/>
      <c r="U131" s="186">
        <f>J131+N131+R131</f>
        <v>-18613.95</v>
      </c>
      <c r="V131" s="358">
        <f>+E131+U131</f>
        <v>0</v>
      </c>
      <c r="W131" s="7"/>
    </row>
    <row r="132" spans="1:23" s="6" customFormat="1">
      <c r="B132" s="2" t="s">
        <v>406</v>
      </c>
      <c r="C132" s="2"/>
      <c r="D132" s="66" t="s">
        <v>407</v>
      </c>
      <c r="E132" s="200">
        <f>SUMIFS('305 Inputs'!$F:$F,'305 Inputs'!$I:$I,$D132,'305 Inputs'!$C:$C,$D$119)</f>
        <v>0</v>
      </c>
      <c r="F132" s="186"/>
      <c r="G132" s="186">
        <f t="shared" ref="G132" si="79">-E132</f>
        <v>0</v>
      </c>
      <c r="H132" s="186">
        <v>0</v>
      </c>
      <c r="I132" s="186">
        <v>0</v>
      </c>
      <c r="J132" s="186">
        <f>SUM(G132:I132)</f>
        <v>0</v>
      </c>
      <c r="K132" s="200">
        <f>E132+J132</f>
        <v>0</v>
      </c>
      <c r="L132" s="357">
        <v>0</v>
      </c>
      <c r="M132" s="186">
        <v>0</v>
      </c>
      <c r="N132" s="186">
        <f>SUM(M132:M132)</f>
        <v>0</v>
      </c>
      <c r="O132" s="200">
        <f>N132+K132</f>
        <v>0</v>
      </c>
      <c r="P132" s="357"/>
      <c r="Q132" s="186"/>
      <c r="R132" s="186"/>
      <c r="S132" s="200">
        <f>R132+O132</f>
        <v>0</v>
      </c>
      <c r="T132" s="186"/>
      <c r="U132" s="186">
        <f>J132+N132+R132</f>
        <v>0</v>
      </c>
      <c r="V132" s="358">
        <f>+E132+U132</f>
        <v>0</v>
      </c>
      <c r="W132" s="7"/>
    </row>
    <row r="133" spans="1:23" s="6" customFormat="1">
      <c r="B133" s="2"/>
      <c r="C133" s="2"/>
      <c r="D133" s="66"/>
      <c r="E133" s="200"/>
      <c r="F133" s="186"/>
      <c r="G133" s="186"/>
      <c r="H133" s="186"/>
      <c r="I133" s="186"/>
      <c r="J133" s="186"/>
      <c r="K133" s="200"/>
      <c r="L133" s="357"/>
      <c r="M133" s="186"/>
      <c r="N133" s="186"/>
      <c r="O133" s="200"/>
      <c r="P133" s="357"/>
      <c r="Q133" s="186"/>
      <c r="R133" s="186"/>
      <c r="S133" s="200"/>
      <c r="T133" s="186"/>
      <c r="U133" s="186"/>
      <c r="V133" s="358"/>
      <c r="W133" s="7"/>
    </row>
    <row r="134" spans="1:23" s="6" customFormat="1">
      <c r="B134" s="2" t="s">
        <v>73</v>
      </c>
      <c r="C134" s="2"/>
      <c r="D134" s="66" t="s">
        <v>141</v>
      </c>
      <c r="E134" s="200">
        <f>SUMIFS('305 Inputs'!$F:$F,'305 Inputs'!$I:$I,$D134,'305 Inputs'!$C:$C,$D$119)</f>
        <v>-235000</v>
      </c>
      <c r="F134" s="186">
        <f>-E134</f>
        <v>235000</v>
      </c>
      <c r="G134" s="186">
        <v>0</v>
      </c>
      <c r="H134" s="186">
        <v>0</v>
      </c>
      <c r="I134" s="186">
        <v>0</v>
      </c>
      <c r="J134" s="186">
        <f>SUM(F134:I134)</f>
        <v>235000</v>
      </c>
      <c r="K134" s="200">
        <f>E134+J134</f>
        <v>0</v>
      </c>
      <c r="L134" s="357">
        <v>0</v>
      </c>
      <c r="M134" s="186">
        <v>0</v>
      </c>
      <c r="N134" s="186">
        <f>SUM(M134:M134)</f>
        <v>0</v>
      </c>
      <c r="O134" s="200">
        <f>N134+K134</f>
        <v>0</v>
      </c>
      <c r="P134" s="357">
        <v>0</v>
      </c>
      <c r="Q134" s="186">
        <v>0</v>
      </c>
      <c r="R134" s="186">
        <f>SUM(Q134:Q134)</f>
        <v>0</v>
      </c>
      <c r="S134" s="200">
        <f>R134+O134</f>
        <v>0</v>
      </c>
      <c r="T134" s="186"/>
      <c r="U134" s="186">
        <f>J134+N134+R134</f>
        <v>235000</v>
      </c>
      <c r="V134" s="358">
        <f>+E134+U134</f>
        <v>0</v>
      </c>
      <c r="W134" s="7"/>
    </row>
    <row r="135" spans="1:23" s="6" customFormat="1">
      <c r="A135" s="2"/>
      <c r="D135" s="66"/>
      <c r="E135" s="200"/>
      <c r="F135" s="186"/>
      <c r="G135" s="186"/>
      <c r="H135" s="186"/>
      <c r="I135" s="186"/>
      <c r="J135" s="186"/>
      <c r="K135" s="200"/>
      <c r="L135" s="186"/>
      <c r="M135" s="186"/>
      <c r="N135" s="186"/>
      <c r="O135" s="200"/>
      <c r="P135" s="186"/>
      <c r="Q135" s="186"/>
      <c r="R135" s="186"/>
      <c r="S135" s="200"/>
      <c r="T135" s="186"/>
      <c r="U135" s="186"/>
      <c r="V135" s="186"/>
      <c r="W135" s="7"/>
    </row>
    <row r="136" spans="1:23">
      <c r="B136" s="18" t="s">
        <v>8</v>
      </c>
      <c r="C136" s="19"/>
      <c r="D136" s="323"/>
      <c r="E136" s="201">
        <f t="shared" ref="E136:K136" si="80">E126+E128+SUM(E130:E134)</f>
        <v>820053.22000000009</v>
      </c>
      <c r="F136" s="191">
        <f>SUM(F134,F126)</f>
        <v>0</v>
      </c>
      <c r="G136" s="191">
        <f t="shared" si="80"/>
        <v>36095.779800000004</v>
      </c>
      <c r="H136" s="191">
        <f t="shared" si="80"/>
        <v>0</v>
      </c>
      <c r="I136" s="191">
        <f t="shared" si="80"/>
        <v>0</v>
      </c>
      <c r="J136" s="191">
        <f t="shared" si="80"/>
        <v>36115.547940457211</v>
      </c>
      <c r="K136" s="201">
        <f t="shared" si="80"/>
        <v>856148.99980000011</v>
      </c>
      <c r="L136" s="191" t="s">
        <v>29</v>
      </c>
      <c r="M136" s="191">
        <f>M126+M128+SUM(M130:M134)</f>
        <v>0</v>
      </c>
      <c r="N136" s="191">
        <f>N126+N128+SUM(N130:N134)</f>
        <v>0</v>
      </c>
      <c r="O136" s="201">
        <f>O126+O128+SUM(O130:O134)</f>
        <v>856148.99980000011</v>
      </c>
      <c r="P136" s="191" t="s">
        <v>29</v>
      </c>
      <c r="Q136" s="191">
        <f>Q126+Q128+SUM(Q130:Q134)</f>
        <v>0</v>
      </c>
      <c r="R136" s="191">
        <f>R126+R128+SUM(R130:R134)</f>
        <v>0</v>
      </c>
      <c r="S136" s="201">
        <f>S126+S128+SUM(S130:S134)</f>
        <v>856148.99980000011</v>
      </c>
      <c r="T136" s="191"/>
      <c r="U136" s="191">
        <f>U126+U128+SUM(U130:U134)</f>
        <v>36095.779800000048</v>
      </c>
      <c r="V136" s="191">
        <f>V126+V128+SUM(V130:V134)</f>
        <v>856148.99980000011</v>
      </c>
      <c r="W136" s="5"/>
    </row>
    <row r="137" spans="1:23">
      <c r="E137" s="199"/>
      <c r="F137" s="16"/>
      <c r="G137" s="16"/>
      <c r="H137" s="16"/>
      <c r="I137" s="16"/>
      <c r="J137" s="16"/>
      <c r="K137" s="203"/>
      <c r="L137" s="4"/>
      <c r="M137" s="4"/>
      <c r="N137" s="4" t="s">
        <v>29</v>
      </c>
      <c r="O137" s="199"/>
      <c r="P137" s="4"/>
      <c r="Q137" s="4"/>
      <c r="R137" s="4" t="s">
        <v>29</v>
      </c>
      <c r="S137" s="199"/>
      <c r="T137" s="16"/>
      <c r="U137" s="16"/>
      <c r="V137" s="73"/>
    </row>
    <row r="138" spans="1:23" ht="16.2" thickBot="1">
      <c r="E138" s="199"/>
      <c r="F138" s="16"/>
      <c r="G138" s="16"/>
      <c r="H138" s="16"/>
      <c r="I138" s="204"/>
      <c r="J138" s="16"/>
      <c r="K138" s="203"/>
      <c r="L138" s="4"/>
      <c r="M138" s="4"/>
      <c r="N138" s="4"/>
      <c r="O138" s="199"/>
      <c r="P138" s="4"/>
      <c r="Q138" s="4"/>
      <c r="R138" s="4"/>
      <c r="S138" s="199"/>
      <c r="T138" s="16"/>
      <c r="U138" s="16"/>
      <c r="V138" s="73"/>
    </row>
    <row r="139" spans="1:23" s="8" customFormat="1" ht="16.8" thickTop="1" thickBot="1">
      <c r="A139" s="2"/>
      <c r="B139" s="22" t="s">
        <v>154</v>
      </c>
      <c r="C139" s="325"/>
      <c r="D139" s="324"/>
      <c r="E139" s="205">
        <f t="shared" ref="E139:K139" si="81">E36+E65+E95+E116+E136</f>
        <v>298843491.39000005</v>
      </c>
      <c r="F139" s="194"/>
      <c r="G139" s="194">
        <f t="shared" si="81"/>
        <v>34132486.955527991</v>
      </c>
      <c r="H139" s="194">
        <f t="shared" si="81"/>
        <v>13542671.52</v>
      </c>
      <c r="I139" s="194">
        <f t="shared" si="81"/>
        <v>0</v>
      </c>
      <c r="J139" s="194">
        <f t="shared" si="81"/>
        <v>47675178.243668444</v>
      </c>
      <c r="K139" s="205">
        <f t="shared" si="81"/>
        <v>346518649.86552799</v>
      </c>
      <c r="L139" s="194"/>
      <c r="M139" s="194">
        <f>M36+M65+M95+M116+M136</f>
        <v>0</v>
      </c>
      <c r="N139" s="194">
        <f>N36+N65+N95+N116+N136</f>
        <v>0</v>
      </c>
      <c r="O139" s="205">
        <f>O36+O65+O95+O116+O136</f>
        <v>346518649.86552799</v>
      </c>
      <c r="P139" s="194"/>
      <c r="Q139" s="194">
        <f>Q36+Q65+Q95+Q116+Q136</f>
        <v>0</v>
      </c>
      <c r="R139" s="194">
        <f>R36+R65+R95+R116+R136</f>
        <v>0</v>
      </c>
      <c r="S139" s="205">
        <f>S36+S65+S95+S116+S136</f>
        <v>346518649.86552799</v>
      </c>
      <c r="T139" s="194"/>
      <c r="U139" s="194">
        <f>U36+U65+U95+U116+U136</f>
        <v>47675158.475527987</v>
      </c>
      <c r="V139" s="194">
        <f>V36+V65+V95+V116+V136</f>
        <v>346518649.86552799</v>
      </c>
      <c r="W139" s="11"/>
    </row>
    <row r="140" spans="1:23" ht="16.2" thickTop="1">
      <c r="E140" s="4"/>
      <c r="F140" s="4"/>
      <c r="G140" s="16" t="s">
        <v>29</v>
      </c>
      <c r="H140" s="16"/>
      <c r="I140" s="4" t="s">
        <v>29</v>
      </c>
      <c r="J140" s="4"/>
      <c r="K140" s="16" t="s">
        <v>29</v>
      </c>
      <c r="N140" s="16"/>
      <c r="O140" s="17" t="s">
        <v>29</v>
      </c>
      <c r="P140" s="17"/>
      <c r="Q140" s="17"/>
      <c r="R140" s="17"/>
      <c r="S140" s="17"/>
      <c r="T140" s="17"/>
      <c r="U140" s="4"/>
      <c r="V140" s="5"/>
    </row>
    <row r="141" spans="1:23" ht="19.5" customHeight="1">
      <c r="E141" s="155" t="s">
        <v>465</v>
      </c>
      <c r="F141" s="155"/>
      <c r="G141" s="490"/>
      <c r="H141" s="329"/>
      <c r="I141" s="329"/>
      <c r="J141" s="329"/>
      <c r="K141" s="329"/>
      <c r="L141" s="329"/>
      <c r="M141" s="328"/>
      <c r="N141" s="329"/>
      <c r="O141" s="329"/>
      <c r="P141" s="329"/>
      <c r="Q141" s="329"/>
      <c r="R141" s="329"/>
      <c r="S141" s="329"/>
      <c r="T141" s="329"/>
      <c r="U141" s="73"/>
    </row>
    <row r="142" spans="1:23" ht="19.5" customHeight="1">
      <c r="E142" s="155" t="s">
        <v>468</v>
      </c>
      <c r="F142" s="155"/>
      <c r="G142" s="490"/>
      <c r="H142" s="329"/>
      <c r="I142" s="329"/>
      <c r="J142" s="329"/>
      <c r="K142" s="329"/>
      <c r="L142" s="329"/>
      <c r="M142" s="329"/>
      <c r="N142" s="329"/>
      <c r="O142" s="329"/>
      <c r="P142" s="329"/>
      <c r="Q142" s="329"/>
      <c r="R142" s="329"/>
      <c r="S142" s="329"/>
      <c r="T142" s="329"/>
      <c r="U142" s="73"/>
    </row>
    <row r="143" spans="1:23" ht="18.600000000000001">
      <c r="E143" s="26" t="s">
        <v>29</v>
      </c>
      <c r="F143" s="26"/>
      <c r="G143" s="181"/>
      <c r="H143" s="181"/>
      <c r="J143" s="73"/>
    </row>
    <row r="144" spans="1:23">
      <c r="G144" s="181"/>
      <c r="H144" s="486"/>
    </row>
    <row r="145" spans="5:11">
      <c r="E145" s="487"/>
      <c r="F145" s="487"/>
      <c r="G145" s="181" t="s">
        <v>454</v>
      </c>
      <c r="H145" s="158">
        <f>-'WA SBC'!O48</f>
        <v>-10560898.84252</v>
      </c>
    </row>
    <row r="146" spans="5:11">
      <c r="G146" s="491" t="s">
        <v>452</v>
      </c>
      <c r="H146" s="158">
        <f>-'WA PCAM'!P29</f>
        <v>6780352.5999999996</v>
      </c>
    </row>
    <row r="147" spans="5:11">
      <c r="G147" s="491" t="s">
        <v>453</v>
      </c>
      <c r="H147" s="158">
        <f>-'WA Decoupling'!O43</f>
        <v>6042779.2871279931</v>
      </c>
    </row>
    <row r="148" spans="5:11">
      <c r="G148" s="491" t="s">
        <v>451</v>
      </c>
      <c r="H148" s="158">
        <f>-'WA FTAA'!O48</f>
        <v>8120269.3709200006</v>
      </c>
    </row>
    <row r="149" spans="5:11">
      <c r="G149" s="491" t="s">
        <v>405</v>
      </c>
      <c r="H149" s="158">
        <f>G32+G61+G91+G112</f>
        <v>17589533.82</v>
      </c>
      <c r="J149" s="73"/>
    </row>
    <row r="150" spans="5:11">
      <c r="G150" s="491" t="s">
        <v>248</v>
      </c>
      <c r="H150" s="158">
        <f>G27+G56+G86+G106+G130</f>
        <v>16851846.640000001</v>
      </c>
    </row>
    <row r="151" spans="5:11">
      <c r="G151" s="491" t="s">
        <v>249</v>
      </c>
      <c r="H151" s="158">
        <f>G105</f>
        <v>132000</v>
      </c>
    </row>
    <row r="152" spans="5:11">
      <c r="G152" s="491" t="s">
        <v>280</v>
      </c>
      <c r="H152" s="158">
        <f>G28+G57+G87+G107+G131</f>
        <v>-10621585.709999999</v>
      </c>
    </row>
    <row r="153" spans="5:11">
      <c r="G153" s="491" t="s">
        <v>276</v>
      </c>
      <c r="H153" s="158">
        <f>G29+G58+G108+G88</f>
        <v>-201810.21</v>
      </c>
    </row>
    <row r="154" spans="5:11">
      <c r="G154" s="491" t="s">
        <v>406</v>
      </c>
      <c r="H154" s="158">
        <f>G31+G60+G90+G111+G132</f>
        <v>0</v>
      </c>
    </row>
    <row r="155" spans="5:11">
      <c r="H155" s="158">
        <f>SUM(H145:H154)</f>
        <v>34132486.955527991</v>
      </c>
    </row>
    <row r="156" spans="5:11">
      <c r="J156" s="2" t="s">
        <v>417</v>
      </c>
      <c r="K156" s="73">
        <f>H155-G139</f>
        <v>0</v>
      </c>
    </row>
  </sheetData>
  <phoneticPr fontId="0" type="noConversion"/>
  <printOptions horizontalCentered="1"/>
  <pageMargins left="0.25" right="0.25" top="1" bottom="1" header="0.5" footer="0.5"/>
  <pageSetup scale="28" fitToHeight="0" orientation="landscape" r:id="rId1"/>
  <headerFooter alignWithMargins="0">
    <oddFooter>&amp;CPrepared by Pricing &amp;D&amp;R&amp;F&amp;A</oddFooter>
  </headerFooter>
  <rowBreaks count="1" manualBreakCount="1">
    <brk id="66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142"/>
  <sheetViews>
    <sheetView zoomScale="90" zoomScaleNormal="90" workbookViewId="0">
      <pane xSplit="5" ySplit="4" topLeftCell="F5" activePane="bottomRight" state="frozen"/>
      <selection activeCell="K116" sqref="K116"/>
      <selection pane="topRight" activeCell="K116" sqref="K116"/>
      <selection pane="bottomLeft" activeCell="K116" sqref="K116"/>
      <selection pane="bottomRight" activeCell="K116" sqref="K116"/>
    </sheetView>
  </sheetViews>
  <sheetFormatPr defaultRowHeight="15.6"/>
  <cols>
    <col min="1" max="1" width="4.59765625" style="2" customWidth="1"/>
    <col min="2" max="2" width="28.59765625" style="2" bestFit="1" customWidth="1"/>
    <col min="3" max="3" width="39.09765625" style="2" bestFit="1" customWidth="1"/>
    <col min="4" max="4" width="13.69921875" style="2" bestFit="1" customWidth="1"/>
    <col min="5" max="5" width="37.59765625" style="2" bestFit="1" customWidth="1"/>
    <col min="6" max="6" width="16.19921875" style="2" bestFit="1" customWidth="1"/>
    <col min="7" max="7" width="17.8984375" style="2" bestFit="1" customWidth="1"/>
    <col min="8" max="8" width="14" style="2" bestFit="1" customWidth="1"/>
    <col min="9" max="9" width="9" style="2"/>
    <col min="10" max="10" width="10.8984375" style="2" bestFit="1" customWidth="1"/>
    <col min="11" max="251" width="9" style="2"/>
    <col min="252" max="252" width="4.59765625" style="2" customWidth="1"/>
    <col min="253" max="253" width="14" style="2" customWidth="1"/>
    <col min="254" max="254" width="16.19921875" style="2" customWidth="1"/>
    <col min="255" max="255" width="11.19921875" style="2" customWidth="1"/>
    <col min="256" max="256" width="36.3984375" style="2" customWidth="1"/>
    <col min="257" max="260" width="12.59765625" style="2" customWidth="1"/>
    <col min="261" max="507" width="9" style="2"/>
    <col min="508" max="508" width="4.59765625" style="2" customWidth="1"/>
    <col min="509" max="509" width="14" style="2" customWidth="1"/>
    <col min="510" max="510" width="16.19921875" style="2" customWidth="1"/>
    <col min="511" max="511" width="11.19921875" style="2" customWidth="1"/>
    <col min="512" max="512" width="36.3984375" style="2" customWidth="1"/>
    <col min="513" max="516" width="12.59765625" style="2" customWidth="1"/>
    <col min="517" max="763" width="9" style="2"/>
    <col min="764" max="764" width="4.59765625" style="2" customWidth="1"/>
    <col min="765" max="765" width="14" style="2" customWidth="1"/>
    <col min="766" max="766" width="16.19921875" style="2" customWidth="1"/>
    <col min="767" max="767" width="11.19921875" style="2" customWidth="1"/>
    <col min="768" max="768" width="36.3984375" style="2" customWidth="1"/>
    <col min="769" max="772" width="12.59765625" style="2" customWidth="1"/>
    <col min="773" max="1019" width="9" style="2"/>
    <col min="1020" max="1020" width="4.59765625" style="2" customWidth="1"/>
    <col min="1021" max="1021" width="14" style="2" customWidth="1"/>
    <col min="1022" max="1022" width="16.19921875" style="2" customWidth="1"/>
    <col min="1023" max="1023" width="11.19921875" style="2" customWidth="1"/>
    <col min="1024" max="1024" width="36.3984375" style="2" customWidth="1"/>
    <col min="1025" max="1028" width="12.59765625" style="2" customWidth="1"/>
    <col min="1029" max="1275" width="9" style="2"/>
    <col min="1276" max="1276" width="4.59765625" style="2" customWidth="1"/>
    <col min="1277" max="1277" width="14" style="2" customWidth="1"/>
    <col min="1278" max="1278" width="16.19921875" style="2" customWidth="1"/>
    <col min="1279" max="1279" width="11.19921875" style="2" customWidth="1"/>
    <col min="1280" max="1280" width="36.3984375" style="2" customWidth="1"/>
    <col min="1281" max="1284" width="12.59765625" style="2" customWidth="1"/>
    <col min="1285" max="1531" width="9" style="2"/>
    <col min="1532" max="1532" width="4.59765625" style="2" customWidth="1"/>
    <col min="1533" max="1533" width="14" style="2" customWidth="1"/>
    <col min="1534" max="1534" width="16.19921875" style="2" customWidth="1"/>
    <col min="1535" max="1535" width="11.19921875" style="2" customWidth="1"/>
    <col min="1536" max="1536" width="36.3984375" style="2" customWidth="1"/>
    <col min="1537" max="1540" width="12.59765625" style="2" customWidth="1"/>
    <col min="1541" max="1787" width="9" style="2"/>
    <col min="1788" max="1788" width="4.59765625" style="2" customWidth="1"/>
    <col min="1789" max="1789" width="14" style="2" customWidth="1"/>
    <col min="1790" max="1790" width="16.19921875" style="2" customWidth="1"/>
    <col min="1791" max="1791" width="11.19921875" style="2" customWidth="1"/>
    <col min="1792" max="1792" width="36.3984375" style="2" customWidth="1"/>
    <col min="1793" max="1796" width="12.59765625" style="2" customWidth="1"/>
    <col min="1797" max="2043" width="9" style="2"/>
    <col min="2044" max="2044" width="4.59765625" style="2" customWidth="1"/>
    <col min="2045" max="2045" width="14" style="2" customWidth="1"/>
    <col min="2046" max="2046" width="16.19921875" style="2" customWidth="1"/>
    <col min="2047" max="2047" width="11.19921875" style="2" customWidth="1"/>
    <col min="2048" max="2048" width="36.3984375" style="2" customWidth="1"/>
    <col min="2049" max="2052" width="12.59765625" style="2" customWidth="1"/>
    <col min="2053" max="2299" width="9" style="2"/>
    <col min="2300" max="2300" width="4.59765625" style="2" customWidth="1"/>
    <col min="2301" max="2301" width="14" style="2" customWidth="1"/>
    <col min="2302" max="2302" width="16.19921875" style="2" customWidth="1"/>
    <col min="2303" max="2303" width="11.19921875" style="2" customWidth="1"/>
    <col min="2304" max="2304" width="36.3984375" style="2" customWidth="1"/>
    <col min="2305" max="2308" width="12.59765625" style="2" customWidth="1"/>
    <col min="2309" max="2555" width="9" style="2"/>
    <col min="2556" max="2556" width="4.59765625" style="2" customWidth="1"/>
    <col min="2557" max="2557" width="14" style="2" customWidth="1"/>
    <col min="2558" max="2558" width="16.19921875" style="2" customWidth="1"/>
    <col min="2559" max="2559" width="11.19921875" style="2" customWidth="1"/>
    <col min="2560" max="2560" width="36.3984375" style="2" customWidth="1"/>
    <col min="2561" max="2564" width="12.59765625" style="2" customWidth="1"/>
    <col min="2565" max="2811" width="9" style="2"/>
    <col min="2812" max="2812" width="4.59765625" style="2" customWidth="1"/>
    <col min="2813" max="2813" width="14" style="2" customWidth="1"/>
    <col min="2814" max="2814" width="16.19921875" style="2" customWidth="1"/>
    <col min="2815" max="2815" width="11.19921875" style="2" customWidth="1"/>
    <col min="2816" max="2816" width="36.3984375" style="2" customWidth="1"/>
    <col min="2817" max="2820" width="12.59765625" style="2" customWidth="1"/>
    <col min="2821" max="3067" width="9" style="2"/>
    <col min="3068" max="3068" width="4.59765625" style="2" customWidth="1"/>
    <col min="3069" max="3069" width="14" style="2" customWidth="1"/>
    <col min="3070" max="3070" width="16.19921875" style="2" customWidth="1"/>
    <col min="3071" max="3071" width="11.19921875" style="2" customWidth="1"/>
    <col min="3072" max="3072" width="36.3984375" style="2" customWidth="1"/>
    <col min="3073" max="3076" width="12.59765625" style="2" customWidth="1"/>
    <col min="3077" max="3323" width="9" style="2"/>
    <col min="3324" max="3324" width="4.59765625" style="2" customWidth="1"/>
    <col min="3325" max="3325" width="14" style="2" customWidth="1"/>
    <col min="3326" max="3326" width="16.19921875" style="2" customWidth="1"/>
    <col min="3327" max="3327" width="11.19921875" style="2" customWidth="1"/>
    <col min="3328" max="3328" width="36.3984375" style="2" customWidth="1"/>
    <col min="3329" max="3332" width="12.59765625" style="2" customWidth="1"/>
    <col min="3333" max="3579" width="9" style="2"/>
    <col min="3580" max="3580" width="4.59765625" style="2" customWidth="1"/>
    <col min="3581" max="3581" width="14" style="2" customWidth="1"/>
    <col min="3582" max="3582" width="16.19921875" style="2" customWidth="1"/>
    <col min="3583" max="3583" width="11.19921875" style="2" customWidth="1"/>
    <col min="3584" max="3584" width="36.3984375" style="2" customWidth="1"/>
    <col min="3585" max="3588" width="12.59765625" style="2" customWidth="1"/>
    <col min="3589" max="3835" width="9" style="2"/>
    <col min="3836" max="3836" width="4.59765625" style="2" customWidth="1"/>
    <col min="3837" max="3837" width="14" style="2" customWidth="1"/>
    <col min="3838" max="3838" width="16.19921875" style="2" customWidth="1"/>
    <col min="3839" max="3839" width="11.19921875" style="2" customWidth="1"/>
    <col min="3840" max="3840" width="36.3984375" style="2" customWidth="1"/>
    <col min="3841" max="3844" width="12.59765625" style="2" customWidth="1"/>
    <col min="3845" max="4091" width="9" style="2"/>
    <col min="4092" max="4092" width="4.59765625" style="2" customWidth="1"/>
    <col min="4093" max="4093" width="14" style="2" customWidth="1"/>
    <col min="4094" max="4094" width="16.19921875" style="2" customWidth="1"/>
    <col min="4095" max="4095" width="11.19921875" style="2" customWidth="1"/>
    <col min="4096" max="4096" width="36.3984375" style="2" customWidth="1"/>
    <col min="4097" max="4100" width="12.59765625" style="2" customWidth="1"/>
    <col min="4101" max="4347" width="9" style="2"/>
    <col min="4348" max="4348" width="4.59765625" style="2" customWidth="1"/>
    <col min="4349" max="4349" width="14" style="2" customWidth="1"/>
    <col min="4350" max="4350" width="16.19921875" style="2" customWidth="1"/>
    <col min="4351" max="4351" width="11.19921875" style="2" customWidth="1"/>
    <col min="4352" max="4352" width="36.3984375" style="2" customWidth="1"/>
    <col min="4353" max="4356" width="12.59765625" style="2" customWidth="1"/>
    <col min="4357" max="4603" width="9" style="2"/>
    <col min="4604" max="4604" width="4.59765625" style="2" customWidth="1"/>
    <col min="4605" max="4605" width="14" style="2" customWidth="1"/>
    <col min="4606" max="4606" width="16.19921875" style="2" customWidth="1"/>
    <col min="4607" max="4607" width="11.19921875" style="2" customWidth="1"/>
    <col min="4608" max="4608" width="36.3984375" style="2" customWidth="1"/>
    <col min="4609" max="4612" width="12.59765625" style="2" customWidth="1"/>
    <col min="4613" max="4859" width="9" style="2"/>
    <col min="4860" max="4860" width="4.59765625" style="2" customWidth="1"/>
    <col min="4861" max="4861" width="14" style="2" customWidth="1"/>
    <col min="4862" max="4862" width="16.19921875" style="2" customWidth="1"/>
    <col min="4863" max="4863" width="11.19921875" style="2" customWidth="1"/>
    <col min="4864" max="4864" width="36.3984375" style="2" customWidth="1"/>
    <col min="4865" max="4868" width="12.59765625" style="2" customWidth="1"/>
    <col min="4869" max="5115" width="9" style="2"/>
    <col min="5116" max="5116" width="4.59765625" style="2" customWidth="1"/>
    <col min="5117" max="5117" width="14" style="2" customWidth="1"/>
    <col min="5118" max="5118" width="16.19921875" style="2" customWidth="1"/>
    <col min="5119" max="5119" width="11.19921875" style="2" customWidth="1"/>
    <col min="5120" max="5120" width="36.3984375" style="2" customWidth="1"/>
    <col min="5121" max="5124" width="12.59765625" style="2" customWidth="1"/>
    <col min="5125" max="5371" width="9" style="2"/>
    <col min="5372" max="5372" width="4.59765625" style="2" customWidth="1"/>
    <col min="5373" max="5373" width="14" style="2" customWidth="1"/>
    <col min="5374" max="5374" width="16.19921875" style="2" customWidth="1"/>
    <col min="5375" max="5375" width="11.19921875" style="2" customWidth="1"/>
    <col min="5376" max="5376" width="36.3984375" style="2" customWidth="1"/>
    <col min="5377" max="5380" width="12.59765625" style="2" customWidth="1"/>
    <col min="5381" max="5627" width="9" style="2"/>
    <col min="5628" max="5628" width="4.59765625" style="2" customWidth="1"/>
    <col min="5629" max="5629" width="14" style="2" customWidth="1"/>
    <col min="5630" max="5630" width="16.19921875" style="2" customWidth="1"/>
    <col min="5631" max="5631" width="11.19921875" style="2" customWidth="1"/>
    <col min="5632" max="5632" width="36.3984375" style="2" customWidth="1"/>
    <col min="5633" max="5636" width="12.59765625" style="2" customWidth="1"/>
    <col min="5637" max="5883" width="9" style="2"/>
    <col min="5884" max="5884" width="4.59765625" style="2" customWidth="1"/>
    <col min="5885" max="5885" width="14" style="2" customWidth="1"/>
    <col min="5886" max="5886" width="16.19921875" style="2" customWidth="1"/>
    <col min="5887" max="5887" width="11.19921875" style="2" customWidth="1"/>
    <col min="5888" max="5888" width="36.3984375" style="2" customWidth="1"/>
    <col min="5889" max="5892" width="12.59765625" style="2" customWidth="1"/>
    <col min="5893" max="6139" width="9" style="2"/>
    <col min="6140" max="6140" width="4.59765625" style="2" customWidth="1"/>
    <col min="6141" max="6141" width="14" style="2" customWidth="1"/>
    <col min="6142" max="6142" width="16.19921875" style="2" customWidth="1"/>
    <col min="6143" max="6143" width="11.19921875" style="2" customWidth="1"/>
    <col min="6144" max="6144" width="36.3984375" style="2" customWidth="1"/>
    <col min="6145" max="6148" width="12.59765625" style="2" customWidth="1"/>
    <col min="6149" max="6395" width="9" style="2"/>
    <col min="6396" max="6396" width="4.59765625" style="2" customWidth="1"/>
    <col min="6397" max="6397" width="14" style="2" customWidth="1"/>
    <col min="6398" max="6398" width="16.19921875" style="2" customWidth="1"/>
    <col min="6399" max="6399" width="11.19921875" style="2" customWidth="1"/>
    <col min="6400" max="6400" width="36.3984375" style="2" customWidth="1"/>
    <col min="6401" max="6404" width="12.59765625" style="2" customWidth="1"/>
    <col min="6405" max="6651" width="9" style="2"/>
    <col min="6652" max="6652" width="4.59765625" style="2" customWidth="1"/>
    <col min="6653" max="6653" width="14" style="2" customWidth="1"/>
    <col min="6654" max="6654" width="16.19921875" style="2" customWidth="1"/>
    <col min="6655" max="6655" width="11.19921875" style="2" customWidth="1"/>
    <col min="6656" max="6656" width="36.3984375" style="2" customWidth="1"/>
    <col min="6657" max="6660" width="12.59765625" style="2" customWidth="1"/>
    <col min="6661" max="6907" width="9" style="2"/>
    <col min="6908" max="6908" width="4.59765625" style="2" customWidth="1"/>
    <col min="6909" max="6909" width="14" style="2" customWidth="1"/>
    <col min="6910" max="6910" width="16.19921875" style="2" customWidth="1"/>
    <col min="6911" max="6911" width="11.19921875" style="2" customWidth="1"/>
    <col min="6912" max="6912" width="36.3984375" style="2" customWidth="1"/>
    <col min="6913" max="6916" width="12.59765625" style="2" customWidth="1"/>
    <col min="6917" max="7163" width="9" style="2"/>
    <col min="7164" max="7164" width="4.59765625" style="2" customWidth="1"/>
    <col min="7165" max="7165" width="14" style="2" customWidth="1"/>
    <col min="7166" max="7166" width="16.19921875" style="2" customWidth="1"/>
    <col min="7167" max="7167" width="11.19921875" style="2" customWidth="1"/>
    <col min="7168" max="7168" width="36.3984375" style="2" customWidth="1"/>
    <col min="7169" max="7172" width="12.59765625" style="2" customWidth="1"/>
    <col min="7173" max="7419" width="9" style="2"/>
    <col min="7420" max="7420" width="4.59765625" style="2" customWidth="1"/>
    <col min="7421" max="7421" width="14" style="2" customWidth="1"/>
    <col min="7422" max="7422" width="16.19921875" style="2" customWidth="1"/>
    <col min="7423" max="7423" width="11.19921875" style="2" customWidth="1"/>
    <col min="7424" max="7424" width="36.3984375" style="2" customWidth="1"/>
    <col min="7425" max="7428" width="12.59765625" style="2" customWidth="1"/>
    <col min="7429" max="7675" width="9" style="2"/>
    <col min="7676" max="7676" width="4.59765625" style="2" customWidth="1"/>
    <col min="7677" max="7677" width="14" style="2" customWidth="1"/>
    <col min="7678" max="7678" width="16.19921875" style="2" customWidth="1"/>
    <col min="7679" max="7679" width="11.19921875" style="2" customWidth="1"/>
    <col min="7680" max="7680" width="36.3984375" style="2" customWidth="1"/>
    <col min="7681" max="7684" width="12.59765625" style="2" customWidth="1"/>
    <col min="7685" max="7931" width="9" style="2"/>
    <col min="7932" max="7932" width="4.59765625" style="2" customWidth="1"/>
    <col min="7933" max="7933" width="14" style="2" customWidth="1"/>
    <col min="7934" max="7934" width="16.19921875" style="2" customWidth="1"/>
    <col min="7935" max="7935" width="11.19921875" style="2" customWidth="1"/>
    <col min="7936" max="7936" width="36.3984375" style="2" customWidth="1"/>
    <col min="7937" max="7940" width="12.59765625" style="2" customWidth="1"/>
    <col min="7941" max="8187" width="9" style="2"/>
    <col min="8188" max="8188" width="4.59765625" style="2" customWidth="1"/>
    <col min="8189" max="8189" width="14" style="2" customWidth="1"/>
    <col min="8190" max="8190" width="16.19921875" style="2" customWidth="1"/>
    <col min="8191" max="8191" width="11.19921875" style="2" customWidth="1"/>
    <col min="8192" max="8192" width="36.3984375" style="2" customWidth="1"/>
    <col min="8193" max="8196" width="12.59765625" style="2" customWidth="1"/>
    <col min="8197" max="8443" width="9" style="2"/>
    <col min="8444" max="8444" width="4.59765625" style="2" customWidth="1"/>
    <col min="8445" max="8445" width="14" style="2" customWidth="1"/>
    <col min="8446" max="8446" width="16.19921875" style="2" customWidth="1"/>
    <col min="8447" max="8447" width="11.19921875" style="2" customWidth="1"/>
    <col min="8448" max="8448" width="36.3984375" style="2" customWidth="1"/>
    <col min="8449" max="8452" width="12.59765625" style="2" customWidth="1"/>
    <col min="8453" max="8699" width="9" style="2"/>
    <col min="8700" max="8700" width="4.59765625" style="2" customWidth="1"/>
    <col min="8701" max="8701" width="14" style="2" customWidth="1"/>
    <col min="8702" max="8702" width="16.19921875" style="2" customWidth="1"/>
    <col min="8703" max="8703" width="11.19921875" style="2" customWidth="1"/>
    <col min="8704" max="8704" width="36.3984375" style="2" customWidth="1"/>
    <col min="8705" max="8708" width="12.59765625" style="2" customWidth="1"/>
    <col min="8709" max="8955" width="9" style="2"/>
    <col min="8956" max="8956" width="4.59765625" style="2" customWidth="1"/>
    <col min="8957" max="8957" width="14" style="2" customWidth="1"/>
    <col min="8958" max="8958" width="16.19921875" style="2" customWidth="1"/>
    <col min="8959" max="8959" width="11.19921875" style="2" customWidth="1"/>
    <col min="8960" max="8960" width="36.3984375" style="2" customWidth="1"/>
    <col min="8961" max="8964" width="12.59765625" style="2" customWidth="1"/>
    <col min="8965" max="9211" width="9" style="2"/>
    <col min="9212" max="9212" width="4.59765625" style="2" customWidth="1"/>
    <col min="9213" max="9213" width="14" style="2" customWidth="1"/>
    <col min="9214" max="9214" width="16.19921875" style="2" customWidth="1"/>
    <col min="9215" max="9215" width="11.19921875" style="2" customWidth="1"/>
    <col min="9216" max="9216" width="36.3984375" style="2" customWidth="1"/>
    <col min="9217" max="9220" width="12.59765625" style="2" customWidth="1"/>
    <col min="9221" max="9467" width="9" style="2"/>
    <col min="9468" max="9468" width="4.59765625" style="2" customWidth="1"/>
    <col min="9469" max="9469" width="14" style="2" customWidth="1"/>
    <col min="9470" max="9470" width="16.19921875" style="2" customWidth="1"/>
    <col min="9471" max="9471" width="11.19921875" style="2" customWidth="1"/>
    <col min="9472" max="9472" width="36.3984375" style="2" customWidth="1"/>
    <col min="9473" max="9476" width="12.59765625" style="2" customWidth="1"/>
    <col min="9477" max="9723" width="9" style="2"/>
    <col min="9724" max="9724" width="4.59765625" style="2" customWidth="1"/>
    <col min="9725" max="9725" width="14" style="2" customWidth="1"/>
    <col min="9726" max="9726" width="16.19921875" style="2" customWidth="1"/>
    <col min="9727" max="9727" width="11.19921875" style="2" customWidth="1"/>
    <col min="9728" max="9728" width="36.3984375" style="2" customWidth="1"/>
    <col min="9729" max="9732" width="12.59765625" style="2" customWidth="1"/>
    <col min="9733" max="9979" width="9" style="2"/>
    <col min="9980" max="9980" width="4.59765625" style="2" customWidth="1"/>
    <col min="9981" max="9981" width="14" style="2" customWidth="1"/>
    <col min="9982" max="9982" width="16.19921875" style="2" customWidth="1"/>
    <col min="9983" max="9983" width="11.19921875" style="2" customWidth="1"/>
    <col min="9984" max="9984" width="36.3984375" style="2" customWidth="1"/>
    <col min="9985" max="9988" width="12.59765625" style="2" customWidth="1"/>
    <col min="9989" max="10235" width="9" style="2"/>
    <col min="10236" max="10236" width="4.59765625" style="2" customWidth="1"/>
    <col min="10237" max="10237" width="14" style="2" customWidth="1"/>
    <col min="10238" max="10238" width="16.19921875" style="2" customWidth="1"/>
    <col min="10239" max="10239" width="11.19921875" style="2" customWidth="1"/>
    <col min="10240" max="10240" width="36.3984375" style="2" customWidth="1"/>
    <col min="10241" max="10244" width="12.59765625" style="2" customWidth="1"/>
    <col min="10245" max="10491" width="9" style="2"/>
    <col min="10492" max="10492" width="4.59765625" style="2" customWidth="1"/>
    <col min="10493" max="10493" width="14" style="2" customWidth="1"/>
    <col min="10494" max="10494" width="16.19921875" style="2" customWidth="1"/>
    <col min="10495" max="10495" width="11.19921875" style="2" customWidth="1"/>
    <col min="10496" max="10496" width="36.3984375" style="2" customWidth="1"/>
    <col min="10497" max="10500" width="12.59765625" style="2" customWidth="1"/>
    <col min="10501" max="10747" width="9" style="2"/>
    <col min="10748" max="10748" width="4.59765625" style="2" customWidth="1"/>
    <col min="10749" max="10749" width="14" style="2" customWidth="1"/>
    <col min="10750" max="10750" width="16.19921875" style="2" customWidth="1"/>
    <col min="10751" max="10751" width="11.19921875" style="2" customWidth="1"/>
    <col min="10752" max="10752" width="36.3984375" style="2" customWidth="1"/>
    <col min="10753" max="10756" width="12.59765625" style="2" customWidth="1"/>
    <col min="10757" max="11003" width="9" style="2"/>
    <col min="11004" max="11004" width="4.59765625" style="2" customWidth="1"/>
    <col min="11005" max="11005" width="14" style="2" customWidth="1"/>
    <col min="11006" max="11006" width="16.19921875" style="2" customWidth="1"/>
    <col min="11007" max="11007" width="11.19921875" style="2" customWidth="1"/>
    <col min="11008" max="11008" width="36.3984375" style="2" customWidth="1"/>
    <col min="11009" max="11012" width="12.59765625" style="2" customWidth="1"/>
    <col min="11013" max="11259" width="9" style="2"/>
    <col min="11260" max="11260" width="4.59765625" style="2" customWidth="1"/>
    <col min="11261" max="11261" width="14" style="2" customWidth="1"/>
    <col min="11262" max="11262" width="16.19921875" style="2" customWidth="1"/>
    <col min="11263" max="11263" width="11.19921875" style="2" customWidth="1"/>
    <col min="11264" max="11264" width="36.3984375" style="2" customWidth="1"/>
    <col min="11265" max="11268" width="12.59765625" style="2" customWidth="1"/>
    <col min="11269" max="11515" width="9" style="2"/>
    <col min="11516" max="11516" width="4.59765625" style="2" customWidth="1"/>
    <col min="11517" max="11517" width="14" style="2" customWidth="1"/>
    <col min="11518" max="11518" width="16.19921875" style="2" customWidth="1"/>
    <col min="11519" max="11519" width="11.19921875" style="2" customWidth="1"/>
    <col min="11520" max="11520" width="36.3984375" style="2" customWidth="1"/>
    <col min="11521" max="11524" width="12.59765625" style="2" customWidth="1"/>
    <col min="11525" max="11771" width="9" style="2"/>
    <col min="11772" max="11772" width="4.59765625" style="2" customWidth="1"/>
    <col min="11773" max="11773" width="14" style="2" customWidth="1"/>
    <col min="11774" max="11774" width="16.19921875" style="2" customWidth="1"/>
    <col min="11775" max="11775" width="11.19921875" style="2" customWidth="1"/>
    <col min="11776" max="11776" width="36.3984375" style="2" customWidth="1"/>
    <col min="11777" max="11780" width="12.59765625" style="2" customWidth="1"/>
    <col min="11781" max="12027" width="9" style="2"/>
    <col min="12028" max="12028" width="4.59765625" style="2" customWidth="1"/>
    <col min="12029" max="12029" width="14" style="2" customWidth="1"/>
    <col min="12030" max="12030" width="16.19921875" style="2" customWidth="1"/>
    <col min="12031" max="12031" width="11.19921875" style="2" customWidth="1"/>
    <col min="12032" max="12032" width="36.3984375" style="2" customWidth="1"/>
    <col min="12033" max="12036" width="12.59765625" style="2" customWidth="1"/>
    <col min="12037" max="12283" width="9" style="2"/>
    <col min="12284" max="12284" width="4.59765625" style="2" customWidth="1"/>
    <col min="12285" max="12285" width="14" style="2" customWidth="1"/>
    <col min="12286" max="12286" width="16.19921875" style="2" customWidth="1"/>
    <col min="12287" max="12287" width="11.19921875" style="2" customWidth="1"/>
    <col min="12288" max="12288" width="36.3984375" style="2" customWidth="1"/>
    <col min="12289" max="12292" width="12.59765625" style="2" customWidth="1"/>
    <col min="12293" max="12539" width="9" style="2"/>
    <col min="12540" max="12540" width="4.59765625" style="2" customWidth="1"/>
    <col min="12541" max="12541" width="14" style="2" customWidth="1"/>
    <col min="12542" max="12542" width="16.19921875" style="2" customWidth="1"/>
    <col min="12543" max="12543" width="11.19921875" style="2" customWidth="1"/>
    <col min="12544" max="12544" width="36.3984375" style="2" customWidth="1"/>
    <col min="12545" max="12548" width="12.59765625" style="2" customWidth="1"/>
    <col min="12549" max="12795" width="9" style="2"/>
    <col min="12796" max="12796" width="4.59765625" style="2" customWidth="1"/>
    <col min="12797" max="12797" width="14" style="2" customWidth="1"/>
    <col min="12798" max="12798" width="16.19921875" style="2" customWidth="1"/>
    <col min="12799" max="12799" width="11.19921875" style="2" customWidth="1"/>
    <col min="12800" max="12800" width="36.3984375" style="2" customWidth="1"/>
    <col min="12801" max="12804" width="12.59765625" style="2" customWidth="1"/>
    <col min="12805" max="13051" width="9" style="2"/>
    <col min="13052" max="13052" width="4.59765625" style="2" customWidth="1"/>
    <col min="13053" max="13053" width="14" style="2" customWidth="1"/>
    <col min="13054" max="13054" width="16.19921875" style="2" customWidth="1"/>
    <col min="13055" max="13055" width="11.19921875" style="2" customWidth="1"/>
    <col min="13056" max="13056" width="36.3984375" style="2" customWidth="1"/>
    <col min="13057" max="13060" width="12.59765625" style="2" customWidth="1"/>
    <col min="13061" max="13307" width="9" style="2"/>
    <col min="13308" max="13308" width="4.59765625" style="2" customWidth="1"/>
    <col min="13309" max="13309" width="14" style="2" customWidth="1"/>
    <col min="13310" max="13310" width="16.19921875" style="2" customWidth="1"/>
    <col min="13311" max="13311" width="11.19921875" style="2" customWidth="1"/>
    <col min="13312" max="13312" width="36.3984375" style="2" customWidth="1"/>
    <col min="13313" max="13316" width="12.59765625" style="2" customWidth="1"/>
    <col min="13317" max="13563" width="9" style="2"/>
    <col min="13564" max="13564" width="4.59765625" style="2" customWidth="1"/>
    <col min="13565" max="13565" width="14" style="2" customWidth="1"/>
    <col min="13566" max="13566" width="16.19921875" style="2" customWidth="1"/>
    <col min="13567" max="13567" width="11.19921875" style="2" customWidth="1"/>
    <col min="13568" max="13568" width="36.3984375" style="2" customWidth="1"/>
    <col min="13569" max="13572" width="12.59765625" style="2" customWidth="1"/>
    <col min="13573" max="13819" width="9" style="2"/>
    <col min="13820" max="13820" width="4.59765625" style="2" customWidth="1"/>
    <col min="13821" max="13821" width="14" style="2" customWidth="1"/>
    <col min="13822" max="13822" width="16.19921875" style="2" customWidth="1"/>
    <col min="13823" max="13823" width="11.19921875" style="2" customWidth="1"/>
    <col min="13824" max="13824" width="36.3984375" style="2" customWidth="1"/>
    <col min="13825" max="13828" width="12.59765625" style="2" customWidth="1"/>
    <col min="13829" max="14075" width="9" style="2"/>
    <col min="14076" max="14076" width="4.59765625" style="2" customWidth="1"/>
    <col min="14077" max="14077" width="14" style="2" customWidth="1"/>
    <col min="14078" max="14078" width="16.19921875" style="2" customWidth="1"/>
    <col min="14079" max="14079" width="11.19921875" style="2" customWidth="1"/>
    <col min="14080" max="14080" width="36.3984375" style="2" customWidth="1"/>
    <col min="14081" max="14084" width="12.59765625" style="2" customWidth="1"/>
    <col min="14085" max="14331" width="9" style="2"/>
    <col min="14332" max="14332" width="4.59765625" style="2" customWidth="1"/>
    <col min="14333" max="14333" width="14" style="2" customWidth="1"/>
    <col min="14334" max="14334" width="16.19921875" style="2" customWidth="1"/>
    <col min="14335" max="14335" width="11.19921875" style="2" customWidth="1"/>
    <col min="14336" max="14336" width="36.3984375" style="2" customWidth="1"/>
    <col min="14337" max="14340" width="12.59765625" style="2" customWidth="1"/>
    <col min="14341" max="14587" width="9" style="2"/>
    <col min="14588" max="14588" width="4.59765625" style="2" customWidth="1"/>
    <col min="14589" max="14589" width="14" style="2" customWidth="1"/>
    <col min="14590" max="14590" width="16.19921875" style="2" customWidth="1"/>
    <col min="14591" max="14591" width="11.19921875" style="2" customWidth="1"/>
    <col min="14592" max="14592" width="36.3984375" style="2" customWidth="1"/>
    <col min="14593" max="14596" width="12.59765625" style="2" customWidth="1"/>
    <col min="14597" max="14843" width="9" style="2"/>
    <col min="14844" max="14844" width="4.59765625" style="2" customWidth="1"/>
    <col min="14845" max="14845" width="14" style="2" customWidth="1"/>
    <col min="14846" max="14846" width="16.19921875" style="2" customWidth="1"/>
    <col min="14847" max="14847" width="11.19921875" style="2" customWidth="1"/>
    <col min="14848" max="14848" width="36.3984375" style="2" customWidth="1"/>
    <col min="14849" max="14852" width="12.59765625" style="2" customWidth="1"/>
    <col min="14853" max="15099" width="9" style="2"/>
    <col min="15100" max="15100" width="4.59765625" style="2" customWidth="1"/>
    <col min="15101" max="15101" width="14" style="2" customWidth="1"/>
    <col min="15102" max="15102" width="16.19921875" style="2" customWidth="1"/>
    <col min="15103" max="15103" width="11.19921875" style="2" customWidth="1"/>
    <col min="15104" max="15104" width="36.3984375" style="2" customWidth="1"/>
    <col min="15105" max="15108" width="12.59765625" style="2" customWidth="1"/>
    <col min="15109" max="15355" width="9" style="2"/>
    <col min="15356" max="15356" width="4.59765625" style="2" customWidth="1"/>
    <col min="15357" max="15357" width="14" style="2" customWidth="1"/>
    <col min="15358" max="15358" width="16.19921875" style="2" customWidth="1"/>
    <col min="15359" max="15359" width="11.19921875" style="2" customWidth="1"/>
    <col min="15360" max="15360" width="36.3984375" style="2" customWidth="1"/>
    <col min="15361" max="15364" width="12.59765625" style="2" customWidth="1"/>
    <col min="15365" max="15611" width="9" style="2"/>
    <col min="15612" max="15612" width="4.59765625" style="2" customWidth="1"/>
    <col min="15613" max="15613" width="14" style="2" customWidth="1"/>
    <col min="15614" max="15614" width="16.19921875" style="2" customWidth="1"/>
    <col min="15615" max="15615" width="11.19921875" style="2" customWidth="1"/>
    <col min="15616" max="15616" width="36.3984375" style="2" customWidth="1"/>
    <col min="15617" max="15620" width="12.59765625" style="2" customWidth="1"/>
    <col min="15621" max="15867" width="9" style="2"/>
    <col min="15868" max="15868" width="4.59765625" style="2" customWidth="1"/>
    <col min="15869" max="15869" width="14" style="2" customWidth="1"/>
    <col min="15870" max="15870" width="16.19921875" style="2" customWidth="1"/>
    <col min="15871" max="15871" width="11.19921875" style="2" customWidth="1"/>
    <col min="15872" max="15872" width="36.3984375" style="2" customWidth="1"/>
    <col min="15873" max="15876" width="12.59765625" style="2" customWidth="1"/>
    <col min="15877" max="16123" width="9" style="2"/>
    <col min="16124" max="16124" width="4.59765625" style="2" customWidth="1"/>
    <col min="16125" max="16125" width="14" style="2" customWidth="1"/>
    <col min="16126" max="16126" width="16.19921875" style="2" customWidth="1"/>
    <col min="16127" max="16127" width="11.19921875" style="2" customWidth="1"/>
    <col min="16128" max="16128" width="36.3984375" style="2" customWidth="1"/>
    <col min="16129" max="16132" width="12.59765625" style="2" customWidth="1"/>
    <col min="16133" max="16384" width="9" style="2"/>
  </cols>
  <sheetData>
    <row r="1" spans="2:10" s="370" customFormat="1" ht="8.6999999999999993" customHeight="1"/>
    <row r="2" spans="2:10" s="370" customFormat="1" ht="30.9" customHeight="1">
      <c r="C2" s="371" t="s">
        <v>331</v>
      </c>
    </row>
    <row r="3" spans="2:10" s="370" customFormat="1" ht="18" customHeight="1"/>
    <row r="4" spans="2:10" s="370" customFormat="1" ht="23.4" customHeight="1">
      <c r="B4" s="372" t="s">
        <v>332</v>
      </c>
      <c r="C4" s="372" t="s">
        <v>333</v>
      </c>
      <c r="D4" s="372" t="s">
        <v>334</v>
      </c>
      <c r="E4" s="372" t="s">
        <v>335</v>
      </c>
      <c r="F4" s="372" t="s">
        <v>457</v>
      </c>
      <c r="G4" s="372" t="s">
        <v>458</v>
      </c>
      <c r="H4" s="372" t="s">
        <v>459</v>
      </c>
      <c r="I4" s="370" t="s">
        <v>338</v>
      </c>
      <c r="J4" s="370" t="s">
        <v>339</v>
      </c>
    </row>
    <row r="5" spans="2:10" s="370" customFormat="1" ht="19.5" customHeight="1">
      <c r="B5" s="373" t="s">
        <v>367</v>
      </c>
      <c r="C5" s="155" t="s">
        <v>460</v>
      </c>
      <c r="D5" s="373" t="s">
        <v>336</v>
      </c>
      <c r="E5" s="373" t="s">
        <v>432</v>
      </c>
      <c r="F5" s="405">
        <v>599</v>
      </c>
      <c r="G5" s="374">
        <v>0.75</v>
      </c>
      <c r="H5" s="406">
        <v>1641</v>
      </c>
      <c r="I5" s="370">
        <f>VLOOKUP(Table2[[#This Row],[Rate Desc]],lookup305[],2,TRUE)</f>
        <v>24</v>
      </c>
      <c r="J5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6" spans="2:10" s="370" customFormat="1" ht="19.5" customHeight="1">
      <c r="B6" s="373" t="s">
        <v>367</v>
      </c>
      <c r="C6" s="155" t="s">
        <v>460</v>
      </c>
      <c r="D6" s="373" t="s">
        <v>336</v>
      </c>
      <c r="E6" s="373" t="s">
        <v>189</v>
      </c>
      <c r="F6" s="405">
        <v>2628856.38</v>
      </c>
      <c r="G6" s="374">
        <v>1519.4166666666699</v>
      </c>
      <c r="H6" s="406">
        <v>27331744</v>
      </c>
      <c r="I6" s="370">
        <f>VLOOKUP(Table2[[#This Row],[Rate Desc]],lookup305[],2,TRUE)</f>
        <v>24</v>
      </c>
      <c r="J6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7" spans="2:10" s="370" customFormat="1" ht="19.5" customHeight="1">
      <c r="B7" s="373" t="s">
        <v>367</v>
      </c>
      <c r="C7" s="155" t="s">
        <v>460</v>
      </c>
      <c r="D7" s="373" t="s">
        <v>4</v>
      </c>
      <c r="E7" s="373" t="s">
        <v>195</v>
      </c>
      <c r="F7" s="405">
        <v>-206935.94</v>
      </c>
      <c r="G7" s="374">
        <v>1519.4166666666699</v>
      </c>
      <c r="H7" s="406">
        <v>27331745</v>
      </c>
      <c r="I7" s="370">
        <f>VLOOKUP(Table2[[#This Row],[Rate Desc]],lookup305[],2,TRUE)</f>
        <v>24</v>
      </c>
      <c r="J7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8" spans="2:10" s="370" customFormat="1" ht="19.5" customHeight="1">
      <c r="B8" s="373" t="s">
        <v>367</v>
      </c>
      <c r="C8" s="155" t="s">
        <v>460</v>
      </c>
      <c r="D8" s="373" t="s">
        <v>336</v>
      </c>
      <c r="E8" s="373" t="s">
        <v>198</v>
      </c>
      <c r="F8" s="405">
        <v>16127.97</v>
      </c>
      <c r="G8" s="374">
        <v>5.1666666666666696</v>
      </c>
      <c r="H8" s="406">
        <v>127436</v>
      </c>
      <c r="I8" s="370" t="str">
        <f>VLOOKUP(Table2[[#This Row],[Rate Desc]],lookup305[],2,TRUE)</f>
        <v>24f</v>
      </c>
      <c r="J8" s="370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9" spans="2:10" s="370" customFormat="1" ht="19.5" customHeight="1">
      <c r="B9" s="373" t="s">
        <v>367</v>
      </c>
      <c r="C9" s="155" t="s">
        <v>460</v>
      </c>
      <c r="D9" s="373" t="s">
        <v>4</v>
      </c>
      <c r="E9" s="373" t="s">
        <v>188</v>
      </c>
      <c r="F9" s="405">
        <v>-6.49</v>
      </c>
      <c r="G9" s="374">
        <v>1</v>
      </c>
      <c r="H9" s="406">
        <v>864</v>
      </c>
      <c r="I9" s="370" t="str">
        <f>VLOOKUP(Table2[[#This Row],[Rate Desc]],lookup305[],2,TRUE)</f>
        <v>24f</v>
      </c>
      <c r="J9" s="370" t="str">
        <f>IF(Table2[[#This Row],[Rate Group Cd]]="B",IF(OR(Table2[[#This Row],[Code]]="bpa",Table2[[#This Row],[Code]]="bpaadj"),Table2[[#This Row],[Code]],"b"&amp;Table2[[#This Row],[Code]]),Table2[[#This Row],[Code]])</f>
        <v>b24f</v>
      </c>
    </row>
    <row r="10" spans="2:10" s="370" customFormat="1" ht="19.5" customHeight="1">
      <c r="B10" s="373" t="s">
        <v>367</v>
      </c>
      <c r="C10" s="155" t="s">
        <v>460</v>
      </c>
      <c r="D10" s="373" t="s">
        <v>336</v>
      </c>
      <c r="E10" s="373" t="s">
        <v>190</v>
      </c>
      <c r="F10" s="405">
        <v>128253.36</v>
      </c>
      <c r="G10" s="374">
        <v>70.5</v>
      </c>
      <c r="H10" s="406">
        <v>875776</v>
      </c>
      <c r="I10" s="370" t="str">
        <f>VLOOKUP(Table2[[#This Row],[Rate Desc]],lookup305[],2,TRUE)</f>
        <v>24fp</v>
      </c>
      <c r="J10" s="370" t="str">
        <f>IF(Table2[[#This Row],[Rate Group Cd]]="B",IF(OR(Table2[[#This Row],[Code]]="bpa",Table2[[#This Row],[Code]]="bpaadj"),Table2[[#This Row],[Code]],"b"&amp;Table2[[#This Row],[Code]]),Table2[[#This Row],[Code]])</f>
        <v>24fp</v>
      </c>
    </row>
    <row r="11" spans="2:10" s="370" customFormat="1" ht="19.5" customHeight="1">
      <c r="B11" s="373" t="s">
        <v>367</v>
      </c>
      <c r="C11" s="155" t="s">
        <v>460</v>
      </c>
      <c r="D11" s="373" t="s">
        <v>4</v>
      </c>
      <c r="E11" s="373" t="s">
        <v>196</v>
      </c>
      <c r="F11" s="405">
        <v>-6293.35</v>
      </c>
      <c r="G11" s="374">
        <v>70.5</v>
      </c>
      <c r="H11" s="406">
        <v>859597</v>
      </c>
      <c r="I11" s="370" t="str">
        <f>VLOOKUP(Table2[[#This Row],[Rate Desc]],lookup305[],2,TRUE)</f>
        <v>24fp</v>
      </c>
      <c r="J11" s="370" t="str">
        <f>IF(Table2[[#This Row],[Rate Group Cd]]="B",IF(OR(Table2[[#This Row],[Code]]="bpa",Table2[[#This Row],[Code]]="bpaadj"),Table2[[#This Row],[Code]],"b"&amp;Table2[[#This Row],[Code]]),Table2[[#This Row],[Code]])</f>
        <v>b24fp</v>
      </c>
    </row>
    <row r="12" spans="2:10" s="370" customFormat="1" ht="19.5" customHeight="1">
      <c r="B12" s="373" t="s">
        <v>367</v>
      </c>
      <c r="C12" s="155" t="s">
        <v>460</v>
      </c>
      <c r="D12" s="373" t="s">
        <v>336</v>
      </c>
      <c r="E12" s="373" t="s">
        <v>368</v>
      </c>
      <c r="F12" s="405">
        <v>41617345.630000003</v>
      </c>
      <c r="G12" s="374">
        <v>14512.333333333299</v>
      </c>
      <c r="H12" s="406">
        <v>463400148</v>
      </c>
      <c r="I12" s="370">
        <f>VLOOKUP(Table2[[#This Row],[Rate Desc]],lookup305[],2,TRUE)</f>
        <v>24</v>
      </c>
      <c r="J12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3" spans="2:10" s="370" customFormat="1" ht="19.5" customHeight="1">
      <c r="B13" s="373" t="s">
        <v>367</v>
      </c>
      <c r="C13" s="155" t="s">
        <v>460</v>
      </c>
      <c r="D13" s="373" t="s">
        <v>336</v>
      </c>
      <c r="E13" s="373" t="s">
        <v>369</v>
      </c>
      <c r="F13" s="405">
        <v>150348.44</v>
      </c>
      <c r="G13" s="374">
        <v>104.583333333333</v>
      </c>
      <c r="H13" s="406">
        <v>1098243</v>
      </c>
      <c r="I13" s="370" t="str">
        <f>VLOOKUP(Table2[[#This Row],[Rate Desc]],lookup305[],2,TRUE)</f>
        <v>24f</v>
      </c>
      <c r="J13" s="370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14" spans="2:10" s="370" customFormat="1" ht="19.5" customHeight="1">
      <c r="B14" s="373" t="s">
        <v>367</v>
      </c>
      <c r="C14" s="155" t="s">
        <v>460</v>
      </c>
      <c r="D14" s="373" t="s">
        <v>336</v>
      </c>
      <c r="E14" s="373" t="s">
        <v>199</v>
      </c>
      <c r="F14" s="405">
        <v>3872429.67</v>
      </c>
      <c r="G14" s="374">
        <v>87.3333333333333</v>
      </c>
      <c r="H14" s="406">
        <v>48992079</v>
      </c>
      <c r="I14" s="370">
        <f>VLOOKUP(Table2[[#This Row],[Rate Desc]],lookup305[],2,TRUE)</f>
        <v>36</v>
      </c>
      <c r="J14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5" spans="2:10" s="370" customFormat="1" ht="19.5" customHeight="1">
      <c r="B15" s="373" t="s">
        <v>367</v>
      </c>
      <c r="C15" s="155" t="s">
        <v>460</v>
      </c>
      <c r="D15" s="373" t="s">
        <v>4</v>
      </c>
      <c r="E15" s="373" t="s">
        <v>192</v>
      </c>
      <c r="F15" s="405">
        <v>-370241.43</v>
      </c>
      <c r="G15" s="374">
        <v>87.3333333333333</v>
      </c>
      <c r="H15" s="406">
        <v>48992087</v>
      </c>
      <c r="I15" s="370">
        <f>VLOOKUP(Table2[[#This Row],[Rate Desc]],lookup305[],2,TRUE)</f>
        <v>36</v>
      </c>
      <c r="J15" s="370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16" spans="2:10" s="370" customFormat="1" ht="19.5" customHeight="1">
      <c r="B16" s="373" t="s">
        <v>367</v>
      </c>
      <c r="C16" s="155" t="s">
        <v>460</v>
      </c>
      <c r="D16" s="373" t="s">
        <v>336</v>
      </c>
      <c r="E16" s="373" t="s">
        <v>370</v>
      </c>
      <c r="F16" s="405">
        <v>58036105.729999997</v>
      </c>
      <c r="G16" s="374">
        <v>865.33333333333303</v>
      </c>
      <c r="H16" s="406">
        <v>768435376</v>
      </c>
      <c r="I16" s="370">
        <f>VLOOKUP(Table2[[#This Row],[Rate Desc]],lookup305[],2,TRUE)</f>
        <v>36</v>
      </c>
      <c r="J16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7" spans="2:10" s="370" customFormat="1" ht="19.5" customHeight="1">
      <c r="B17" s="373" t="s">
        <v>367</v>
      </c>
      <c r="C17" s="155" t="s">
        <v>460</v>
      </c>
      <c r="D17" s="373" t="s">
        <v>336</v>
      </c>
      <c r="E17" s="373" t="s">
        <v>371</v>
      </c>
      <c r="F17" s="405">
        <v>13550566.890000001</v>
      </c>
      <c r="G17" s="374">
        <v>37.3333333333333</v>
      </c>
      <c r="H17" s="406">
        <v>185177120</v>
      </c>
      <c r="I17" s="370" t="str">
        <f>VLOOKUP(Table2[[#This Row],[Rate Desc]],lookup305[],2,TRUE)</f>
        <v>48t</v>
      </c>
      <c r="J17" s="370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18" spans="2:10" s="370" customFormat="1" ht="19.5" customHeight="1">
      <c r="B18" s="373" t="s">
        <v>367</v>
      </c>
      <c r="C18" s="155" t="s">
        <v>460</v>
      </c>
      <c r="D18" s="373" t="s">
        <v>336</v>
      </c>
      <c r="E18" s="373" t="s">
        <v>372</v>
      </c>
      <c r="F18" s="405">
        <v>66774.259999999995</v>
      </c>
      <c r="G18" s="374"/>
      <c r="H18" s="406">
        <v>0</v>
      </c>
      <c r="I18" s="370" t="str">
        <f>VLOOKUP(Table2[[#This Row],[Rate Desc]],lookup305[],2,TRUE)</f>
        <v>aga</v>
      </c>
      <c r="J18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19" spans="2:10" s="370" customFormat="1" ht="19.5" customHeight="1">
      <c r="B19" s="373" t="s">
        <v>367</v>
      </c>
      <c r="C19" s="155" t="s">
        <v>460</v>
      </c>
      <c r="D19" s="373" t="s">
        <v>336</v>
      </c>
      <c r="E19" s="373" t="s">
        <v>373</v>
      </c>
      <c r="F19" s="405">
        <v>116735.56</v>
      </c>
      <c r="G19" s="374"/>
      <c r="H19" s="406">
        <v>0</v>
      </c>
      <c r="I19" s="370" t="str">
        <f>VLOOKUP(Table2[[#This Row],[Rate Desc]],lookup305[],2,TRUE)</f>
        <v>aga</v>
      </c>
      <c r="J19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0" spans="2:10" s="370" customFormat="1" ht="19.5" customHeight="1">
      <c r="B20" s="373" t="s">
        <v>367</v>
      </c>
      <c r="C20" s="155" t="s">
        <v>460</v>
      </c>
      <c r="D20" s="373" t="s">
        <v>336</v>
      </c>
      <c r="E20" s="373" t="s">
        <v>374</v>
      </c>
      <c r="F20" s="405">
        <v>2441.59</v>
      </c>
      <c r="G20" s="374"/>
      <c r="H20" s="406">
        <v>0</v>
      </c>
      <c r="I20" s="370" t="str">
        <f>VLOOKUP(Table2[[#This Row],[Rate Desc]],lookup305[],2,TRUE)</f>
        <v>aga</v>
      </c>
      <c r="J20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1" spans="2:10" s="370" customFormat="1" ht="19.5" customHeight="1">
      <c r="B21" s="373" t="s">
        <v>367</v>
      </c>
      <c r="C21" s="155" t="s">
        <v>460</v>
      </c>
      <c r="D21" s="373" t="s">
        <v>336</v>
      </c>
      <c r="E21" s="373" t="s">
        <v>375</v>
      </c>
      <c r="F21" s="405">
        <v>292075.09000000003</v>
      </c>
      <c r="G21" s="374"/>
      <c r="H21" s="406">
        <v>0</v>
      </c>
      <c r="I21" s="370" t="str">
        <f>VLOOKUP(Table2[[#This Row],[Rate Desc]],lookup305[],2,TRUE)</f>
        <v>aga</v>
      </c>
      <c r="J21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2" spans="2:10" s="370" customFormat="1" ht="19.5" customHeight="1">
      <c r="B22" s="373" t="s">
        <v>367</v>
      </c>
      <c r="C22" s="155" t="s">
        <v>460</v>
      </c>
      <c r="D22" s="373" t="s">
        <v>336</v>
      </c>
      <c r="E22" s="373" t="s">
        <v>376</v>
      </c>
      <c r="F22" s="405">
        <v>28871.35</v>
      </c>
      <c r="G22" s="374"/>
      <c r="H22" s="406">
        <v>0</v>
      </c>
      <c r="I22" s="370" t="str">
        <f>VLOOKUP(Table2[[#This Row],[Rate Desc]],lookup305[],2,TRUE)</f>
        <v>aga</v>
      </c>
      <c r="J22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3" spans="2:10" s="370" customFormat="1" ht="19.5" customHeight="1">
      <c r="B23" s="373" t="s">
        <v>367</v>
      </c>
      <c r="C23" s="155" t="s">
        <v>460</v>
      </c>
      <c r="D23" s="373" t="s">
        <v>336</v>
      </c>
      <c r="E23" s="373" t="s">
        <v>377</v>
      </c>
      <c r="F23" s="405">
        <v>668.76</v>
      </c>
      <c r="G23" s="374"/>
      <c r="H23" s="406">
        <v>0</v>
      </c>
      <c r="I23" s="370" t="str">
        <f>VLOOKUP(Table2[[#This Row],[Rate Desc]],lookup305[],2,TRUE)</f>
        <v>aga</v>
      </c>
      <c r="J23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4" spans="2:10" s="370" customFormat="1" ht="19.5" customHeight="1">
      <c r="B24" s="373" t="s">
        <v>367</v>
      </c>
      <c r="C24" s="155" t="s">
        <v>460</v>
      </c>
      <c r="D24" s="373" t="s">
        <v>336</v>
      </c>
      <c r="E24" s="373" t="s">
        <v>170</v>
      </c>
      <c r="F24" s="405">
        <v>7195.72</v>
      </c>
      <c r="G24" s="374"/>
      <c r="H24" s="406">
        <v>0</v>
      </c>
      <c r="I24" s="370" t="str">
        <f>VLOOKUP(Table2[[#This Row],[Rate Desc]],lookup305[],2,TRUE)</f>
        <v>aga</v>
      </c>
      <c r="J24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5" spans="2:10" s="370" customFormat="1" ht="19.5" customHeight="1">
      <c r="B25" s="373" t="s">
        <v>367</v>
      </c>
      <c r="C25" s="155" t="s">
        <v>460</v>
      </c>
      <c r="D25" s="373" t="s">
        <v>336</v>
      </c>
      <c r="E25" s="373" t="s">
        <v>212</v>
      </c>
      <c r="F25" s="405">
        <v>1928.44</v>
      </c>
      <c r="G25" s="374"/>
      <c r="H25" s="406">
        <v>0</v>
      </c>
      <c r="I25" s="370" t="str">
        <f>VLOOKUP(Table2[[#This Row],[Rate Desc]],lookup305[],2,TRUE)</f>
        <v>aga</v>
      </c>
      <c r="J25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6" spans="2:10" s="370" customFormat="1" ht="19.5" customHeight="1">
      <c r="B26" s="373" t="s">
        <v>367</v>
      </c>
      <c r="C26" s="155" t="s">
        <v>460</v>
      </c>
      <c r="D26" s="373" t="s">
        <v>336</v>
      </c>
      <c r="E26" s="373" t="s">
        <v>211</v>
      </c>
      <c r="F26" s="405">
        <v>58689.56</v>
      </c>
      <c r="G26" s="374"/>
      <c r="H26" s="406">
        <v>0</v>
      </c>
      <c r="I26" s="370" t="str">
        <f>VLOOKUP(Table2[[#This Row],[Rate Desc]],lookup305[],2,TRUE)</f>
        <v>aga</v>
      </c>
      <c r="J26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7" spans="2:10" s="370" customFormat="1" ht="19.5" customHeight="1">
      <c r="B27" s="373" t="s">
        <v>367</v>
      </c>
      <c r="C27" s="155" t="s">
        <v>460</v>
      </c>
      <c r="D27" s="373" t="s">
        <v>336</v>
      </c>
      <c r="E27" s="373" t="s">
        <v>213</v>
      </c>
      <c r="F27" s="405">
        <v>14509.4</v>
      </c>
      <c r="G27" s="374"/>
      <c r="H27" s="406">
        <v>0</v>
      </c>
      <c r="I27" s="370" t="str">
        <f>VLOOKUP(Table2[[#This Row],[Rate Desc]],lookup305[],2,TRUE)</f>
        <v>aga</v>
      </c>
      <c r="J27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8" spans="2:10" s="370" customFormat="1" ht="19.5" customHeight="1">
      <c r="B28" s="373" t="s">
        <v>367</v>
      </c>
      <c r="C28" s="155" t="s">
        <v>460</v>
      </c>
      <c r="D28" s="373" t="s">
        <v>4</v>
      </c>
      <c r="E28" s="373" t="s">
        <v>418</v>
      </c>
      <c r="F28" s="405">
        <v>-774.79</v>
      </c>
      <c r="G28" s="374">
        <v>21</v>
      </c>
      <c r="H28" s="406">
        <v>101456</v>
      </c>
      <c r="I28" s="370">
        <f>VLOOKUP(Table2[[#This Row],[Rate Desc]],lookup305[],2,TRUE)</f>
        <v>24</v>
      </c>
      <c r="J28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29" spans="2:10" s="370" customFormat="1" ht="19.5" customHeight="1">
      <c r="B29" s="373" t="s">
        <v>367</v>
      </c>
      <c r="C29" s="155" t="s">
        <v>460</v>
      </c>
      <c r="D29" s="373" t="s">
        <v>336</v>
      </c>
      <c r="E29" s="373" t="s">
        <v>419</v>
      </c>
      <c r="F29" s="405">
        <v>13912.77</v>
      </c>
      <c r="G29" s="374">
        <v>21</v>
      </c>
      <c r="H29" s="406">
        <v>101456</v>
      </c>
      <c r="I29" s="370">
        <f>VLOOKUP(Table2[[#This Row],[Rate Desc]],lookup305[],2,TRUE)</f>
        <v>24</v>
      </c>
      <c r="J29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30" spans="2:10" s="370" customFormat="1" ht="19.5" customHeight="1">
      <c r="B30" s="373" t="s">
        <v>367</v>
      </c>
      <c r="C30" s="155" t="s">
        <v>460</v>
      </c>
      <c r="D30" s="373" t="s">
        <v>336</v>
      </c>
      <c r="E30" s="373" t="s">
        <v>185</v>
      </c>
      <c r="F30" s="405">
        <v>390412.95</v>
      </c>
      <c r="G30" s="374">
        <v>103.416666666667</v>
      </c>
      <c r="H30" s="406">
        <v>4230997</v>
      </c>
      <c r="I30" s="370">
        <f>VLOOKUP(Table2[[#This Row],[Rate Desc]],lookup305[],2,TRUE)</f>
        <v>24</v>
      </c>
      <c r="J30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31" spans="2:10" s="370" customFormat="1" ht="19.5" customHeight="1">
      <c r="B31" s="373" t="s">
        <v>367</v>
      </c>
      <c r="C31" s="155" t="s">
        <v>460</v>
      </c>
      <c r="D31" s="373" t="s">
        <v>336</v>
      </c>
      <c r="E31" s="373" t="s">
        <v>230</v>
      </c>
      <c r="F31" s="405">
        <v>989804.92</v>
      </c>
      <c r="G31" s="374">
        <v>17</v>
      </c>
      <c r="H31" s="406">
        <v>12080539</v>
      </c>
      <c r="I31" s="370">
        <f>VLOOKUP(Table2[[#This Row],[Rate Desc]],lookup305[],2,TRUE)</f>
        <v>36</v>
      </c>
      <c r="J31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32" spans="2:10" s="370" customFormat="1" ht="19.5" customHeight="1">
      <c r="B32" s="373" t="s">
        <v>367</v>
      </c>
      <c r="C32" s="155" t="s">
        <v>460</v>
      </c>
      <c r="D32" s="373" t="s">
        <v>336</v>
      </c>
      <c r="E32" s="373" t="s">
        <v>308</v>
      </c>
      <c r="F32" s="405">
        <v>755765.22</v>
      </c>
      <c r="G32" s="374">
        <v>2</v>
      </c>
      <c r="H32" s="406">
        <v>10704000</v>
      </c>
      <c r="I32" s="370" t="str">
        <f>VLOOKUP(Table2[[#This Row],[Rate Desc]],lookup305[],2,TRUE)</f>
        <v>48t</v>
      </c>
      <c r="J32" s="370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33" spans="2:12" s="370" customFormat="1" ht="19.5" customHeight="1">
      <c r="B33" s="373" t="s">
        <v>367</v>
      </c>
      <c r="C33" s="155" t="s">
        <v>460</v>
      </c>
      <c r="D33" s="373" t="s">
        <v>336</v>
      </c>
      <c r="E33" s="373" t="s">
        <v>378</v>
      </c>
      <c r="F33" s="405">
        <v>205760.01</v>
      </c>
      <c r="G33" s="374">
        <v>765.16666666666697</v>
      </c>
      <c r="H33" s="406">
        <v>1413438</v>
      </c>
      <c r="I33" s="370" t="str">
        <f>VLOOKUP(Table2[[#This Row],[Rate Desc]],lookup305[],2,TRUE)</f>
        <v>15n</v>
      </c>
      <c r="J33" s="370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34" spans="2:12" s="370" customFormat="1" ht="19.5" customHeight="1">
      <c r="B34" s="373" t="s">
        <v>367</v>
      </c>
      <c r="C34" s="155" t="s">
        <v>460</v>
      </c>
      <c r="D34" s="373" t="s">
        <v>336</v>
      </c>
      <c r="E34" s="373" t="s">
        <v>197</v>
      </c>
      <c r="F34" s="405">
        <v>79184.33</v>
      </c>
      <c r="G34" s="374">
        <v>463.33333333333297</v>
      </c>
      <c r="H34" s="406">
        <v>498959</v>
      </c>
      <c r="I34" s="370" t="str">
        <f>VLOOKUP(Table2[[#This Row],[Rate Desc]],lookup305[],2,TRUE)</f>
        <v>15n</v>
      </c>
      <c r="J34" s="370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35" spans="2:12" s="370" customFormat="1" ht="19.5" customHeight="1">
      <c r="B35" s="373" t="s">
        <v>367</v>
      </c>
      <c r="C35" s="155" t="s">
        <v>460</v>
      </c>
      <c r="D35" s="373" t="s">
        <v>4</v>
      </c>
      <c r="E35" s="373" t="s">
        <v>193</v>
      </c>
      <c r="F35" s="405">
        <v>-3753.95</v>
      </c>
      <c r="G35" s="374"/>
      <c r="H35" s="406">
        <v>498961</v>
      </c>
      <c r="I35" s="370" t="str">
        <f>VLOOKUP(Table2[[#This Row],[Rate Desc]],lookup305[],2,TRUE)</f>
        <v>15n</v>
      </c>
      <c r="J35" s="370" t="str">
        <f>IF(Table2[[#This Row],[Rate Group Cd]]="B",IF(OR(Table2[[#This Row],[Code]]="bpa",Table2[[#This Row],[Code]]="bpaadj"),Table2[[#This Row],[Code]],"b"&amp;Table2[[#This Row],[Code]]),Table2[[#This Row],[Code]])</f>
        <v>b15n</v>
      </c>
    </row>
    <row r="36" spans="2:12" s="370" customFormat="1" ht="19.5" customHeight="1">
      <c r="B36" s="373" t="s">
        <v>367</v>
      </c>
      <c r="C36" s="155" t="s">
        <v>460</v>
      </c>
      <c r="D36" s="373" t="s">
        <v>336</v>
      </c>
      <c r="E36" s="373" t="s">
        <v>379</v>
      </c>
      <c r="F36" s="405">
        <v>23704.91</v>
      </c>
      <c r="G36" s="374">
        <v>26.6666666666667</v>
      </c>
      <c r="H36" s="406">
        <v>259795</v>
      </c>
      <c r="I36" s="370">
        <f>VLOOKUP(Table2[[#This Row],[Rate Desc]],lookup305[],2,TRUE)</f>
        <v>54</v>
      </c>
      <c r="J36" s="370">
        <f>IF(Table2[[#This Row],[Rate Group Cd]]="B",IF(OR(Table2[[#This Row],[Code]]="bpa",Table2[[#This Row],[Code]]="bpaadj"),Table2[[#This Row],[Code]],"b"&amp;Table2[[#This Row],[Code]]),Table2[[#This Row],[Code]])</f>
        <v>54</v>
      </c>
    </row>
    <row r="37" spans="2:12" s="370" customFormat="1" ht="19.5" customHeight="1">
      <c r="B37" s="373" t="s">
        <v>367</v>
      </c>
      <c r="C37" s="155" t="s">
        <v>460</v>
      </c>
      <c r="D37" s="373" t="s">
        <v>336</v>
      </c>
      <c r="E37" s="373" t="s">
        <v>107</v>
      </c>
      <c r="F37" s="405">
        <v>-0.75</v>
      </c>
      <c r="G37" s="374"/>
      <c r="H37" s="406">
        <v>0</v>
      </c>
      <c r="I37" s="370" t="str">
        <f>VLOOKUP(Table2[[#This Row],[Rate Desc]],lookup305[],2,TRUE)</f>
        <v>aga</v>
      </c>
      <c r="J37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38" spans="2:12" s="370" customFormat="1" ht="19.5" customHeight="1">
      <c r="B38" s="373" t="s">
        <v>367</v>
      </c>
      <c r="C38" s="155" t="s">
        <v>460</v>
      </c>
      <c r="D38" s="373" t="s">
        <v>336</v>
      </c>
      <c r="E38" s="373" t="s">
        <v>268</v>
      </c>
      <c r="F38" s="405">
        <v>3896022.27</v>
      </c>
      <c r="G38" s="374">
        <v>0</v>
      </c>
      <c r="H38" s="406">
        <v>0</v>
      </c>
      <c r="I38" s="370" t="str">
        <f>VLOOKUP(Table2[[#This Row],[Rate Desc]],lookup305[],2,TRUE)</f>
        <v>dsm</v>
      </c>
      <c r="J38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39" spans="2:12" s="370" customFormat="1" ht="19.5" customHeight="1">
      <c r="B39" s="373" t="s">
        <v>367</v>
      </c>
      <c r="C39" s="155" t="s">
        <v>460</v>
      </c>
      <c r="D39" s="373" t="s">
        <v>336</v>
      </c>
      <c r="E39" s="373" t="s">
        <v>269</v>
      </c>
      <c r="F39" s="405">
        <v>24654.6</v>
      </c>
      <c r="G39" s="374">
        <v>2</v>
      </c>
      <c r="H39" s="406">
        <v>0</v>
      </c>
      <c r="I39" s="370" t="str">
        <f>VLOOKUP(Table2[[#This Row],[Rate Desc]],lookup305[],2,TRUE)</f>
        <v>blue</v>
      </c>
      <c r="J39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40" spans="2:12" s="370" customFormat="1" ht="19.5" customHeight="1">
      <c r="B40" s="373" t="s">
        <v>367</v>
      </c>
      <c r="C40" s="155" t="s">
        <v>460</v>
      </c>
      <c r="D40" s="373" t="s">
        <v>336</v>
      </c>
      <c r="E40" s="373" t="s">
        <v>403</v>
      </c>
      <c r="F40" s="405">
        <v>-7659430.7599999998</v>
      </c>
      <c r="G40" s="374">
        <v>0</v>
      </c>
      <c r="H40" s="406">
        <v>0</v>
      </c>
      <c r="I40" s="370" t="str">
        <f>VLOOKUP(Table2[[#This Row],[Rate Desc]],lookup305[],2,TRUE)</f>
        <v>arp</v>
      </c>
      <c r="J40" s="370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41" spans="2:12" s="370" customFormat="1" ht="19.5" customHeight="1">
      <c r="B41" s="373" t="s">
        <v>367</v>
      </c>
      <c r="C41" s="155" t="s">
        <v>460</v>
      </c>
      <c r="D41" s="373" t="s">
        <v>4</v>
      </c>
      <c r="E41" s="373" t="s">
        <v>380</v>
      </c>
      <c r="F41" s="405">
        <v>-21879.03</v>
      </c>
      <c r="G41" s="374">
        <v>0</v>
      </c>
      <c r="H41" s="406">
        <v>0</v>
      </c>
      <c r="I41" s="370" t="str">
        <f>VLOOKUP(Table2[[#This Row],[Rate Desc]],lookup305[],2,TRUE)</f>
        <v>bpa</v>
      </c>
      <c r="J41" s="370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42" spans="2:12" s="370" customFormat="1" ht="19.5" customHeight="1">
      <c r="B42" s="373" t="s">
        <v>367</v>
      </c>
      <c r="C42" s="155" t="s">
        <v>460</v>
      </c>
      <c r="D42" s="373" t="s">
        <v>4</v>
      </c>
      <c r="E42" s="373" t="s">
        <v>381</v>
      </c>
      <c r="F42" s="405"/>
      <c r="G42" s="374">
        <v>0</v>
      </c>
      <c r="H42" s="406"/>
      <c r="I42" s="370">
        <f>VLOOKUP(Table2[[#This Row],[Rate Desc]],lookup305[],2,TRUE)</f>
        <v>0</v>
      </c>
      <c r="J42" s="370" t="str">
        <f>IF(Table2[[#This Row],[Rate Group Cd]]="B",IF(OR(Table2[[#This Row],[Code]]="bpa",Table2[[#This Row],[Code]]="bpaadj"),Table2[[#This Row],[Code]],"b"&amp;Table2[[#This Row],[Code]]),Table2[[#This Row],[Code]])</f>
        <v>b0</v>
      </c>
    </row>
    <row r="43" spans="2:12" s="370" customFormat="1" ht="19.5" customHeight="1">
      <c r="B43" s="373" t="s">
        <v>367</v>
      </c>
      <c r="C43" s="155" t="s">
        <v>460</v>
      </c>
      <c r="D43" s="373" t="s">
        <v>336</v>
      </c>
      <c r="E43" s="373" t="s">
        <v>382</v>
      </c>
      <c r="F43" s="405"/>
      <c r="G43" s="374">
        <v>0</v>
      </c>
      <c r="H43" s="406"/>
      <c r="I43" s="370">
        <f>VLOOKUP(Table2[[#This Row],[Rate Desc]],lookup305[],2,TRUE)</f>
        <v>0</v>
      </c>
      <c r="J43" s="370">
        <f>IF(Table2[[#This Row],[Rate Group Cd]]="B",IF(OR(Table2[[#This Row],[Code]]="bpa",Table2[[#This Row],[Code]]="bpaadj"),Table2[[#This Row],[Code]],"b"&amp;Table2[[#This Row],[Code]]),Table2[[#This Row],[Code]])</f>
        <v>0</v>
      </c>
    </row>
    <row r="44" spans="2:12" s="370" customFormat="1" ht="19.5" customHeight="1">
      <c r="B44" s="373" t="s">
        <v>367</v>
      </c>
      <c r="C44" s="155" t="s">
        <v>460</v>
      </c>
      <c r="D44" s="373" t="s">
        <v>336</v>
      </c>
      <c r="E44" s="373" t="s">
        <v>404</v>
      </c>
      <c r="F44" s="405">
        <v>0</v>
      </c>
      <c r="G44" s="374">
        <v>0</v>
      </c>
      <c r="H44" s="406">
        <v>0</v>
      </c>
      <c r="I44" s="370" t="str">
        <f>VLOOKUP(Table2[[#This Row],[Rate Desc]],lookup305[],2,TRUE)</f>
        <v>itd</v>
      </c>
      <c r="J44" s="370" t="str">
        <f>IF(Table2[[#This Row],[Rate Group Cd]]="B",IF(OR(Table2[[#This Row],[Code]]="bpa",Table2[[#This Row],[Code]]="bpaadj"),Table2[[#This Row],[Code]],"b"&amp;Table2[[#This Row],[Code]]),Table2[[#This Row],[Code]])</f>
        <v>itd</v>
      </c>
      <c r="L44" s="370" t="s">
        <v>29</v>
      </c>
    </row>
    <row r="45" spans="2:12" s="370" customFormat="1" ht="19.5" customHeight="1">
      <c r="B45" s="373" t="s">
        <v>367</v>
      </c>
      <c r="C45" s="155" t="s">
        <v>460</v>
      </c>
      <c r="D45" s="373" t="s">
        <v>336</v>
      </c>
      <c r="E45" s="373" t="s">
        <v>229</v>
      </c>
      <c r="F45" s="405">
        <v>-7413153.29</v>
      </c>
      <c r="G45" s="374">
        <v>0</v>
      </c>
      <c r="H45" s="406">
        <v>0</v>
      </c>
      <c r="I45" s="370" t="str">
        <f>VLOOKUP(Table2[[#This Row],[Rate Desc]],lookup305[],2,TRUE)</f>
        <v>rev</v>
      </c>
      <c r="J45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46" spans="2:12" s="370" customFormat="1" ht="19.5" customHeight="1">
      <c r="B46" s="373" t="s">
        <v>367</v>
      </c>
      <c r="C46" s="155" t="s">
        <v>460</v>
      </c>
      <c r="D46" s="373" t="s">
        <v>336</v>
      </c>
      <c r="E46" s="373" t="s">
        <v>253</v>
      </c>
      <c r="F46" s="405">
        <v>60774.080000000002</v>
      </c>
      <c r="G46" s="374">
        <v>0</v>
      </c>
      <c r="H46" s="406">
        <v>0</v>
      </c>
      <c r="I46" s="370" t="str">
        <f>VLOOKUP(Table2[[#This Row],[Rate Desc]],lookup305[],2,TRUE)</f>
        <v>rev</v>
      </c>
      <c r="J46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47" spans="2:12" s="370" customFormat="1" ht="19.5" customHeight="1">
      <c r="B47" s="373" t="s">
        <v>367</v>
      </c>
      <c r="C47" s="155" t="s">
        <v>460</v>
      </c>
      <c r="D47" s="373" t="s">
        <v>337</v>
      </c>
      <c r="E47" s="373" t="s">
        <v>383</v>
      </c>
      <c r="F47" s="405">
        <v>-1552000</v>
      </c>
      <c r="G47" s="374">
        <v>0</v>
      </c>
      <c r="H47" s="406">
        <v>-12301000</v>
      </c>
      <c r="I47" s="370" t="str">
        <f>VLOOKUP(Table2[[#This Row],[Rate Desc]],lookup305[],2,TRUE)</f>
        <v>unbilled</v>
      </c>
      <c r="J47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48" spans="2:12" s="370" customFormat="1" ht="19.5" customHeight="1">
      <c r="B48" s="373" t="s">
        <v>367</v>
      </c>
      <c r="C48" s="155" t="s">
        <v>461</v>
      </c>
      <c r="D48" s="373" t="s">
        <v>336</v>
      </c>
      <c r="E48" s="373" t="s">
        <v>189</v>
      </c>
      <c r="F48" s="405">
        <v>90809.71</v>
      </c>
      <c r="G48" s="374">
        <v>41.9166666666667</v>
      </c>
      <c r="H48" s="406">
        <v>861723</v>
      </c>
      <c r="I48" s="370">
        <f>VLOOKUP(Table2[[#This Row],[Rate Desc]],lookup305[],2,TRUE)</f>
        <v>24</v>
      </c>
      <c r="J48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49" spans="2:10" s="370" customFormat="1" ht="19.5" customHeight="1">
      <c r="B49" s="373" t="s">
        <v>367</v>
      </c>
      <c r="C49" s="155" t="s">
        <v>461</v>
      </c>
      <c r="D49" s="373" t="s">
        <v>4</v>
      </c>
      <c r="E49" s="373" t="s">
        <v>195</v>
      </c>
      <c r="F49" s="405">
        <v>-6575.05</v>
      </c>
      <c r="G49" s="374">
        <v>41.9166666666667</v>
      </c>
      <c r="H49" s="406">
        <v>861723</v>
      </c>
      <c r="I49" s="370">
        <f>VLOOKUP(Table2[[#This Row],[Rate Desc]],lookup305[],2,TRUE)</f>
        <v>24</v>
      </c>
      <c r="J49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50" spans="2:10" s="370" customFormat="1" ht="19.5" customHeight="1">
      <c r="B50" s="373" t="s">
        <v>367</v>
      </c>
      <c r="C50" s="155" t="s">
        <v>461</v>
      </c>
      <c r="D50" s="373" t="s">
        <v>336</v>
      </c>
      <c r="E50" s="373" t="s">
        <v>190</v>
      </c>
      <c r="F50" s="405">
        <v>1029.72</v>
      </c>
      <c r="G50" s="374">
        <v>1</v>
      </c>
      <c r="H50" s="406">
        <v>3646</v>
      </c>
      <c r="I50" s="370" t="str">
        <f>VLOOKUP(Table2[[#This Row],[Rate Desc]],lookup305[],2,TRUE)</f>
        <v>24fp</v>
      </c>
      <c r="J50" s="370" t="str">
        <f>IF(Table2[[#This Row],[Rate Group Cd]]="B",IF(OR(Table2[[#This Row],[Code]]="bpa",Table2[[#This Row],[Code]]="bpaadj"),Table2[[#This Row],[Code]],"b"&amp;Table2[[#This Row],[Code]]),Table2[[#This Row],[Code]])</f>
        <v>24fp</v>
      </c>
    </row>
    <row r="51" spans="2:10" s="370" customFormat="1" ht="19.5" customHeight="1">
      <c r="B51" s="373" t="s">
        <v>367</v>
      </c>
      <c r="C51" s="155" t="s">
        <v>461</v>
      </c>
      <c r="D51" s="373" t="s">
        <v>4</v>
      </c>
      <c r="E51" s="373" t="s">
        <v>196</v>
      </c>
      <c r="F51" s="405">
        <v>-28.23</v>
      </c>
      <c r="G51" s="374">
        <v>1</v>
      </c>
      <c r="H51" s="406">
        <v>3646</v>
      </c>
      <c r="I51" s="370" t="str">
        <f>VLOOKUP(Table2[[#This Row],[Rate Desc]],lookup305[],2,TRUE)</f>
        <v>24fp</v>
      </c>
      <c r="J51" s="370" t="str">
        <f>IF(Table2[[#This Row],[Rate Group Cd]]="B",IF(OR(Table2[[#This Row],[Code]]="bpa",Table2[[#This Row],[Code]]="bpaadj"),Table2[[#This Row],[Code]],"b"&amp;Table2[[#This Row],[Code]]),Table2[[#This Row],[Code]])</f>
        <v>b24fp</v>
      </c>
    </row>
    <row r="52" spans="2:10" s="370" customFormat="1" ht="19.5" customHeight="1">
      <c r="B52" s="373" t="s">
        <v>367</v>
      </c>
      <c r="C52" s="155" t="s">
        <v>461</v>
      </c>
      <c r="D52" s="373" t="s">
        <v>336</v>
      </c>
      <c r="E52" s="373" t="s">
        <v>368</v>
      </c>
      <c r="F52" s="405">
        <v>1293213.56</v>
      </c>
      <c r="G52" s="374">
        <v>325.33333333333297</v>
      </c>
      <c r="H52" s="406">
        <v>14228554</v>
      </c>
      <c r="I52" s="370">
        <f>VLOOKUP(Table2[[#This Row],[Rate Desc]],lookup305[],2,TRUE)</f>
        <v>24</v>
      </c>
      <c r="J52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53" spans="2:10" s="370" customFormat="1" ht="19.5" customHeight="1">
      <c r="B53" s="373" t="s">
        <v>367</v>
      </c>
      <c r="C53" s="155" t="s">
        <v>461</v>
      </c>
      <c r="D53" s="373" t="s">
        <v>336</v>
      </c>
      <c r="E53" s="373" t="s">
        <v>369</v>
      </c>
      <c r="F53" s="405">
        <v>8671.15</v>
      </c>
      <c r="G53" s="374">
        <v>4</v>
      </c>
      <c r="H53" s="406">
        <v>33312</v>
      </c>
      <c r="I53" s="370" t="str">
        <f>VLOOKUP(Table2[[#This Row],[Rate Desc]],lookup305[],2,TRUE)</f>
        <v>24f</v>
      </c>
      <c r="J53" s="370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54" spans="2:10" s="370" customFormat="1" ht="19.5" customHeight="1">
      <c r="B54" s="373" t="s">
        <v>367</v>
      </c>
      <c r="C54" s="155" t="s">
        <v>461</v>
      </c>
      <c r="D54" s="373" t="s">
        <v>336</v>
      </c>
      <c r="E54" s="373" t="s">
        <v>199</v>
      </c>
      <c r="F54" s="405">
        <v>177516.78</v>
      </c>
      <c r="G54" s="374">
        <v>9.25</v>
      </c>
      <c r="H54" s="406">
        <v>1470680</v>
      </c>
      <c r="I54" s="370">
        <f>VLOOKUP(Table2[[#This Row],[Rate Desc]],lookup305[],2,TRUE)</f>
        <v>36</v>
      </c>
      <c r="J54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55" spans="2:10" s="370" customFormat="1" ht="19.5" customHeight="1">
      <c r="B55" s="373" t="s">
        <v>367</v>
      </c>
      <c r="C55" s="155" t="s">
        <v>461</v>
      </c>
      <c r="D55" s="373" t="s">
        <v>4</v>
      </c>
      <c r="E55" s="373" t="s">
        <v>192</v>
      </c>
      <c r="F55" s="405">
        <v>-11515.94</v>
      </c>
      <c r="G55" s="374">
        <v>9.25</v>
      </c>
      <c r="H55" s="406">
        <v>1470680</v>
      </c>
      <c r="I55" s="370">
        <f>VLOOKUP(Table2[[#This Row],[Rate Desc]],lookup305[],2,TRUE)</f>
        <v>36</v>
      </c>
      <c r="J55" s="370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56" spans="2:10" s="370" customFormat="1" ht="19.5" customHeight="1">
      <c r="B56" s="373" t="s">
        <v>367</v>
      </c>
      <c r="C56" s="155" t="s">
        <v>461</v>
      </c>
      <c r="D56" s="373" t="s">
        <v>336</v>
      </c>
      <c r="E56" s="373" t="s">
        <v>370</v>
      </c>
      <c r="F56" s="405">
        <v>7565572.1500000004</v>
      </c>
      <c r="G56" s="374">
        <v>94.0833333333333</v>
      </c>
      <c r="H56" s="406">
        <v>95176974</v>
      </c>
      <c r="I56" s="370">
        <f>VLOOKUP(Table2[[#This Row],[Rate Desc]],lookup305[],2,TRUE)</f>
        <v>36</v>
      </c>
      <c r="J56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57" spans="2:10" s="370" customFormat="1" ht="19.5" customHeight="1">
      <c r="B57" s="373" t="s">
        <v>367</v>
      </c>
      <c r="C57" s="155" t="s">
        <v>461</v>
      </c>
      <c r="D57" s="373" t="s">
        <v>336</v>
      </c>
      <c r="E57" s="373" t="s">
        <v>371</v>
      </c>
      <c r="F57" s="405">
        <v>42759970.450000003</v>
      </c>
      <c r="G57" s="374">
        <v>29.5</v>
      </c>
      <c r="H57" s="406">
        <v>683075500</v>
      </c>
      <c r="I57" s="370" t="str">
        <f>VLOOKUP(Table2[[#This Row],[Rate Desc]],lookup305[],2,TRUE)</f>
        <v>48t</v>
      </c>
      <c r="J57" s="370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58" spans="2:10" s="370" customFormat="1" ht="19.5" customHeight="1">
      <c r="B58" s="373" t="s">
        <v>367</v>
      </c>
      <c r="C58" s="155" t="s">
        <v>461</v>
      </c>
      <c r="D58" s="373" t="s">
        <v>336</v>
      </c>
      <c r="E58" s="373" t="s">
        <v>373</v>
      </c>
      <c r="F58" s="405">
        <v>31005.040000000001</v>
      </c>
      <c r="G58" s="374"/>
      <c r="H58" s="406">
        <v>0</v>
      </c>
      <c r="I58" s="370" t="str">
        <f>VLOOKUP(Table2[[#This Row],[Rate Desc]],lookup305[],2,TRUE)</f>
        <v>aga</v>
      </c>
      <c r="J58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59" spans="2:10" s="370" customFormat="1" ht="19.5" customHeight="1">
      <c r="B59" s="373" t="s">
        <v>367</v>
      </c>
      <c r="C59" s="155" t="s">
        <v>461</v>
      </c>
      <c r="D59" s="373" t="s">
        <v>336</v>
      </c>
      <c r="E59" s="373" t="s">
        <v>170</v>
      </c>
      <c r="F59" s="405">
        <v>16828.189999999999</v>
      </c>
      <c r="G59" s="374"/>
      <c r="H59" s="406">
        <v>0</v>
      </c>
      <c r="I59" s="370" t="str">
        <f>VLOOKUP(Table2[[#This Row],[Rate Desc]],lookup305[],2,TRUE)</f>
        <v>aga</v>
      </c>
      <c r="J59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60" spans="2:10" s="370" customFormat="1" ht="19.5" customHeight="1">
      <c r="B60" s="373" t="s">
        <v>367</v>
      </c>
      <c r="C60" s="155" t="s">
        <v>461</v>
      </c>
      <c r="D60" s="373" t="s">
        <v>336</v>
      </c>
      <c r="E60" s="373" t="s">
        <v>185</v>
      </c>
      <c r="F60" s="405">
        <v>1652.77</v>
      </c>
      <c r="G60" s="374">
        <v>1.0833333333333299</v>
      </c>
      <c r="H60" s="406">
        <v>13680</v>
      </c>
      <c r="I60" s="370">
        <f>VLOOKUP(Table2[[#This Row],[Rate Desc]],lookup305[],2,TRUE)</f>
        <v>24</v>
      </c>
      <c r="J60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61" spans="2:10" s="370" customFormat="1" ht="19.5" customHeight="1">
      <c r="B61" s="373" t="s">
        <v>367</v>
      </c>
      <c r="C61" s="155" t="s">
        <v>461</v>
      </c>
      <c r="D61" s="373" t="s">
        <v>336</v>
      </c>
      <c r="E61" s="373" t="s">
        <v>378</v>
      </c>
      <c r="F61" s="405">
        <v>12834.18</v>
      </c>
      <c r="G61" s="374">
        <v>37</v>
      </c>
      <c r="H61" s="406">
        <v>96553</v>
      </c>
      <c r="I61" s="370" t="str">
        <f>VLOOKUP(Table2[[#This Row],[Rate Desc]],lookup305[],2,TRUE)</f>
        <v>15n</v>
      </c>
      <c r="J61" s="370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62" spans="2:10" s="370" customFormat="1" ht="19.5" customHeight="1">
      <c r="B62" s="373" t="s">
        <v>367</v>
      </c>
      <c r="C62" s="155" t="s">
        <v>461</v>
      </c>
      <c r="D62" s="373" t="s">
        <v>336</v>
      </c>
      <c r="E62" s="373" t="s">
        <v>197</v>
      </c>
      <c r="F62" s="405">
        <v>4070.2</v>
      </c>
      <c r="G62" s="374">
        <v>14</v>
      </c>
      <c r="H62" s="406">
        <v>26734</v>
      </c>
      <c r="I62" s="370" t="str">
        <f>VLOOKUP(Table2[[#This Row],[Rate Desc]],lookup305[],2,TRUE)</f>
        <v>15n</v>
      </c>
      <c r="J62" s="370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63" spans="2:10" s="370" customFormat="1" ht="19.5" customHeight="1">
      <c r="B63" s="373" t="s">
        <v>367</v>
      </c>
      <c r="C63" s="155" t="s">
        <v>461</v>
      </c>
      <c r="D63" s="373" t="s">
        <v>4</v>
      </c>
      <c r="E63" s="373" t="s">
        <v>193</v>
      </c>
      <c r="F63" s="405">
        <v>-201.72</v>
      </c>
      <c r="G63" s="374"/>
      <c r="H63" s="406">
        <v>26734</v>
      </c>
      <c r="I63" s="370" t="str">
        <f>VLOOKUP(Table2[[#This Row],[Rate Desc]],lookup305[],2,TRUE)</f>
        <v>15n</v>
      </c>
      <c r="J63" s="370" t="str">
        <f>IF(Table2[[#This Row],[Rate Group Cd]]="B",IF(OR(Table2[[#This Row],[Code]]="bpa",Table2[[#This Row],[Code]]="bpaadj"),Table2[[#This Row],[Code]],"b"&amp;Table2[[#This Row],[Code]]),Table2[[#This Row],[Code]])</f>
        <v>b15n</v>
      </c>
    </row>
    <row r="64" spans="2:10" s="370" customFormat="1" ht="19.5" customHeight="1">
      <c r="B64" s="373" t="s">
        <v>367</v>
      </c>
      <c r="C64" s="155" t="s">
        <v>461</v>
      </c>
      <c r="D64" s="373" t="s">
        <v>336</v>
      </c>
      <c r="E64" s="373" t="s">
        <v>384</v>
      </c>
      <c r="F64" s="405">
        <v>307582.31</v>
      </c>
      <c r="G64" s="374">
        <v>1</v>
      </c>
      <c r="H64" s="406">
        <v>1737950</v>
      </c>
      <c r="I64" s="370">
        <f>VLOOKUP(Table2[[#This Row],[Rate Desc]],lookup305[],2,TRUE)</f>
        <v>47</v>
      </c>
      <c r="J64" s="370">
        <f>IF(Table2[[#This Row],[Rate Group Cd]]="B",IF(OR(Table2[[#This Row],[Code]]="bpa",Table2[[#This Row],[Code]]="bpaadj"),Table2[[#This Row],[Code]],"b"&amp;Table2[[#This Row],[Code]]),Table2[[#This Row],[Code]])</f>
        <v>47</v>
      </c>
    </row>
    <row r="65" spans="2:10" s="370" customFormat="1" ht="19.5" customHeight="1">
      <c r="B65" s="373" t="s">
        <v>367</v>
      </c>
      <c r="C65" s="155" t="s">
        <v>461</v>
      </c>
      <c r="D65" s="373" t="s">
        <v>336</v>
      </c>
      <c r="E65" s="373" t="s">
        <v>270</v>
      </c>
      <c r="F65" s="405">
        <v>1683397.1</v>
      </c>
      <c r="G65" s="374">
        <v>0</v>
      </c>
      <c r="H65" s="406">
        <v>0</v>
      </c>
      <c r="I65" s="370" t="str">
        <f>VLOOKUP(Table2[[#This Row],[Rate Desc]],lookup305[],2,TRUE)</f>
        <v>dsm</v>
      </c>
      <c r="J65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66" spans="2:10" s="370" customFormat="1" ht="19.5" customHeight="1">
      <c r="B66" s="373" t="s">
        <v>367</v>
      </c>
      <c r="C66" s="155" t="s">
        <v>461</v>
      </c>
      <c r="D66" s="373" t="s">
        <v>336</v>
      </c>
      <c r="E66" s="373" t="s">
        <v>365</v>
      </c>
      <c r="F66" s="405">
        <v>11.9</v>
      </c>
      <c r="G66" s="374">
        <v>8.3333333333333301E-2</v>
      </c>
      <c r="H66" s="406">
        <v>0</v>
      </c>
      <c r="I66" s="370" t="str">
        <f>VLOOKUP(Table2[[#This Row],[Rate Desc]],lookup305[],2,TRUE)</f>
        <v>blue</v>
      </c>
      <c r="J66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67" spans="2:10" s="370" customFormat="1" ht="19.5" customHeight="1">
      <c r="B67" s="373" t="s">
        <v>367</v>
      </c>
      <c r="C67" s="155" t="s">
        <v>461</v>
      </c>
      <c r="D67" s="373" t="s">
        <v>336</v>
      </c>
      <c r="E67" s="373" t="s">
        <v>403</v>
      </c>
      <c r="F67" s="405">
        <v>-197603.57</v>
      </c>
      <c r="G67" s="374">
        <v>0</v>
      </c>
      <c r="H67" s="406">
        <v>0</v>
      </c>
      <c r="I67" s="370" t="str">
        <f>VLOOKUP(Table2[[#This Row],[Rate Desc]],lookup305[],2,TRUE)</f>
        <v>arp</v>
      </c>
      <c r="J67" s="370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68" spans="2:10" s="370" customFormat="1" ht="19.5" customHeight="1">
      <c r="B68" s="373" t="s">
        <v>367</v>
      </c>
      <c r="C68" s="155" t="s">
        <v>461</v>
      </c>
      <c r="D68" s="373" t="s">
        <v>4</v>
      </c>
      <c r="E68" s="373" t="s">
        <v>380</v>
      </c>
      <c r="F68" s="405">
        <v>-242.86</v>
      </c>
      <c r="G68" s="374">
        <v>0</v>
      </c>
      <c r="H68" s="406">
        <v>0</v>
      </c>
      <c r="I68" s="370" t="str">
        <f>VLOOKUP(Table2[[#This Row],[Rate Desc]],lookup305[],2,TRUE)</f>
        <v>bpa</v>
      </c>
      <c r="J68" s="370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69" spans="2:10" s="370" customFormat="1" ht="19.5" customHeight="1">
      <c r="B69" s="373" t="s">
        <v>367</v>
      </c>
      <c r="C69" s="155" t="s">
        <v>461</v>
      </c>
      <c r="D69" s="373" t="s">
        <v>4</v>
      </c>
      <c r="E69" s="373" t="s">
        <v>381</v>
      </c>
      <c r="F69" s="405"/>
      <c r="G69" s="374">
        <v>0</v>
      </c>
      <c r="H69" s="406"/>
      <c r="I69" s="370">
        <f>VLOOKUP(Table2[[#This Row],[Rate Desc]],lookup305[],2,TRUE)</f>
        <v>0</v>
      </c>
      <c r="J69" s="370" t="str">
        <f>IF(Table2[[#This Row],[Rate Group Cd]]="B",IF(OR(Table2[[#This Row],[Code]]="bpa",Table2[[#This Row],[Code]]="bpaadj"),Table2[[#This Row],[Code]],"b"&amp;Table2[[#This Row],[Code]]),Table2[[#This Row],[Code]])</f>
        <v>b0</v>
      </c>
    </row>
    <row r="70" spans="2:10" s="370" customFormat="1" ht="19.5" customHeight="1">
      <c r="B70" s="373" t="s">
        <v>367</v>
      </c>
      <c r="C70" s="155" t="s">
        <v>461</v>
      </c>
      <c r="D70" s="373" t="s">
        <v>336</v>
      </c>
      <c r="E70" s="373" t="s">
        <v>382</v>
      </c>
      <c r="F70" s="405"/>
      <c r="G70" s="374">
        <v>0</v>
      </c>
      <c r="H70" s="406"/>
      <c r="I70" s="370">
        <f>VLOOKUP(Table2[[#This Row],[Rate Desc]],lookup305[],2,TRUE)</f>
        <v>0</v>
      </c>
      <c r="J70" s="370">
        <f>IF(Table2[[#This Row],[Rate Group Cd]]="B",IF(OR(Table2[[#This Row],[Code]]="bpa",Table2[[#This Row],[Code]]="bpaadj"),Table2[[#This Row],[Code]],"b"&amp;Table2[[#This Row],[Code]]),Table2[[#This Row],[Code]])</f>
        <v>0</v>
      </c>
    </row>
    <row r="71" spans="2:10" s="370" customFormat="1" ht="19.5" customHeight="1">
      <c r="B71" s="373" t="s">
        <v>367</v>
      </c>
      <c r="C71" s="155" t="s">
        <v>461</v>
      </c>
      <c r="D71" s="373" t="s">
        <v>336</v>
      </c>
      <c r="E71" s="373" t="s">
        <v>404</v>
      </c>
      <c r="F71" s="405">
        <v>0</v>
      </c>
      <c r="G71" s="374">
        <v>0</v>
      </c>
      <c r="H71" s="406">
        <v>0</v>
      </c>
      <c r="I71" s="370" t="str">
        <f>VLOOKUP(Table2[[#This Row],[Rate Desc]],lookup305[],2,TRUE)</f>
        <v>itd</v>
      </c>
      <c r="J71" s="370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72" spans="2:10" s="370" customFormat="1" ht="19.5" customHeight="1">
      <c r="B72" s="373" t="s">
        <v>367</v>
      </c>
      <c r="C72" s="155" t="s">
        <v>461</v>
      </c>
      <c r="D72" s="373" t="s">
        <v>336</v>
      </c>
      <c r="E72" s="373" t="s">
        <v>229</v>
      </c>
      <c r="F72" s="405">
        <v>-1371289.92</v>
      </c>
      <c r="G72" s="374">
        <v>0</v>
      </c>
      <c r="H72" s="406">
        <v>0</v>
      </c>
      <c r="I72" s="370" t="str">
        <f>VLOOKUP(Table2[[#This Row],[Rate Desc]],lookup305[],2,TRUE)</f>
        <v>rev</v>
      </c>
      <c r="J72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73" spans="2:10" s="370" customFormat="1" ht="19.5" customHeight="1">
      <c r="B73" s="373" t="s">
        <v>367</v>
      </c>
      <c r="C73" s="155" t="s">
        <v>461</v>
      </c>
      <c r="D73" s="373" t="s">
        <v>336</v>
      </c>
      <c r="E73" s="373" t="s">
        <v>253</v>
      </c>
      <c r="F73" s="405">
        <v>28558.98</v>
      </c>
      <c r="G73" s="374">
        <v>0</v>
      </c>
      <c r="H73" s="406">
        <v>0</v>
      </c>
      <c r="I73" s="370" t="str">
        <f>VLOOKUP(Table2[[#This Row],[Rate Desc]],lookup305[],2,TRUE)</f>
        <v>rev</v>
      </c>
      <c r="J73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74" spans="2:10" s="370" customFormat="1" ht="19.5" customHeight="1">
      <c r="B74" s="373" t="s">
        <v>367</v>
      </c>
      <c r="C74" s="155" t="s">
        <v>461</v>
      </c>
      <c r="D74" s="373" t="s">
        <v>337</v>
      </c>
      <c r="E74" s="373" t="s">
        <v>383</v>
      </c>
      <c r="F74" s="405">
        <v>-1252000</v>
      </c>
      <c r="G74" s="374">
        <v>0</v>
      </c>
      <c r="H74" s="406">
        <v>-18243000</v>
      </c>
      <c r="I74" s="370" t="str">
        <f>VLOOKUP(Table2[[#This Row],[Rate Desc]],lookup305[],2,TRUE)</f>
        <v>unbilled</v>
      </c>
      <c r="J74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75" spans="2:10" s="370" customFormat="1" ht="19.5" customHeight="1">
      <c r="B75" s="373" t="s">
        <v>367</v>
      </c>
      <c r="C75" s="155" t="s">
        <v>433</v>
      </c>
      <c r="D75" s="373" t="s">
        <v>4</v>
      </c>
      <c r="E75" s="373" t="s">
        <v>385</v>
      </c>
      <c r="F75" s="405">
        <v>-763217.25</v>
      </c>
      <c r="G75" s="374">
        <v>2708.25</v>
      </c>
      <c r="H75" s="406">
        <v>97131571</v>
      </c>
      <c r="I75" s="370">
        <f>VLOOKUP(Table2[[#This Row],[Rate Desc]],lookup305[],2,TRUE)</f>
        <v>40</v>
      </c>
      <c r="J75" s="370" t="str">
        <f>IF(Table2[[#This Row],[Rate Group Cd]]="B",IF(OR(Table2[[#This Row],[Code]]="bpa",Table2[[#This Row],[Code]]="bpaadj"),Table2[[#This Row],[Code]],"b"&amp;Table2[[#This Row],[Code]]),Table2[[#This Row],[Code]])</f>
        <v>b40</v>
      </c>
    </row>
    <row r="76" spans="2:10" s="370" customFormat="1" ht="19.5" customHeight="1">
      <c r="B76" s="373" t="s">
        <v>367</v>
      </c>
      <c r="C76" s="155" t="s">
        <v>433</v>
      </c>
      <c r="D76" s="373" t="s">
        <v>336</v>
      </c>
      <c r="E76" s="373" t="s">
        <v>385</v>
      </c>
      <c r="F76" s="405">
        <v>8088783.2999999998</v>
      </c>
      <c r="G76" s="374">
        <v>2708.25</v>
      </c>
      <c r="H76" s="406">
        <v>97131567</v>
      </c>
      <c r="I76" s="370">
        <f>VLOOKUP(Table2[[#This Row],[Rate Desc]],lookup305[],2,TRUE)</f>
        <v>40</v>
      </c>
      <c r="J76" s="370">
        <f>IF(Table2[[#This Row],[Rate Group Cd]]="B",IF(OR(Table2[[#This Row],[Code]]="bpa",Table2[[#This Row],[Code]]="bpaadj"),Table2[[#This Row],[Code]],"b"&amp;Table2[[#This Row],[Code]]),Table2[[#This Row],[Code]])</f>
        <v>40</v>
      </c>
    </row>
    <row r="77" spans="2:10" s="370" customFormat="1" ht="19.5" customHeight="1">
      <c r="B77" s="373" t="s">
        <v>367</v>
      </c>
      <c r="C77" s="155" t="s">
        <v>433</v>
      </c>
      <c r="D77" s="373" t="s">
        <v>336</v>
      </c>
      <c r="E77" s="373" t="s">
        <v>386</v>
      </c>
      <c r="F77" s="405">
        <v>5892085.1799999997</v>
      </c>
      <c r="G77" s="374">
        <v>2437.9166666666702</v>
      </c>
      <c r="H77" s="406">
        <v>71015901</v>
      </c>
      <c r="I77" s="370" t="str">
        <f>VLOOKUP(Table2[[#This Row],[Rate Desc]],lookup305[],2,TRUE)</f>
        <v>40x</v>
      </c>
      <c r="J77" s="370" t="str">
        <f>IF(Table2[[#This Row],[Rate Group Cd]]="B",IF(OR(Table2[[#This Row],[Code]]="bpa",Table2[[#This Row],[Code]]="bpaadj"),Table2[[#This Row],[Code]],"b"&amp;Table2[[#This Row],[Code]]),Table2[[#This Row],[Code]])</f>
        <v>40x</v>
      </c>
    </row>
    <row r="78" spans="2:10" s="370" customFormat="1" ht="19.5" customHeight="1">
      <c r="B78" s="373" t="s">
        <v>367</v>
      </c>
      <c r="C78" s="155" t="s">
        <v>433</v>
      </c>
      <c r="D78" s="373" t="s">
        <v>4</v>
      </c>
      <c r="E78" s="373" t="s">
        <v>387</v>
      </c>
      <c r="F78" s="405">
        <v>100967.39</v>
      </c>
      <c r="G78" s="374"/>
      <c r="H78" s="406">
        <v>-12603491</v>
      </c>
      <c r="I78" s="370" t="str">
        <f>VLOOKUP(Table2[[#This Row],[Rate Desc]],lookup305[],2,TRUE)</f>
        <v>bpaadj</v>
      </c>
      <c r="J78" s="370" t="str">
        <f>IF(Table2[[#This Row],[Rate Group Cd]]="B",IF(OR(Table2[[#This Row],[Code]]="bpa",Table2[[#This Row],[Code]]="bpaadj"),Table2[[#This Row],[Code]],"b"&amp;Table2[[#This Row],[Code]]),Table2[[#This Row],[Code]])</f>
        <v>bpaadj</v>
      </c>
    </row>
    <row r="79" spans="2:10" s="370" customFormat="1" ht="19.5" customHeight="1">
      <c r="B79" s="373" t="s">
        <v>367</v>
      </c>
      <c r="C79" s="155" t="s">
        <v>433</v>
      </c>
      <c r="D79" s="373" t="s">
        <v>336</v>
      </c>
      <c r="E79" s="373" t="s">
        <v>372</v>
      </c>
      <c r="F79" s="405">
        <v>2668.15</v>
      </c>
      <c r="G79" s="374"/>
      <c r="H79" s="406">
        <v>0</v>
      </c>
      <c r="I79" s="370" t="str">
        <f>VLOOKUP(Table2[[#This Row],[Rate Desc]],lookup305[],2,TRUE)</f>
        <v>aga</v>
      </c>
      <c r="J79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0" spans="2:10" s="370" customFormat="1" ht="19.5" customHeight="1">
      <c r="B80" s="373" t="s">
        <v>367</v>
      </c>
      <c r="C80" s="155" t="s">
        <v>433</v>
      </c>
      <c r="D80" s="373" t="s">
        <v>336</v>
      </c>
      <c r="E80" s="373" t="s">
        <v>373</v>
      </c>
      <c r="F80" s="405">
        <v>1482.74</v>
      </c>
      <c r="G80" s="374"/>
      <c r="H80" s="406">
        <v>0</v>
      </c>
      <c r="I80" s="370" t="str">
        <f>VLOOKUP(Table2[[#This Row],[Rate Desc]],lookup305[],2,TRUE)</f>
        <v>aga</v>
      </c>
      <c r="J80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1" spans="2:10" s="370" customFormat="1" ht="19.5" customHeight="1">
      <c r="B81" s="373" t="s">
        <v>367</v>
      </c>
      <c r="C81" s="155" t="s">
        <v>433</v>
      </c>
      <c r="D81" s="373" t="s">
        <v>336</v>
      </c>
      <c r="E81" s="373" t="s">
        <v>374</v>
      </c>
      <c r="F81" s="405">
        <v>79.760000000000005</v>
      </c>
      <c r="G81" s="374"/>
      <c r="H81" s="406">
        <v>0</v>
      </c>
      <c r="I81" s="370" t="str">
        <f>VLOOKUP(Table2[[#This Row],[Rate Desc]],lookup305[],2,TRUE)</f>
        <v>aga</v>
      </c>
      <c r="J81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2" spans="2:10" s="370" customFormat="1" ht="19.5" customHeight="1">
      <c r="B82" s="373" t="s">
        <v>367</v>
      </c>
      <c r="C82" s="155" t="s">
        <v>433</v>
      </c>
      <c r="D82" s="373" t="s">
        <v>336</v>
      </c>
      <c r="E82" s="373" t="s">
        <v>376</v>
      </c>
      <c r="F82" s="405">
        <v>143000.56</v>
      </c>
      <c r="G82" s="374"/>
      <c r="H82" s="406">
        <v>0</v>
      </c>
      <c r="I82" s="370" t="str">
        <f>VLOOKUP(Table2[[#This Row],[Rate Desc]],lookup305[],2,TRUE)</f>
        <v>aga</v>
      </c>
      <c r="J82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3" spans="2:10" s="370" customFormat="1" ht="19.5" customHeight="1">
      <c r="B83" s="373" t="s">
        <v>367</v>
      </c>
      <c r="C83" s="155" t="s">
        <v>433</v>
      </c>
      <c r="D83" s="373" t="s">
        <v>336</v>
      </c>
      <c r="E83" s="373" t="s">
        <v>212</v>
      </c>
      <c r="F83" s="405">
        <v>5885.02</v>
      </c>
      <c r="G83" s="374"/>
      <c r="H83" s="406">
        <v>0</v>
      </c>
      <c r="I83" s="370" t="str">
        <f>VLOOKUP(Table2[[#This Row],[Rate Desc]],lookup305[],2,TRUE)</f>
        <v>aga</v>
      </c>
      <c r="J83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4" spans="2:10" s="370" customFormat="1" ht="19.5" customHeight="1">
      <c r="B84" s="373" t="s">
        <v>367</v>
      </c>
      <c r="C84" s="155" t="s">
        <v>433</v>
      </c>
      <c r="D84" s="373" t="s">
        <v>336</v>
      </c>
      <c r="E84" s="373" t="s">
        <v>213</v>
      </c>
      <c r="F84" s="405">
        <v>31435.07</v>
      </c>
      <c r="G84" s="374"/>
      <c r="H84" s="406">
        <v>0</v>
      </c>
      <c r="I84" s="370" t="str">
        <f>VLOOKUP(Table2[[#This Row],[Rate Desc]],lookup305[],2,TRUE)</f>
        <v>aga</v>
      </c>
      <c r="J84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5" spans="2:10" s="370" customFormat="1" ht="19.5" customHeight="1">
      <c r="B85" s="373" t="s">
        <v>367</v>
      </c>
      <c r="C85" s="155" t="s">
        <v>433</v>
      </c>
      <c r="D85" s="373" t="s">
        <v>4</v>
      </c>
      <c r="E85" s="373" t="s">
        <v>310</v>
      </c>
      <c r="F85" s="405">
        <v>-1461.29</v>
      </c>
      <c r="G85" s="374">
        <v>9</v>
      </c>
      <c r="H85" s="406">
        <v>186774</v>
      </c>
      <c r="I85" s="370">
        <f>VLOOKUP(Table2[[#This Row],[Rate Desc]],lookup305[],2,TRUE)</f>
        <v>40</v>
      </c>
      <c r="J85" s="370" t="str">
        <f>IF(Table2[[#This Row],[Rate Group Cd]]="B",IF(OR(Table2[[#This Row],[Code]]="bpa",Table2[[#This Row],[Code]]="bpaadj"),Table2[[#This Row],[Code]],"b"&amp;Table2[[#This Row],[Code]]),Table2[[#This Row],[Code]])</f>
        <v>b40</v>
      </c>
    </row>
    <row r="86" spans="2:10" s="370" customFormat="1" ht="19.5" customHeight="1">
      <c r="B86" s="373" t="s">
        <v>367</v>
      </c>
      <c r="C86" s="155" t="s">
        <v>433</v>
      </c>
      <c r="D86" s="373" t="s">
        <v>336</v>
      </c>
      <c r="E86" s="373" t="s">
        <v>309</v>
      </c>
      <c r="F86" s="405">
        <v>16300.38</v>
      </c>
      <c r="G86" s="374">
        <v>9</v>
      </c>
      <c r="H86" s="406">
        <v>186774</v>
      </c>
      <c r="I86" s="370">
        <f>VLOOKUP(Table2[[#This Row],[Rate Desc]],lookup305[],2,TRUE)</f>
        <v>40</v>
      </c>
      <c r="J86" s="370">
        <f>IF(Table2[[#This Row],[Rate Group Cd]]="B",IF(OR(Table2[[#This Row],[Code]]="bpa",Table2[[#This Row],[Code]]="bpaadj"),Table2[[#This Row],[Code]],"b"&amp;Table2[[#This Row],[Code]]),Table2[[#This Row],[Code]])</f>
        <v>40</v>
      </c>
    </row>
    <row r="87" spans="2:10" s="370" customFormat="1" ht="19.5" customHeight="1">
      <c r="B87" s="373" t="s">
        <v>367</v>
      </c>
      <c r="C87" s="155" t="s">
        <v>433</v>
      </c>
      <c r="D87" s="373" t="s">
        <v>336</v>
      </c>
      <c r="E87" s="373" t="s">
        <v>360</v>
      </c>
      <c r="F87" s="405">
        <v>7698.75</v>
      </c>
      <c r="G87" s="374">
        <v>7.75</v>
      </c>
      <c r="H87" s="406">
        <v>43665</v>
      </c>
      <c r="I87" s="370" t="str">
        <f>VLOOKUP(Table2[[#This Row],[Rate Desc]],lookup305[],2,TRUE)</f>
        <v>40x</v>
      </c>
      <c r="J87" s="370" t="str">
        <f>IF(Table2[[#This Row],[Rate Group Cd]]="B",IF(OR(Table2[[#This Row],[Code]]="bpa",Table2[[#This Row],[Code]]="bpaadj"),Table2[[#This Row],[Code]],"b"&amp;Table2[[#This Row],[Code]]),Table2[[#This Row],[Code]])</f>
        <v>40x</v>
      </c>
    </row>
    <row r="88" spans="2:10" s="370" customFormat="1" ht="19.5" customHeight="1">
      <c r="B88" s="373" t="s">
        <v>367</v>
      </c>
      <c r="C88" s="155" t="s">
        <v>433</v>
      </c>
      <c r="D88" s="373" t="s">
        <v>336</v>
      </c>
      <c r="E88" s="373" t="s">
        <v>231</v>
      </c>
      <c r="F88" s="405">
        <v>-132000</v>
      </c>
      <c r="G88" s="374">
        <v>0</v>
      </c>
      <c r="H88" s="406">
        <v>0</v>
      </c>
      <c r="I88" s="370" t="str">
        <f>VLOOKUP(Table2[[#This Row],[Rate Desc]],lookup305[],2,TRUE)</f>
        <v>irr</v>
      </c>
      <c r="J88" s="370" t="str">
        <f>IF(Table2[[#This Row],[Rate Group Cd]]="B",IF(OR(Table2[[#This Row],[Code]]="bpa",Table2[[#This Row],[Code]]="bpaadj"),Table2[[#This Row],[Code]],"b"&amp;Table2[[#This Row],[Code]]),Table2[[#This Row],[Code]])</f>
        <v>irr</v>
      </c>
    </row>
    <row r="89" spans="2:10" s="370" customFormat="1" ht="19.5" customHeight="1">
      <c r="B89" s="373" t="s">
        <v>367</v>
      </c>
      <c r="C89" s="155" t="s">
        <v>433</v>
      </c>
      <c r="D89" s="373" t="s">
        <v>336</v>
      </c>
      <c r="E89" s="373" t="s">
        <v>271</v>
      </c>
      <c r="F89" s="405">
        <v>447812.01</v>
      </c>
      <c r="G89" s="374">
        <v>0</v>
      </c>
      <c r="H89" s="406">
        <v>0</v>
      </c>
      <c r="I89" s="370" t="str">
        <f>VLOOKUP(Table2[[#This Row],[Rate Desc]],lookup305[],2,TRUE)</f>
        <v>dsm</v>
      </c>
      <c r="J89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90" spans="2:10" s="370" customFormat="1" ht="19.5" customHeight="1">
      <c r="B90" s="373" t="s">
        <v>367</v>
      </c>
      <c r="C90" s="155" t="s">
        <v>433</v>
      </c>
      <c r="D90" s="373" t="s">
        <v>336</v>
      </c>
      <c r="E90" s="373" t="s">
        <v>272</v>
      </c>
      <c r="F90" s="405">
        <v>1046.21</v>
      </c>
      <c r="G90" s="374">
        <v>0</v>
      </c>
      <c r="H90" s="406">
        <v>0</v>
      </c>
      <c r="I90" s="370" t="str">
        <f>VLOOKUP(Table2[[#This Row],[Rate Desc]],lookup305[],2,TRUE)</f>
        <v>blue</v>
      </c>
      <c r="J90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91" spans="2:10" s="370" customFormat="1" ht="19.5" customHeight="1">
      <c r="B91" s="373" t="s">
        <v>367</v>
      </c>
      <c r="C91" s="155" t="s">
        <v>433</v>
      </c>
      <c r="D91" s="373" t="s">
        <v>336</v>
      </c>
      <c r="E91" s="373" t="s">
        <v>403</v>
      </c>
      <c r="F91" s="405">
        <v>-937011.72</v>
      </c>
      <c r="G91" s="374">
        <v>0</v>
      </c>
      <c r="H91" s="406">
        <v>0</v>
      </c>
      <c r="I91" s="370" t="str">
        <f>VLOOKUP(Table2[[#This Row],[Rate Desc]],lookup305[],2,TRUE)</f>
        <v>arp</v>
      </c>
      <c r="J91" s="370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92" spans="2:10" s="370" customFormat="1" ht="19.5" customHeight="1">
      <c r="B92" s="373" t="s">
        <v>367</v>
      </c>
      <c r="C92" s="155" t="s">
        <v>433</v>
      </c>
      <c r="D92" s="373" t="s">
        <v>336</v>
      </c>
      <c r="E92" s="373" t="s">
        <v>388</v>
      </c>
      <c r="F92" s="405"/>
      <c r="G92" s="374">
        <v>0</v>
      </c>
      <c r="H92" s="406"/>
      <c r="I92" s="370">
        <f>VLOOKUP(Table2[[#This Row],[Rate Desc]],lookup305[],2,TRUE)</f>
        <v>0</v>
      </c>
      <c r="J92" s="370">
        <f>IF(Table2[[#This Row],[Rate Group Cd]]="B",IF(OR(Table2[[#This Row],[Code]]="bpa",Table2[[#This Row],[Code]]="bpaadj"),Table2[[#This Row],[Code]],"b"&amp;Table2[[#This Row],[Code]]),Table2[[#This Row],[Code]])</f>
        <v>0</v>
      </c>
    </row>
    <row r="93" spans="2:10" s="370" customFormat="1" ht="19.5" customHeight="1">
      <c r="B93" s="373" t="s">
        <v>367</v>
      </c>
      <c r="C93" s="155" t="s">
        <v>433</v>
      </c>
      <c r="D93" s="373" t="s">
        <v>4</v>
      </c>
      <c r="E93" s="373" t="s">
        <v>389</v>
      </c>
      <c r="F93" s="405"/>
      <c r="G93" s="374">
        <v>0</v>
      </c>
      <c r="H93" s="406"/>
      <c r="I93" s="370">
        <f>VLOOKUP(Table2[[#This Row],[Rate Desc]],lookup305[],2,TRUE)</f>
        <v>0</v>
      </c>
      <c r="J93" s="370" t="str">
        <f>IF(Table2[[#This Row],[Rate Group Cd]]="B",IF(OR(Table2[[#This Row],[Code]]="bpa",Table2[[#This Row],[Code]]="bpaadj"),Table2[[#This Row],[Code]],"b"&amp;Table2[[#This Row],[Code]]),Table2[[#This Row],[Code]])</f>
        <v>b0</v>
      </c>
    </row>
    <row r="94" spans="2:10" s="370" customFormat="1" ht="19.5" customHeight="1">
      <c r="B94" s="373" t="s">
        <v>367</v>
      </c>
      <c r="C94" s="155" t="s">
        <v>433</v>
      </c>
      <c r="D94" s="373" t="s">
        <v>336</v>
      </c>
      <c r="E94" s="373" t="s">
        <v>404</v>
      </c>
      <c r="F94" s="405">
        <v>0</v>
      </c>
      <c r="G94" s="374">
        <v>0</v>
      </c>
      <c r="H94" s="406">
        <v>0</v>
      </c>
      <c r="I94" s="370" t="str">
        <f>VLOOKUP(Table2[[#This Row],[Rate Desc]],lookup305[],2,TRUE)</f>
        <v>itd</v>
      </c>
      <c r="J94" s="370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95" spans="2:10" s="370" customFormat="1" ht="19.5" customHeight="1">
      <c r="B95" s="373" t="s">
        <v>367</v>
      </c>
      <c r="C95" s="370" t="s">
        <v>433</v>
      </c>
      <c r="D95" s="373" t="s">
        <v>4</v>
      </c>
      <c r="E95" s="373" t="s">
        <v>390</v>
      </c>
      <c r="F95" s="405">
        <v>-28399.55</v>
      </c>
      <c r="G95" s="374">
        <v>0</v>
      </c>
      <c r="H95" s="406">
        <v>0</v>
      </c>
      <c r="I95" s="370" t="str">
        <f>VLOOKUP(Table2[[#This Row],[Rate Desc]],lookup305[],2,TRUE)</f>
        <v>bpa</v>
      </c>
      <c r="J95" s="370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96" spans="2:10" s="370" customFormat="1" ht="19.5" customHeight="1">
      <c r="B96" s="373" t="s">
        <v>367</v>
      </c>
      <c r="C96" s="155" t="s">
        <v>433</v>
      </c>
      <c r="D96" s="373" t="s">
        <v>337</v>
      </c>
      <c r="E96" s="373" t="s">
        <v>391</v>
      </c>
      <c r="F96" s="405">
        <v>236000</v>
      </c>
      <c r="G96" s="374">
        <v>0</v>
      </c>
      <c r="H96" s="406">
        <v>-8084000</v>
      </c>
      <c r="I96" s="370" t="str">
        <f>VLOOKUP(Table2[[#This Row],[Rate Desc]],lookup305[],2,TRUE)</f>
        <v>unbilled</v>
      </c>
      <c r="J96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97" spans="2:10" s="370" customFormat="1" ht="19.5" customHeight="1">
      <c r="B97" s="373" t="s">
        <v>367</v>
      </c>
      <c r="C97" s="155" t="s">
        <v>433</v>
      </c>
      <c r="D97" s="373" t="s">
        <v>336</v>
      </c>
      <c r="E97" s="373" t="s">
        <v>229</v>
      </c>
      <c r="F97" s="405">
        <v>-369526.26</v>
      </c>
      <c r="G97" s="374">
        <v>0</v>
      </c>
      <c r="H97" s="406">
        <v>0</v>
      </c>
      <c r="I97" s="370" t="str">
        <f>VLOOKUP(Table2[[#This Row],[Rate Desc]],lookup305[],2,TRUE)</f>
        <v>rev</v>
      </c>
      <c r="J97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98" spans="2:10" s="370" customFormat="1" ht="19.5" customHeight="1">
      <c r="B98" s="373" t="s">
        <v>367</v>
      </c>
      <c r="C98" s="155" t="s">
        <v>433</v>
      </c>
      <c r="D98" s="373" t="s">
        <v>336</v>
      </c>
      <c r="E98" s="373" t="s">
        <v>253</v>
      </c>
      <c r="F98" s="405">
        <v>6228.56</v>
      </c>
      <c r="G98" s="374">
        <v>0</v>
      </c>
      <c r="H98" s="406">
        <v>0</v>
      </c>
      <c r="I98" s="370" t="str">
        <f>VLOOKUP(Table2[[#This Row],[Rate Desc]],lookup305[],2,TRUE)</f>
        <v>rev</v>
      </c>
      <c r="J98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99" spans="2:10" s="370" customFormat="1" ht="19.5" customHeight="1">
      <c r="B99" s="373" t="s">
        <v>367</v>
      </c>
      <c r="C99" s="155" t="s">
        <v>462</v>
      </c>
      <c r="D99" s="373" t="s">
        <v>336</v>
      </c>
      <c r="E99" s="373" t="s">
        <v>392</v>
      </c>
      <c r="F99" s="405">
        <v>90.84</v>
      </c>
      <c r="G99" s="374"/>
      <c r="H99" s="406">
        <v>0</v>
      </c>
      <c r="I99" s="370">
        <f>VLOOKUP(Table2[[#This Row],[Rate Desc]],lookup305[],2,TRUE)</f>
        <v>12</v>
      </c>
      <c r="J99" s="370">
        <f>IF(Table2[[#This Row],[Rate Group Cd]]="B",IF(OR(Table2[[#This Row],[Code]]="bpa",Table2[[#This Row],[Code]]="bpaadj"),Table2[[#This Row],[Code]],"b"&amp;Table2[[#This Row],[Code]]),Table2[[#This Row],[Code]])</f>
        <v>12</v>
      </c>
    </row>
    <row r="100" spans="2:10" s="370" customFormat="1" ht="19.5" customHeight="1">
      <c r="B100" s="373" t="s">
        <v>367</v>
      </c>
      <c r="C100" s="155" t="s">
        <v>462</v>
      </c>
      <c r="D100" s="373" t="s">
        <v>336</v>
      </c>
      <c r="E100" s="373" t="s">
        <v>393</v>
      </c>
      <c r="F100" s="405">
        <v>4180.96</v>
      </c>
      <c r="G100" s="374">
        <v>4.8333333333333304</v>
      </c>
      <c r="H100" s="406">
        <v>27306</v>
      </c>
      <c r="I100" s="370">
        <f>VLOOKUP(Table2[[#This Row],[Rate Desc]],lookup305[],2,TRUE)</f>
        <v>52</v>
      </c>
      <c r="J100" s="370">
        <f>IF(Table2[[#This Row],[Rate Group Cd]]="B",IF(OR(Table2[[#This Row],[Code]]="bpa",Table2[[#This Row],[Code]]="bpaadj"),Table2[[#This Row],[Code]],"b"&amp;Table2[[#This Row],[Code]]),Table2[[#This Row],[Code]])</f>
        <v>52</v>
      </c>
    </row>
    <row r="101" spans="2:10" s="370" customFormat="1" ht="19.5" customHeight="1">
      <c r="B101" s="373" t="s">
        <v>367</v>
      </c>
      <c r="C101" s="155" t="s">
        <v>462</v>
      </c>
      <c r="D101" s="373" t="s">
        <v>336</v>
      </c>
      <c r="E101" s="373" t="s">
        <v>394</v>
      </c>
      <c r="F101" s="405">
        <v>190991.81</v>
      </c>
      <c r="G101" s="374">
        <v>118.75</v>
      </c>
      <c r="H101" s="406">
        <v>2703356</v>
      </c>
      <c r="I101" s="370" t="str">
        <f>VLOOKUP(Table2[[#This Row],[Rate Desc]],lookup305[],2,TRUE)</f>
        <v>53f</v>
      </c>
      <c r="J101" s="370" t="str">
        <f>IF(Table2[[#This Row],[Rate Group Cd]]="B",IF(OR(Table2[[#This Row],[Code]]="bpa",Table2[[#This Row],[Code]]="bpaadj"),Table2[[#This Row],[Code]],"b"&amp;Table2[[#This Row],[Code]]),Table2[[#This Row],[Code]])</f>
        <v>53f</v>
      </c>
    </row>
    <row r="102" spans="2:10" s="370" customFormat="1" ht="19.5" customHeight="1">
      <c r="B102" s="373" t="s">
        <v>367</v>
      </c>
      <c r="C102" s="155" t="s">
        <v>462</v>
      </c>
      <c r="D102" s="373" t="s">
        <v>336</v>
      </c>
      <c r="E102" s="373" t="s">
        <v>395</v>
      </c>
      <c r="F102" s="405">
        <v>51077.56</v>
      </c>
      <c r="G102" s="374">
        <v>110.916666666667</v>
      </c>
      <c r="H102" s="406">
        <v>721779</v>
      </c>
      <c r="I102" s="370" t="str">
        <f>VLOOKUP(Table2[[#This Row],[Rate Desc]],lookup305[],2,TRUE)</f>
        <v>53m</v>
      </c>
      <c r="J102" s="370" t="str">
        <f>IF(Table2[[#This Row],[Rate Group Cd]]="B",IF(OR(Table2[[#This Row],[Code]]="bpa",Table2[[#This Row],[Code]]="bpaadj"),Table2[[#This Row],[Code]],"b"&amp;Table2[[#This Row],[Code]]),Table2[[#This Row],[Code]])</f>
        <v>53m</v>
      </c>
    </row>
    <row r="103" spans="2:10" s="370" customFormat="1" ht="19.5" customHeight="1">
      <c r="B103" s="373" t="s">
        <v>367</v>
      </c>
      <c r="C103" s="155" t="s">
        <v>462</v>
      </c>
      <c r="D103" s="373" t="s">
        <v>336</v>
      </c>
      <c r="E103" s="373" t="s">
        <v>396</v>
      </c>
      <c r="F103" s="405">
        <v>95330.42</v>
      </c>
      <c r="G103" s="374">
        <v>11.6666666666667</v>
      </c>
      <c r="H103" s="406">
        <v>736838</v>
      </c>
      <c r="I103" s="370">
        <f>VLOOKUP(Table2[[#This Row],[Rate Desc]],lookup305[],2,TRUE)</f>
        <v>57</v>
      </c>
      <c r="J103" s="370">
        <f>IF(Table2[[#This Row],[Rate Group Cd]]="B",IF(OR(Table2[[#This Row],[Code]]="bpa",Table2[[#This Row],[Code]]="bpaadj"),Table2[[#This Row],[Code]],"b"&amp;Table2[[#This Row],[Code]]),Table2[[#This Row],[Code]])</f>
        <v>57</v>
      </c>
    </row>
    <row r="104" spans="2:10" s="370" customFormat="1" ht="19.5" customHeight="1">
      <c r="B104" s="373" t="s">
        <v>367</v>
      </c>
      <c r="C104" s="155" t="s">
        <v>462</v>
      </c>
      <c r="D104" s="373" t="s">
        <v>336</v>
      </c>
      <c r="E104" s="373" t="s">
        <v>319</v>
      </c>
      <c r="F104" s="405">
        <v>738217.54</v>
      </c>
      <c r="G104" s="374">
        <v>217.25</v>
      </c>
      <c r="H104" s="406">
        <v>2751261</v>
      </c>
      <c r="I104" s="370">
        <f>VLOOKUP(Table2[[#This Row],[Rate Desc]],lookup305[],2,TRUE)</f>
        <v>51</v>
      </c>
      <c r="J104" s="370">
        <f>IF(Table2[[#This Row],[Rate Group Cd]]="B",IF(OR(Table2[[#This Row],[Code]]="bpa",Table2[[#This Row],[Code]]="bpaadj"),Table2[[#This Row],[Code]],"b"&amp;Table2[[#This Row],[Code]]),Table2[[#This Row],[Code]])</f>
        <v>51</v>
      </c>
    </row>
    <row r="105" spans="2:10" s="370" customFormat="1" ht="19.5" customHeight="1">
      <c r="B105" s="373" t="s">
        <v>367</v>
      </c>
      <c r="C105" s="155" t="s">
        <v>462</v>
      </c>
      <c r="D105" s="373" t="s">
        <v>336</v>
      </c>
      <c r="E105" s="373" t="s">
        <v>277</v>
      </c>
      <c r="F105" s="405">
        <v>18613.95</v>
      </c>
      <c r="G105" s="374">
        <v>0</v>
      </c>
      <c r="H105" s="406">
        <v>0</v>
      </c>
      <c r="I105" s="370" t="str">
        <f>VLOOKUP(Table2[[#This Row],[Rate Desc]],lookup305[],2,TRUE)</f>
        <v>dsm</v>
      </c>
      <c r="J105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106" spans="2:10" s="370" customFormat="1" ht="19.5" customHeight="1">
      <c r="B106" s="373" t="s">
        <v>367</v>
      </c>
      <c r="C106" s="155" t="s">
        <v>462</v>
      </c>
      <c r="D106" s="373" t="s">
        <v>336</v>
      </c>
      <c r="E106" s="373" t="s">
        <v>382</v>
      </c>
      <c r="F106" s="405"/>
      <c r="G106" s="374">
        <v>0</v>
      </c>
      <c r="H106" s="406"/>
      <c r="I106" s="370">
        <f>VLOOKUP(Table2[[#This Row],[Rate Desc]],lookup305[],2,TRUE)</f>
        <v>0</v>
      </c>
      <c r="J106" s="370">
        <f>IF(Table2[[#This Row],[Rate Group Cd]]="B",IF(OR(Table2[[#This Row],[Code]]="bpa",Table2[[#This Row],[Code]]="bpaadj"),Table2[[#This Row],[Code]],"b"&amp;Table2[[#This Row],[Code]]),Table2[[#This Row],[Code]])</f>
        <v>0</v>
      </c>
    </row>
    <row r="107" spans="2:10" s="370" customFormat="1" ht="19.5" customHeight="1">
      <c r="B107" s="373" t="s">
        <v>367</v>
      </c>
      <c r="C107" s="155" t="s">
        <v>462</v>
      </c>
      <c r="D107" s="373" t="s">
        <v>336</v>
      </c>
      <c r="E107" s="373" t="s">
        <v>404</v>
      </c>
      <c r="F107" s="405">
        <v>0</v>
      </c>
      <c r="G107" s="374">
        <v>0</v>
      </c>
      <c r="H107" s="406">
        <v>0</v>
      </c>
      <c r="I107" s="370" t="str">
        <f>VLOOKUP(Table2[[#This Row],[Rate Desc]],lookup305[],2,TRUE)</f>
        <v>itd</v>
      </c>
      <c r="J107" s="370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108" spans="2:10" s="370" customFormat="1" ht="19.5" customHeight="1">
      <c r="B108" s="373" t="s">
        <v>367</v>
      </c>
      <c r="C108" s="155" t="s">
        <v>462</v>
      </c>
      <c r="D108" s="373" t="s">
        <v>336</v>
      </c>
      <c r="E108" s="373" t="s">
        <v>229</v>
      </c>
      <c r="F108" s="405">
        <v>-43449.86</v>
      </c>
      <c r="G108" s="374">
        <v>0</v>
      </c>
      <c r="H108" s="406">
        <v>0</v>
      </c>
      <c r="I108" s="370" t="str">
        <f>VLOOKUP(Table2[[#This Row],[Rate Desc]],lookup305[],2,TRUE)</f>
        <v>rev</v>
      </c>
      <c r="J108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09" spans="2:10" s="370" customFormat="1" ht="19.5" customHeight="1">
      <c r="B109" s="373" t="s">
        <v>367</v>
      </c>
      <c r="C109" s="155" t="s">
        <v>462</v>
      </c>
      <c r="D109" s="373" t="s">
        <v>337</v>
      </c>
      <c r="E109" s="373" t="s">
        <v>383</v>
      </c>
      <c r="F109" s="405">
        <v>-235000</v>
      </c>
      <c r="G109" s="374">
        <v>0</v>
      </c>
      <c r="H109" s="406">
        <v>-1608000</v>
      </c>
      <c r="I109" s="370" t="str">
        <f>VLOOKUP(Table2[[#This Row],[Rate Desc]],lookup305[],2,TRUE)</f>
        <v>unbilled</v>
      </c>
      <c r="J109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10" spans="2:10" s="370" customFormat="1" ht="19.5" customHeight="1">
      <c r="B110" s="373" t="s">
        <v>367</v>
      </c>
      <c r="C110" s="155" t="s">
        <v>463</v>
      </c>
      <c r="D110" s="373" t="s">
        <v>336</v>
      </c>
      <c r="E110" s="373" t="s">
        <v>397</v>
      </c>
      <c r="F110" s="405">
        <v>-1.94</v>
      </c>
      <c r="G110" s="374"/>
      <c r="H110" s="406">
        <v>0</v>
      </c>
      <c r="I110" s="370" t="str">
        <f>VLOOKUP(Table2[[#This Row],[Rate Desc]],lookup305[],2,TRUE)</f>
        <v>blue</v>
      </c>
      <c r="J110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111" spans="2:10" s="370" customFormat="1" ht="19.5" customHeight="1">
      <c r="B111" s="373" t="s">
        <v>367</v>
      </c>
      <c r="C111" s="155" t="s">
        <v>463</v>
      </c>
      <c r="D111" s="373" t="s">
        <v>336</v>
      </c>
      <c r="E111" s="373" t="s">
        <v>375</v>
      </c>
      <c r="F111" s="405">
        <v>1312.52</v>
      </c>
      <c r="G111" s="374"/>
      <c r="H111" s="406">
        <v>0</v>
      </c>
      <c r="I111" s="370" t="str">
        <f>VLOOKUP(Table2[[#This Row],[Rate Desc]],lookup305[],2,TRUE)</f>
        <v>aga</v>
      </c>
      <c r="J111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112" spans="2:10" s="370" customFormat="1" ht="19.5" customHeight="1">
      <c r="B112" s="373" t="s">
        <v>367</v>
      </c>
      <c r="C112" s="155" t="s">
        <v>463</v>
      </c>
      <c r="D112" s="373" t="s">
        <v>336</v>
      </c>
      <c r="E112" s="373" t="s">
        <v>217</v>
      </c>
      <c r="F112" s="405">
        <v>1175373.69</v>
      </c>
      <c r="G112" s="374">
        <v>1286.1666666666699</v>
      </c>
      <c r="H112" s="406">
        <v>11715967</v>
      </c>
      <c r="I112" s="370">
        <f>VLOOKUP(Table2[[#This Row],[Rate Desc]],lookup305[],2,TRUE)</f>
        <v>135</v>
      </c>
      <c r="J112" s="370">
        <f>IF(Table2[[#This Row],[Rate Group Cd]]="B",IF(OR(Table2[[#This Row],[Code]]="bpa",Table2[[#This Row],[Code]]="bpaadj"),Table2[[#This Row],[Code]],"b"&amp;Table2[[#This Row],[Code]]),Table2[[#This Row],[Code]])</f>
        <v>135</v>
      </c>
    </row>
    <row r="113" spans="2:10" s="370" customFormat="1" ht="19.5" customHeight="1">
      <c r="B113" s="373" t="s">
        <v>367</v>
      </c>
      <c r="C113" s="155" t="s">
        <v>463</v>
      </c>
      <c r="D113" s="373" t="s">
        <v>4</v>
      </c>
      <c r="E113" s="373" t="s">
        <v>222</v>
      </c>
      <c r="F113" s="405">
        <v>-86481.2</v>
      </c>
      <c r="G113" s="374">
        <v>1286.1666666666699</v>
      </c>
      <c r="H113" s="406">
        <v>11673468</v>
      </c>
      <c r="I113" s="370">
        <f>VLOOKUP(Table2[[#This Row],[Rate Desc]],lookup305[],2,TRUE)</f>
        <v>135</v>
      </c>
      <c r="J113" s="370" t="str">
        <f>IF(Table2[[#This Row],[Rate Group Cd]]="B",IF(OR(Table2[[#This Row],[Code]]="bpa",Table2[[#This Row],[Code]]="bpaadj"),Table2[[#This Row],[Code]],"b"&amp;Table2[[#This Row],[Code]]),Table2[[#This Row],[Code]])</f>
        <v>b135</v>
      </c>
    </row>
    <row r="114" spans="2:10" s="370" customFormat="1" ht="19.5" customHeight="1">
      <c r="B114" s="373" t="s">
        <v>367</v>
      </c>
      <c r="C114" s="155" t="s">
        <v>463</v>
      </c>
      <c r="D114" s="373" t="s">
        <v>336</v>
      </c>
      <c r="E114" s="373" t="s">
        <v>200</v>
      </c>
      <c r="F114" s="405">
        <v>143709.9</v>
      </c>
      <c r="G114" s="374">
        <v>1010.25</v>
      </c>
      <c r="H114" s="406">
        <v>918715</v>
      </c>
      <c r="I114" s="370" t="str">
        <f>VLOOKUP(Table2[[#This Row],[Rate Desc]],lookup305[],2,TRUE)</f>
        <v>15r</v>
      </c>
      <c r="J114" s="370" t="str">
        <f>IF(Table2[[#This Row],[Rate Group Cd]]="B",IF(OR(Table2[[#This Row],[Code]]="bpa",Table2[[#This Row],[Code]]="bpaadj"),Table2[[#This Row],[Code]],"b"&amp;Table2[[#This Row],[Code]]),Table2[[#This Row],[Code]])</f>
        <v>15r</v>
      </c>
    </row>
    <row r="115" spans="2:10" s="370" customFormat="1" ht="19.5" customHeight="1">
      <c r="B115" s="373" t="s">
        <v>367</v>
      </c>
      <c r="C115" s="155" t="s">
        <v>463</v>
      </c>
      <c r="D115" s="373" t="s">
        <v>4</v>
      </c>
      <c r="E115" s="373" t="s">
        <v>201</v>
      </c>
      <c r="F115" s="405">
        <v>-6903.9</v>
      </c>
      <c r="G115" s="374"/>
      <c r="H115" s="406">
        <v>918714</v>
      </c>
      <c r="I115" s="370" t="str">
        <f>VLOOKUP(Table2[[#This Row],[Rate Desc]],lookup305[],2,TRUE)</f>
        <v>15r</v>
      </c>
      <c r="J115" s="370" t="str">
        <f>IF(Table2[[#This Row],[Rate Group Cd]]="B",IF(OR(Table2[[#This Row],[Code]]="bpa",Table2[[#This Row],[Code]]="bpaadj"),Table2[[#This Row],[Code]],"b"&amp;Table2[[#This Row],[Code]]),Table2[[#This Row],[Code]])</f>
        <v>b15r</v>
      </c>
    </row>
    <row r="116" spans="2:10" s="370" customFormat="1" ht="19.5" customHeight="1">
      <c r="B116" s="373" t="s">
        <v>367</v>
      </c>
      <c r="C116" s="155" t="s">
        <v>463</v>
      </c>
      <c r="D116" s="373" t="s">
        <v>336</v>
      </c>
      <c r="E116" s="373" t="s">
        <v>398</v>
      </c>
      <c r="F116" s="405">
        <v>134049347.2</v>
      </c>
      <c r="G116" s="374">
        <v>102244.91666666701</v>
      </c>
      <c r="H116" s="406">
        <v>1448331345</v>
      </c>
      <c r="I116" s="370">
        <f>VLOOKUP(Table2[[#This Row],[Rate Desc]],lookup305[],2,TRUE)</f>
        <v>16</v>
      </c>
      <c r="J116" s="370">
        <f>IF(Table2[[#This Row],[Rate Group Cd]]="B",IF(OR(Table2[[#This Row],[Code]]="bpa",Table2[[#This Row],[Code]]="bpaadj"),Table2[[#This Row],[Code]],"b"&amp;Table2[[#This Row],[Code]]),Table2[[#This Row],[Code]])</f>
        <v>16</v>
      </c>
    </row>
    <row r="117" spans="2:10" s="370" customFormat="1" ht="19.5" customHeight="1">
      <c r="B117" s="373" t="s">
        <v>367</v>
      </c>
      <c r="C117" s="155" t="s">
        <v>463</v>
      </c>
      <c r="D117" s="373" t="s">
        <v>4</v>
      </c>
      <c r="E117" s="373" t="s">
        <v>311</v>
      </c>
      <c r="F117" s="405">
        <v>-10851576.119999999</v>
      </c>
      <c r="G117" s="374">
        <v>102244.91666666701</v>
      </c>
      <c r="H117" s="406">
        <v>1446973903</v>
      </c>
      <c r="I117" s="370">
        <f>VLOOKUP(Table2[[#This Row],[Rate Desc]],lookup305[],2,TRUE)</f>
        <v>16</v>
      </c>
      <c r="J117" s="370" t="str">
        <f>IF(Table2[[#This Row],[Rate Group Cd]]="B",IF(OR(Table2[[#This Row],[Code]]="bpa",Table2[[#This Row],[Code]]="bpaadj"),Table2[[#This Row],[Code]],"b"&amp;Table2[[#This Row],[Code]]),Table2[[#This Row],[Code]])</f>
        <v>b16</v>
      </c>
    </row>
    <row r="118" spans="2:10" s="370" customFormat="1" ht="19.5" customHeight="1">
      <c r="B118" s="373" t="s">
        <v>367</v>
      </c>
      <c r="C118" s="155" t="s">
        <v>463</v>
      </c>
      <c r="D118" s="373" t="s">
        <v>336</v>
      </c>
      <c r="E118" s="373" t="s">
        <v>399</v>
      </c>
      <c r="F118" s="405">
        <v>7162422.0099999998</v>
      </c>
      <c r="G118" s="374">
        <v>5246.3333333333303</v>
      </c>
      <c r="H118" s="406">
        <v>77253428</v>
      </c>
      <c r="I118" s="370">
        <f>VLOOKUP(Table2[[#This Row],[Rate Desc]],lookup305[],2,TRUE)</f>
        <v>17</v>
      </c>
      <c r="J118" s="370">
        <f>IF(Table2[[#This Row],[Rate Group Cd]]="B",IF(OR(Table2[[#This Row],[Code]]="bpa",Table2[[#This Row],[Code]]="bpaadj"),Table2[[#This Row],[Code]],"b"&amp;Table2[[#This Row],[Code]]),Table2[[#This Row],[Code]])</f>
        <v>17</v>
      </c>
    </row>
    <row r="119" spans="2:10" s="370" customFormat="1" ht="19.5" customHeight="1">
      <c r="B119" s="373" t="s">
        <v>367</v>
      </c>
      <c r="C119" s="155" t="s">
        <v>463</v>
      </c>
      <c r="D119" s="373" t="s">
        <v>4</v>
      </c>
      <c r="E119" s="373" t="s">
        <v>134</v>
      </c>
      <c r="F119" s="405">
        <v>-576793.19999999995</v>
      </c>
      <c r="G119" s="374">
        <v>5246.3333333333303</v>
      </c>
      <c r="H119" s="406">
        <v>77253447</v>
      </c>
      <c r="I119" s="370">
        <f>VLOOKUP(Table2[[#This Row],[Rate Desc]],lookup305[],2,TRUE)</f>
        <v>17</v>
      </c>
      <c r="J119" s="370" t="str">
        <f>IF(Table2[[#This Row],[Rate Group Cd]]="B",IF(OR(Table2[[#This Row],[Code]]="bpa",Table2[[#This Row],[Code]]="bpaadj"),Table2[[#This Row],[Code]],"b"&amp;Table2[[#This Row],[Code]]),Table2[[#This Row],[Code]])</f>
        <v>b17</v>
      </c>
    </row>
    <row r="120" spans="2:10" s="370" customFormat="1" ht="19.5" customHeight="1">
      <c r="B120" s="373" t="s">
        <v>367</v>
      </c>
      <c r="C120" s="155" t="s">
        <v>463</v>
      </c>
      <c r="D120" s="373" t="s">
        <v>336</v>
      </c>
      <c r="E120" s="373" t="s">
        <v>400</v>
      </c>
      <c r="F120" s="405">
        <v>210814</v>
      </c>
      <c r="G120" s="374">
        <v>77.75</v>
      </c>
      <c r="H120" s="406">
        <v>2067389</v>
      </c>
      <c r="I120" s="370">
        <f>VLOOKUP(Table2[[#This Row],[Rate Desc]],lookup305[],2,TRUE)</f>
        <v>18</v>
      </c>
      <c r="J120" s="370">
        <f>IF(Table2[[#This Row],[Rate Group Cd]]="B",IF(OR(Table2[[#This Row],[Code]]="bpa",Table2[[#This Row],[Code]]="bpaadj"),Table2[[#This Row],[Code]],"b"&amp;Table2[[#This Row],[Code]]),Table2[[#This Row],[Code]])</f>
        <v>18</v>
      </c>
    </row>
    <row r="121" spans="2:10" s="370" customFormat="1" ht="19.5" customHeight="1">
      <c r="B121" s="373" t="s">
        <v>367</v>
      </c>
      <c r="C121" s="155" t="s">
        <v>463</v>
      </c>
      <c r="D121" s="373" t="s">
        <v>4</v>
      </c>
      <c r="E121" s="373" t="s">
        <v>312</v>
      </c>
      <c r="F121" s="405">
        <v>-15565.38</v>
      </c>
      <c r="G121" s="374">
        <v>77.75</v>
      </c>
      <c r="H121" s="406">
        <v>2067389</v>
      </c>
      <c r="I121" s="370">
        <f>VLOOKUP(Table2[[#This Row],[Rate Desc]],lookup305[],2,TRUE)</f>
        <v>18</v>
      </c>
      <c r="J121" s="370" t="str">
        <f>IF(Table2[[#This Row],[Rate Group Cd]]="B",IF(OR(Table2[[#This Row],[Code]]="bpa",Table2[[#This Row],[Code]]="bpaadj"),Table2[[#This Row],[Code]],"b"&amp;Table2[[#This Row],[Code]]),Table2[[#This Row],[Code]])</f>
        <v>b18</v>
      </c>
    </row>
    <row r="122" spans="2:10" s="370" customFormat="1" ht="19.5" customHeight="1">
      <c r="B122" s="373" t="s">
        <v>367</v>
      </c>
      <c r="C122" s="155" t="s">
        <v>463</v>
      </c>
      <c r="D122" s="373" t="s">
        <v>336</v>
      </c>
      <c r="E122" s="373" t="s">
        <v>401</v>
      </c>
      <c r="F122" s="405">
        <v>28033.39</v>
      </c>
      <c r="G122" s="374">
        <v>11.25</v>
      </c>
      <c r="H122" s="406">
        <v>279021</v>
      </c>
      <c r="I122" s="370" t="str">
        <f>VLOOKUP(Table2[[#This Row],[Rate Desc]],lookup305[],2,TRUE)</f>
        <v>18x</v>
      </c>
      <c r="J122" s="370" t="str">
        <f>IF(Table2[[#This Row],[Rate Group Cd]]="B",IF(OR(Table2[[#This Row],[Code]]="bpa",Table2[[#This Row],[Code]]="bpaadj"),Table2[[#This Row],[Code]],"b"&amp;Table2[[#This Row],[Code]]),Table2[[#This Row],[Code]])</f>
        <v>18x</v>
      </c>
    </row>
    <row r="123" spans="2:10" s="370" customFormat="1" ht="19.5" customHeight="1">
      <c r="B123" s="373" t="s">
        <v>367</v>
      </c>
      <c r="C123" s="155" t="s">
        <v>463</v>
      </c>
      <c r="D123" s="373" t="s">
        <v>4</v>
      </c>
      <c r="E123" s="373" t="s">
        <v>313</v>
      </c>
      <c r="F123" s="405">
        <v>-2116.4899999999998</v>
      </c>
      <c r="G123" s="374">
        <v>11.25</v>
      </c>
      <c r="H123" s="406">
        <v>279021</v>
      </c>
      <c r="I123" s="370" t="str">
        <f>VLOOKUP(Table2[[#This Row],[Rate Desc]],lookup305[],2,TRUE)</f>
        <v>18x</v>
      </c>
      <c r="J123" s="370" t="str">
        <f>IF(Table2[[#This Row],[Rate Group Cd]]="B",IF(OR(Table2[[#This Row],[Code]]="bpa",Table2[[#This Row],[Code]]="bpaadj"),Table2[[#This Row],[Code]],"b"&amp;Table2[[#This Row],[Code]]),Table2[[#This Row],[Code]])</f>
        <v>b18x</v>
      </c>
    </row>
    <row r="124" spans="2:10" s="370" customFormat="1" ht="19.5" customHeight="1">
      <c r="B124" s="373" t="s">
        <v>367</v>
      </c>
      <c r="C124" s="155" t="s">
        <v>463</v>
      </c>
      <c r="D124" s="373" t="s">
        <v>336</v>
      </c>
      <c r="E124" s="373" t="s">
        <v>254</v>
      </c>
      <c r="F124" s="405">
        <v>2363385.5699999998</v>
      </c>
      <c r="G124" s="374">
        <v>3428.25</v>
      </c>
      <c r="H124" s="406">
        <v>20026922</v>
      </c>
      <c r="I124" s="370">
        <f>VLOOKUP(Table2[[#This Row],[Rate Desc]],lookup305[],2,TRUE)</f>
        <v>24</v>
      </c>
      <c r="J124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25" spans="2:10">
      <c r="B125" s="373" t="s">
        <v>367</v>
      </c>
      <c r="C125" s="155" t="s">
        <v>463</v>
      </c>
      <c r="D125" s="373" t="s">
        <v>4</v>
      </c>
      <c r="E125" s="373" t="s">
        <v>255</v>
      </c>
      <c r="F125" s="405">
        <v>-146877.94</v>
      </c>
      <c r="G125" s="374">
        <v>3428.25</v>
      </c>
      <c r="H125" s="406">
        <v>19483889</v>
      </c>
      <c r="I125" s="370">
        <f>VLOOKUP(Table2[[#This Row],[Rate Desc]],lookup305[],2,TRUE)</f>
        <v>24</v>
      </c>
      <c r="J125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26" spans="2:10">
      <c r="B126" s="373" t="s">
        <v>367</v>
      </c>
      <c r="C126" s="155" t="s">
        <v>463</v>
      </c>
      <c r="D126" s="373" t="s">
        <v>336</v>
      </c>
      <c r="E126" s="373" t="s">
        <v>362</v>
      </c>
      <c r="F126" s="405">
        <v>120268.51</v>
      </c>
      <c r="G126" s="374">
        <v>2</v>
      </c>
      <c r="H126" s="406">
        <v>1626500</v>
      </c>
      <c r="I126" s="370">
        <f>VLOOKUP(Table2[[#This Row],[Rate Desc]],lookup305[],2,TRUE)</f>
        <v>36</v>
      </c>
      <c r="J126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27" spans="2:10">
      <c r="B127" s="373" t="s">
        <v>367</v>
      </c>
      <c r="C127" s="155" t="s">
        <v>463</v>
      </c>
      <c r="D127" s="373" t="s">
        <v>4</v>
      </c>
      <c r="E127" s="373" t="s">
        <v>364</v>
      </c>
      <c r="F127" s="405">
        <v>-9036.4599999999991</v>
      </c>
      <c r="G127" s="374">
        <v>1</v>
      </c>
      <c r="H127" s="406">
        <v>1205700</v>
      </c>
      <c r="I127" s="370">
        <f>VLOOKUP(Table2[[#This Row],[Rate Desc]],lookup305[],2,TRUE)</f>
        <v>36</v>
      </c>
      <c r="J127" s="370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128" spans="2:10">
      <c r="B128" s="373" t="s">
        <v>367</v>
      </c>
      <c r="C128" s="155" t="s">
        <v>463</v>
      </c>
      <c r="D128" s="373" t="s">
        <v>336</v>
      </c>
      <c r="E128" s="373" t="s">
        <v>363</v>
      </c>
      <c r="F128" s="405">
        <v>25349.25</v>
      </c>
      <c r="G128" s="374">
        <v>35</v>
      </c>
      <c r="H128" s="406">
        <v>220148</v>
      </c>
      <c r="I128" s="370">
        <f>VLOOKUP(Table2[[#This Row],[Rate Desc]],lookup305[],2,TRUE)</f>
        <v>24</v>
      </c>
      <c r="J128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29" spans="2:10">
      <c r="B129" s="373" t="s">
        <v>367</v>
      </c>
      <c r="C129" s="155" t="s">
        <v>463</v>
      </c>
      <c r="D129" s="373" t="s">
        <v>4</v>
      </c>
      <c r="E129" s="373" t="s">
        <v>361</v>
      </c>
      <c r="F129" s="405">
        <v>-1633.1</v>
      </c>
      <c r="G129" s="374">
        <v>35</v>
      </c>
      <c r="H129" s="406">
        <v>220148</v>
      </c>
      <c r="I129" s="370">
        <f>VLOOKUP(Table2[[#This Row],[Rate Desc]],lookup305[],2,TRUE)</f>
        <v>24</v>
      </c>
      <c r="J129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30" spans="2:10">
      <c r="B130" s="373" t="s">
        <v>367</v>
      </c>
      <c r="C130" s="155" t="s">
        <v>463</v>
      </c>
      <c r="D130" s="373" t="s">
        <v>337</v>
      </c>
      <c r="E130" s="373" t="s">
        <v>187</v>
      </c>
      <c r="F130" s="405">
        <v>1000</v>
      </c>
      <c r="G130" s="374">
        <v>0</v>
      </c>
      <c r="H130" s="406">
        <v>0</v>
      </c>
      <c r="I130" s="370" t="str">
        <f>VLOOKUP(Table2[[#This Row],[Rate Desc]],lookup305[],2,TRUE)</f>
        <v>unbilled</v>
      </c>
      <c r="J130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31" spans="2:10">
      <c r="B131" s="373" t="s">
        <v>367</v>
      </c>
      <c r="C131" s="155" t="s">
        <v>463</v>
      </c>
      <c r="D131" s="373" t="s">
        <v>336</v>
      </c>
      <c r="E131" s="373" t="s">
        <v>278</v>
      </c>
      <c r="F131" s="405">
        <v>4575740.38</v>
      </c>
      <c r="G131" s="374">
        <v>0</v>
      </c>
      <c r="H131" s="406">
        <v>0</v>
      </c>
      <c r="I131" s="370" t="str">
        <f>VLOOKUP(Table2[[#This Row],[Rate Desc]],lookup305[],2,TRUE)</f>
        <v>dsm</v>
      </c>
      <c r="J131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132" spans="2:10">
      <c r="B132" s="373" t="s">
        <v>367</v>
      </c>
      <c r="C132" s="155" t="s">
        <v>463</v>
      </c>
      <c r="D132" s="373" t="s">
        <v>336</v>
      </c>
      <c r="E132" s="373" t="s">
        <v>279</v>
      </c>
      <c r="F132" s="405">
        <v>176099.44</v>
      </c>
      <c r="G132" s="374">
        <v>0</v>
      </c>
      <c r="H132" s="406">
        <v>0</v>
      </c>
      <c r="I132" s="370" t="str">
        <f>VLOOKUP(Table2[[#This Row],[Rate Desc]],lookup305[],2,TRUE)</f>
        <v>blue</v>
      </c>
      <c r="J132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133" spans="2:10">
      <c r="B133" s="373" t="s">
        <v>367</v>
      </c>
      <c r="C133" s="155" t="s">
        <v>463</v>
      </c>
      <c r="D133" s="373" t="s">
        <v>336</v>
      </c>
      <c r="E133" s="373" t="s">
        <v>403</v>
      </c>
      <c r="F133" s="405">
        <v>-8795487.7699999996</v>
      </c>
      <c r="G133" s="374">
        <v>0</v>
      </c>
      <c r="H133" s="406">
        <v>0</v>
      </c>
      <c r="I133" s="370" t="str">
        <f>VLOOKUP(Table2[[#This Row],[Rate Desc]],lookup305[],2,TRUE)</f>
        <v>arp</v>
      </c>
      <c r="J133" s="370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134" spans="2:10">
      <c r="B134" s="373" t="s">
        <v>367</v>
      </c>
      <c r="C134" s="155" t="s">
        <v>463</v>
      </c>
      <c r="D134" s="373" t="s">
        <v>4</v>
      </c>
      <c r="E134" s="373" t="s">
        <v>380</v>
      </c>
      <c r="F134" s="405">
        <v>-525128.25</v>
      </c>
      <c r="G134" s="374">
        <v>0</v>
      </c>
      <c r="H134" s="406">
        <v>0</v>
      </c>
      <c r="I134" s="370" t="str">
        <f>VLOOKUP(Table2[[#This Row],[Rate Desc]],lookup305[],2,TRUE)</f>
        <v>bpa</v>
      </c>
      <c r="J134" s="370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135" spans="2:10">
      <c r="B135" s="373" t="s">
        <v>367</v>
      </c>
      <c r="C135" s="155" t="s">
        <v>463</v>
      </c>
      <c r="D135" s="373" t="s">
        <v>4</v>
      </c>
      <c r="E135" s="373" t="s">
        <v>381</v>
      </c>
      <c r="F135" s="405"/>
      <c r="G135" s="374">
        <v>0</v>
      </c>
      <c r="H135" s="406"/>
      <c r="I135" s="370">
        <f>VLOOKUP(Table2[[#This Row],[Rate Desc]],lookup305[],2,TRUE)</f>
        <v>0</v>
      </c>
      <c r="J135" s="370" t="str">
        <f>IF(Table2[[#This Row],[Rate Group Cd]]="B",IF(OR(Table2[[#This Row],[Code]]="bpa",Table2[[#This Row],[Code]]="bpaadj"),Table2[[#This Row],[Code]],"b"&amp;Table2[[#This Row],[Code]]),Table2[[#This Row],[Code]])</f>
        <v>b0</v>
      </c>
    </row>
    <row r="136" spans="2:10">
      <c r="B136" s="469" t="s">
        <v>367</v>
      </c>
      <c r="C136" s="155" t="s">
        <v>463</v>
      </c>
      <c r="D136" s="469" t="s">
        <v>336</v>
      </c>
      <c r="E136" s="469" t="s">
        <v>382</v>
      </c>
      <c r="F136" s="470"/>
      <c r="G136" s="471">
        <v>0</v>
      </c>
      <c r="H136" s="472"/>
      <c r="I136" s="473">
        <f>VLOOKUP(Table2[[#This Row],[Rate Desc]],lookup305[],2,TRUE)</f>
        <v>0</v>
      </c>
      <c r="J136" s="474">
        <f>IF(Table2[[#This Row],[Rate Group Cd]]="B",IF(OR(Table2[[#This Row],[Code]]="bpa",Table2[[#This Row],[Code]]="bpaadj"),Table2[[#This Row],[Code]],"b"&amp;Table2[[#This Row],[Code]]),Table2[[#This Row],[Code]])</f>
        <v>0</v>
      </c>
    </row>
    <row r="137" spans="2:10">
      <c r="B137" s="469" t="s">
        <v>367</v>
      </c>
      <c r="C137" s="155" t="s">
        <v>463</v>
      </c>
      <c r="D137" s="469" t="s">
        <v>336</v>
      </c>
      <c r="E137" s="469" t="s">
        <v>404</v>
      </c>
      <c r="F137" s="470">
        <v>0</v>
      </c>
      <c r="G137" s="471">
        <v>0</v>
      </c>
      <c r="H137" s="472">
        <v>0</v>
      </c>
      <c r="I137" s="473" t="str">
        <f>VLOOKUP(Table2[[#This Row],[Rate Desc]],lookup305[],2,TRUE)</f>
        <v>itd</v>
      </c>
      <c r="J137" s="474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138" spans="2:10">
      <c r="B138" s="469" t="s">
        <v>367</v>
      </c>
      <c r="C138" s="155" t="s">
        <v>463</v>
      </c>
      <c r="D138" s="469" t="s">
        <v>336</v>
      </c>
      <c r="E138" s="469" t="s">
        <v>229</v>
      </c>
      <c r="F138" s="470">
        <v>-7812164.0099999998</v>
      </c>
      <c r="G138" s="471">
        <v>0</v>
      </c>
      <c r="H138" s="472">
        <v>0</v>
      </c>
      <c r="I138" s="473" t="str">
        <f>VLOOKUP(Table2[[#This Row],[Rate Desc]],lookup305[],2,TRUE)</f>
        <v>rev</v>
      </c>
      <c r="J138" s="47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39" spans="2:10">
      <c r="B139" s="469" t="s">
        <v>367</v>
      </c>
      <c r="C139" s="155" t="s">
        <v>463</v>
      </c>
      <c r="D139" s="469" t="s">
        <v>336</v>
      </c>
      <c r="E139" s="469" t="s">
        <v>253</v>
      </c>
      <c r="F139" s="470">
        <v>62175.08</v>
      </c>
      <c r="G139" s="471">
        <v>0</v>
      </c>
      <c r="H139" s="472">
        <v>0</v>
      </c>
      <c r="I139" s="473" t="str">
        <f>VLOOKUP(Table2[[#This Row],[Rate Desc]],lookup305[],2,TRUE)</f>
        <v>rev</v>
      </c>
      <c r="J139" s="47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40" spans="2:10">
      <c r="B140" s="469" t="s">
        <v>367</v>
      </c>
      <c r="C140" s="155" t="s">
        <v>463</v>
      </c>
      <c r="D140" s="469" t="s">
        <v>337</v>
      </c>
      <c r="E140" s="469" t="s">
        <v>383</v>
      </c>
      <c r="F140" s="470">
        <v>3069000</v>
      </c>
      <c r="G140" s="471">
        <v>0</v>
      </c>
      <c r="H140" s="472">
        <v>58263000</v>
      </c>
      <c r="I140" s="473" t="str">
        <f>VLOOKUP(Table2[[#This Row],[Rate Desc]],lookup305[],2,TRUE)</f>
        <v>unbilled</v>
      </c>
      <c r="J140" s="47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42" spans="2:10">
      <c r="G142" s="431" t="s">
        <v>29</v>
      </c>
      <c r="H142" s="430" t="s">
        <v>29</v>
      </c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36"/>
  <sheetViews>
    <sheetView topLeftCell="A55" workbookViewId="0">
      <selection activeCell="K116" sqref="K116"/>
    </sheetView>
  </sheetViews>
  <sheetFormatPr defaultRowHeight="15.6"/>
  <cols>
    <col min="1" max="1" width="47.09765625" bestFit="1" customWidth="1"/>
    <col min="2" max="2" width="9" style="394"/>
    <col min="3" max="3" width="12.69921875" style="394" customWidth="1"/>
  </cols>
  <sheetData>
    <row r="1" spans="1:3">
      <c r="A1" t="s">
        <v>335</v>
      </c>
      <c r="B1" s="394" t="s">
        <v>338</v>
      </c>
      <c r="C1" s="394" t="s">
        <v>339</v>
      </c>
    </row>
    <row r="2" spans="1:3">
      <c r="A2" t="s">
        <v>385</v>
      </c>
      <c r="B2" s="394">
        <v>40</v>
      </c>
      <c r="C2" s="394" t="s">
        <v>226</v>
      </c>
    </row>
    <row r="3" spans="1:3">
      <c r="A3" t="s">
        <v>385</v>
      </c>
      <c r="B3" s="394">
        <v>40</v>
      </c>
      <c r="C3" s="394">
        <v>40</v>
      </c>
    </row>
    <row r="4" spans="1:3">
      <c r="A4" t="s">
        <v>386</v>
      </c>
      <c r="B4" s="394" t="s">
        <v>145</v>
      </c>
      <c r="C4" s="394" t="s">
        <v>145</v>
      </c>
    </row>
    <row r="5" spans="1:3">
      <c r="A5" t="s">
        <v>397</v>
      </c>
      <c r="B5" s="394" t="s">
        <v>274</v>
      </c>
      <c r="C5" s="394" t="s">
        <v>274</v>
      </c>
    </row>
    <row r="6" spans="1:3">
      <c r="A6" t="s">
        <v>387</v>
      </c>
      <c r="B6" s="394" t="s">
        <v>225</v>
      </c>
      <c r="C6" s="394" t="s">
        <v>225</v>
      </c>
    </row>
    <row r="7" spans="1:3">
      <c r="A7" t="s">
        <v>392</v>
      </c>
      <c r="B7" s="394">
        <v>12</v>
      </c>
      <c r="C7" s="394">
        <v>12</v>
      </c>
    </row>
    <row r="8" spans="1:3">
      <c r="A8" t="s">
        <v>393</v>
      </c>
      <c r="B8" s="394">
        <v>52</v>
      </c>
      <c r="C8" s="394">
        <v>52</v>
      </c>
    </row>
    <row r="9" spans="1:3">
      <c r="A9" t="s">
        <v>394</v>
      </c>
      <c r="B9" s="394" t="s">
        <v>146</v>
      </c>
      <c r="C9" s="394" t="s">
        <v>146</v>
      </c>
    </row>
    <row r="10" spans="1:3">
      <c r="A10" t="s">
        <v>395</v>
      </c>
      <c r="B10" s="394" t="s">
        <v>147</v>
      </c>
      <c r="C10" s="394" t="s">
        <v>147</v>
      </c>
    </row>
    <row r="11" spans="1:3">
      <c r="A11" t="s">
        <v>432</v>
      </c>
      <c r="B11" s="394">
        <v>24</v>
      </c>
      <c r="C11" s="394">
        <v>24</v>
      </c>
    </row>
    <row r="12" spans="1:3">
      <c r="A12" t="s">
        <v>189</v>
      </c>
      <c r="B12" s="394">
        <v>24</v>
      </c>
      <c r="C12" s="394">
        <v>24</v>
      </c>
    </row>
    <row r="13" spans="1:3">
      <c r="A13" t="s">
        <v>189</v>
      </c>
      <c r="B13" s="394">
        <v>24</v>
      </c>
      <c r="C13" s="394">
        <v>24</v>
      </c>
    </row>
    <row r="14" spans="1:3">
      <c r="A14" t="s">
        <v>195</v>
      </c>
      <c r="B14" s="394">
        <v>24</v>
      </c>
      <c r="C14" s="394" t="s">
        <v>208</v>
      </c>
    </row>
    <row r="15" spans="1:3">
      <c r="A15" t="s">
        <v>195</v>
      </c>
      <c r="B15" s="394">
        <v>24</v>
      </c>
      <c r="C15" s="394" t="s">
        <v>208</v>
      </c>
    </row>
    <row r="16" spans="1:3">
      <c r="A16" t="s">
        <v>198</v>
      </c>
      <c r="B16" s="394" t="s">
        <v>137</v>
      </c>
      <c r="C16" s="394" t="s">
        <v>137</v>
      </c>
    </row>
    <row r="17" spans="1:3">
      <c r="A17" t="s">
        <v>188</v>
      </c>
      <c r="B17" s="394" t="s">
        <v>137</v>
      </c>
      <c r="C17" s="394" t="s">
        <v>204</v>
      </c>
    </row>
    <row r="18" spans="1:3">
      <c r="A18" t="s">
        <v>190</v>
      </c>
      <c r="B18" s="394" t="s">
        <v>144</v>
      </c>
      <c r="C18" s="394" t="s">
        <v>144</v>
      </c>
    </row>
    <row r="19" spans="1:3">
      <c r="A19" t="s">
        <v>190</v>
      </c>
      <c r="B19" s="394" t="s">
        <v>144</v>
      </c>
      <c r="C19" s="394" t="s">
        <v>144</v>
      </c>
    </row>
    <row r="20" spans="1:3">
      <c r="A20" t="s">
        <v>196</v>
      </c>
      <c r="B20" s="394" t="s">
        <v>144</v>
      </c>
      <c r="C20" s="394" t="s">
        <v>163</v>
      </c>
    </row>
    <row r="21" spans="1:3">
      <c r="A21" t="s">
        <v>196</v>
      </c>
      <c r="B21" s="394" t="s">
        <v>144</v>
      </c>
      <c r="C21" s="394" t="s">
        <v>163</v>
      </c>
    </row>
    <row r="22" spans="1:3">
      <c r="A22" t="s">
        <v>368</v>
      </c>
      <c r="B22" s="394">
        <v>24</v>
      </c>
      <c r="C22" s="394">
        <v>24</v>
      </c>
    </row>
    <row r="23" spans="1:3">
      <c r="A23" t="s">
        <v>368</v>
      </c>
      <c r="B23" s="394">
        <v>24</v>
      </c>
      <c r="C23" s="394">
        <v>24</v>
      </c>
    </row>
    <row r="24" spans="1:3">
      <c r="A24" t="s">
        <v>369</v>
      </c>
      <c r="B24" s="394" t="s">
        <v>137</v>
      </c>
      <c r="C24" s="394">
        <v>24</v>
      </c>
    </row>
    <row r="25" spans="1:3">
      <c r="A25" t="s">
        <v>369</v>
      </c>
      <c r="B25" s="394" t="s">
        <v>137</v>
      </c>
      <c r="C25" s="394" t="s">
        <v>137</v>
      </c>
    </row>
    <row r="26" spans="1:3">
      <c r="A26" t="s">
        <v>199</v>
      </c>
      <c r="B26" s="394">
        <v>36</v>
      </c>
      <c r="C26" s="394">
        <v>36</v>
      </c>
    </row>
    <row r="27" spans="1:3">
      <c r="A27" t="s">
        <v>199</v>
      </c>
      <c r="B27" s="394">
        <v>36</v>
      </c>
      <c r="C27" s="394">
        <v>36</v>
      </c>
    </row>
    <row r="28" spans="1:3">
      <c r="A28" t="s">
        <v>192</v>
      </c>
      <c r="B28" s="394">
        <v>36</v>
      </c>
      <c r="C28" s="394" t="s">
        <v>205</v>
      </c>
    </row>
    <row r="29" spans="1:3">
      <c r="A29" t="s">
        <v>192</v>
      </c>
      <c r="B29" s="394">
        <v>36</v>
      </c>
      <c r="C29" s="394" t="s">
        <v>205</v>
      </c>
    </row>
    <row r="30" spans="1:3">
      <c r="A30" t="s">
        <v>370</v>
      </c>
      <c r="B30" s="394">
        <v>36</v>
      </c>
      <c r="C30" s="394">
        <v>36</v>
      </c>
    </row>
    <row r="31" spans="1:3">
      <c r="A31" t="s">
        <v>370</v>
      </c>
      <c r="B31" s="394">
        <v>36</v>
      </c>
      <c r="C31" s="394">
        <v>36</v>
      </c>
    </row>
    <row r="32" spans="1:3">
      <c r="A32" t="s">
        <v>371</v>
      </c>
      <c r="B32" s="394" t="s">
        <v>143</v>
      </c>
      <c r="C32" s="394" t="s">
        <v>143</v>
      </c>
    </row>
    <row r="33" spans="1:3">
      <c r="A33" t="s">
        <v>371</v>
      </c>
      <c r="B33" s="394" t="s">
        <v>143</v>
      </c>
      <c r="C33" s="394" t="s">
        <v>143</v>
      </c>
    </row>
    <row r="34" spans="1:3">
      <c r="A34" t="s">
        <v>372</v>
      </c>
      <c r="B34" s="394" t="s">
        <v>138</v>
      </c>
      <c r="C34" s="394" t="s">
        <v>138</v>
      </c>
    </row>
    <row r="35" spans="1:3">
      <c r="A35" t="s">
        <v>372</v>
      </c>
      <c r="B35" s="394" t="s">
        <v>138</v>
      </c>
      <c r="C35" s="394" t="s">
        <v>138</v>
      </c>
    </row>
    <row r="36" spans="1:3">
      <c r="A36" t="s">
        <v>373</v>
      </c>
      <c r="B36" s="394" t="s">
        <v>138</v>
      </c>
      <c r="C36" s="394" t="s">
        <v>138</v>
      </c>
    </row>
    <row r="37" spans="1:3">
      <c r="A37" t="s">
        <v>373</v>
      </c>
      <c r="B37" s="394" t="s">
        <v>138</v>
      </c>
      <c r="C37" s="394" t="s">
        <v>138</v>
      </c>
    </row>
    <row r="38" spans="1:3">
      <c r="A38" t="s">
        <v>373</v>
      </c>
      <c r="B38" s="394" t="s">
        <v>138</v>
      </c>
      <c r="C38" s="394" t="s">
        <v>138</v>
      </c>
    </row>
    <row r="39" spans="1:3">
      <c r="A39" t="s">
        <v>374</v>
      </c>
      <c r="B39" s="394" t="s">
        <v>138</v>
      </c>
      <c r="C39" s="394" t="s">
        <v>138</v>
      </c>
    </row>
    <row r="40" spans="1:3">
      <c r="A40" t="s">
        <v>374</v>
      </c>
      <c r="B40" s="394" t="s">
        <v>138</v>
      </c>
      <c r="C40" s="394" t="s">
        <v>138</v>
      </c>
    </row>
    <row r="41" spans="1:3">
      <c r="A41" t="s">
        <v>375</v>
      </c>
      <c r="B41" s="394" t="s">
        <v>138</v>
      </c>
      <c r="C41" s="394" t="s">
        <v>138</v>
      </c>
    </row>
    <row r="42" spans="1:3">
      <c r="A42" t="s">
        <v>375</v>
      </c>
      <c r="B42" s="394" t="s">
        <v>138</v>
      </c>
      <c r="C42" s="394" t="s">
        <v>138</v>
      </c>
    </row>
    <row r="43" spans="1:3">
      <c r="A43" t="s">
        <v>375</v>
      </c>
      <c r="B43" s="394" t="s">
        <v>138</v>
      </c>
      <c r="C43" s="394" t="s">
        <v>138</v>
      </c>
    </row>
    <row r="44" spans="1:3">
      <c r="A44" t="s">
        <v>376</v>
      </c>
      <c r="B44" s="394" t="s">
        <v>138</v>
      </c>
      <c r="C44" s="394" t="s">
        <v>138</v>
      </c>
    </row>
    <row r="45" spans="1:3">
      <c r="A45" t="s">
        <v>376</v>
      </c>
      <c r="B45" s="394" t="s">
        <v>138</v>
      </c>
      <c r="C45" s="394" t="s">
        <v>138</v>
      </c>
    </row>
    <row r="46" spans="1:3">
      <c r="A46" t="s">
        <v>377</v>
      </c>
      <c r="B46" s="394" t="s">
        <v>138</v>
      </c>
      <c r="C46" s="394" t="s">
        <v>138</v>
      </c>
    </row>
    <row r="47" spans="1:3">
      <c r="A47" t="s">
        <v>170</v>
      </c>
      <c r="B47" s="394" t="s">
        <v>138</v>
      </c>
      <c r="C47" s="394" t="s">
        <v>138</v>
      </c>
    </row>
    <row r="48" spans="1:3">
      <c r="A48" t="s">
        <v>212</v>
      </c>
      <c r="B48" s="394" t="s">
        <v>138</v>
      </c>
      <c r="C48" s="394" t="s">
        <v>138</v>
      </c>
    </row>
    <row r="49" spans="1:3">
      <c r="A49" t="s">
        <v>211</v>
      </c>
      <c r="B49" s="394" t="s">
        <v>138</v>
      </c>
      <c r="C49" s="394" t="s">
        <v>138</v>
      </c>
    </row>
    <row r="50" spans="1:3">
      <c r="A50" t="s">
        <v>211</v>
      </c>
      <c r="B50" s="394" t="s">
        <v>138</v>
      </c>
      <c r="C50" s="394" t="s">
        <v>138</v>
      </c>
    </row>
    <row r="51" spans="1:3">
      <c r="A51" t="s">
        <v>213</v>
      </c>
      <c r="B51" s="394" t="s">
        <v>138</v>
      </c>
      <c r="C51" s="394" t="s">
        <v>138</v>
      </c>
    </row>
    <row r="52" spans="1:3">
      <c r="A52" t="s">
        <v>396</v>
      </c>
      <c r="B52" s="394">
        <v>57</v>
      </c>
      <c r="C52" s="394">
        <v>57</v>
      </c>
    </row>
    <row r="53" spans="1:3">
      <c r="A53" t="s">
        <v>217</v>
      </c>
      <c r="B53" s="394">
        <v>135</v>
      </c>
      <c r="C53" s="394">
        <v>135</v>
      </c>
    </row>
    <row r="54" spans="1:3">
      <c r="A54" t="s">
        <v>222</v>
      </c>
      <c r="B54" s="394">
        <v>135</v>
      </c>
      <c r="C54" s="394" t="s">
        <v>233</v>
      </c>
    </row>
    <row r="55" spans="1:3">
      <c r="A55" t="s">
        <v>418</v>
      </c>
      <c r="B55" s="394">
        <v>24</v>
      </c>
      <c r="C55" s="394" t="s">
        <v>208</v>
      </c>
    </row>
    <row r="56" spans="1:3">
      <c r="A56" t="s">
        <v>419</v>
      </c>
      <c r="B56" s="394">
        <v>24</v>
      </c>
      <c r="C56" s="407">
        <v>24</v>
      </c>
    </row>
    <row r="57" spans="1:3">
      <c r="A57" s="408" t="s">
        <v>420</v>
      </c>
      <c r="B57" s="394">
        <v>24</v>
      </c>
      <c r="C57" s="407" t="s">
        <v>208</v>
      </c>
    </row>
    <row r="58" spans="1:3">
      <c r="A58" t="s">
        <v>185</v>
      </c>
      <c r="B58" s="394">
        <v>24</v>
      </c>
      <c r="C58" s="394">
        <v>24</v>
      </c>
    </row>
    <row r="59" spans="1:3">
      <c r="A59" t="s">
        <v>230</v>
      </c>
      <c r="B59" s="394">
        <v>36</v>
      </c>
      <c r="C59" s="394">
        <v>36</v>
      </c>
    </row>
    <row r="60" spans="1:3">
      <c r="A60" t="s">
        <v>310</v>
      </c>
      <c r="B60" s="394">
        <v>40</v>
      </c>
      <c r="C60" s="394" t="s">
        <v>226</v>
      </c>
    </row>
    <row r="61" spans="1:3">
      <c r="A61" t="s">
        <v>309</v>
      </c>
      <c r="B61" s="394">
        <v>40</v>
      </c>
      <c r="C61" s="394">
        <v>40</v>
      </c>
    </row>
    <row r="62" spans="1:3">
      <c r="A62" t="s">
        <v>308</v>
      </c>
      <c r="B62" s="394" t="s">
        <v>143</v>
      </c>
      <c r="C62" s="394" t="s">
        <v>143</v>
      </c>
    </row>
    <row r="63" spans="1:3">
      <c r="A63" t="s">
        <v>360</v>
      </c>
      <c r="B63" s="394" t="s">
        <v>145</v>
      </c>
      <c r="C63" s="394" t="s">
        <v>145</v>
      </c>
    </row>
    <row r="64" spans="1:3">
      <c r="A64" t="s">
        <v>378</v>
      </c>
      <c r="B64" s="394" t="s">
        <v>139</v>
      </c>
      <c r="C64" s="394" t="s">
        <v>139</v>
      </c>
    </row>
    <row r="65" spans="1:3">
      <c r="A65" t="s">
        <v>378</v>
      </c>
      <c r="B65" s="394" t="s">
        <v>139</v>
      </c>
      <c r="C65" s="394" t="s">
        <v>139</v>
      </c>
    </row>
    <row r="66" spans="1:3">
      <c r="A66" t="s">
        <v>197</v>
      </c>
      <c r="B66" s="394" t="s">
        <v>139</v>
      </c>
      <c r="C66" s="394" t="s">
        <v>139</v>
      </c>
    </row>
    <row r="67" spans="1:3">
      <c r="A67" t="s">
        <v>197</v>
      </c>
      <c r="B67" s="394" t="s">
        <v>139</v>
      </c>
      <c r="C67" s="394" t="s">
        <v>139</v>
      </c>
    </row>
    <row r="68" spans="1:3">
      <c r="A68" t="s">
        <v>193</v>
      </c>
      <c r="B68" s="394" t="s">
        <v>139</v>
      </c>
      <c r="C68" s="394" t="s">
        <v>206</v>
      </c>
    </row>
    <row r="69" spans="1:3">
      <c r="A69" t="s">
        <v>193</v>
      </c>
      <c r="B69" s="394" t="s">
        <v>139</v>
      </c>
      <c r="C69" s="394" t="s">
        <v>206</v>
      </c>
    </row>
    <row r="70" spans="1:3">
      <c r="A70" t="s">
        <v>200</v>
      </c>
      <c r="B70" s="394" t="s">
        <v>148</v>
      </c>
      <c r="C70" s="394" t="s">
        <v>148</v>
      </c>
    </row>
    <row r="71" spans="1:3">
      <c r="A71" t="s">
        <v>201</v>
      </c>
      <c r="B71" s="394" t="s">
        <v>148</v>
      </c>
      <c r="C71" s="394" t="s">
        <v>209</v>
      </c>
    </row>
    <row r="72" spans="1:3">
      <c r="A72" t="s">
        <v>384</v>
      </c>
      <c r="B72" s="394">
        <v>47</v>
      </c>
      <c r="C72" s="394">
        <v>47</v>
      </c>
    </row>
    <row r="73" spans="1:3">
      <c r="A73" t="s">
        <v>379</v>
      </c>
      <c r="B73" s="394">
        <v>54</v>
      </c>
      <c r="C73" s="394">
        <v>54</v>
      </c>
    </row>
    <row r="74" spans="1:3">
      <c r="A74" t="s">
        <v>398</v>
      </c>
      <c r="B74" s="394">
        <v>16</v>
      </c>
      <c r="C74" s="394">
        <v>16</v>
      </c>
    </row>
    <row r="75" spans="1:3">
      <c r="A75" t="s">
        <v>311</v>
      </c>
      <c r="B75" s="394">
        <v>16</v>
      </c>
      <c r="C75" s="394" t="s">
        <v>164</v>
      </c>
    </row>
    <row r="76" spans="1:3">
      <c r="A76" t="s">
        <v>399</v>
      </c>
      <c r="B76" s="394">
        <v>17</v>
      </c>
      <c r="C76" s="394">
        <v>17</v>
      </c>
    </row>
    <row r="77" spans="1:3">
      <c r="A77" t="s">
        <v>134</v>
      </c>
      <c r="B77" s="394">
        <v>17</v>
      </c>
      <c r="C77" s="394" t="s">
        <v>165</v>
      </c>
    </row>
    <row r="78" spans="1:3">
      <c r="A78" t="s">
        <v>400</v>
      </c>
      <c r="B78" s="394">
        <v>18</v>
      </c>
      <c r="C78" s="394">
        <v>18</v>
      </c>
    </row>
    <row r="79" spans="1:3">
      <c r="A79" t="s">
        <v>312</v>
      </c>
      <c r="B79" s="394">
        <v>18</v>
      </c>
      <c r="C79" s="394" t="s">
        <v>166</v>
      </c>
    </row>
    <row r="80" spans="1:3">
      <c r="A80" t="s">
        <v>401</v>
      </c>
      <c r="B80" s="394" t="s">
        <v>149</v>
      </c>
      <c r="C80" s="394" t="s">
        <v>149</v>
      </c>
    </row>
    <row r="81" spans="1:3">
      <c r="A81" t="s">
        <v>313</v>
      </c>
      <c r="B81" s="394" t="s">
        <v>149</v>
      </c>
      <c r="C81" s="394" t="s">
        <v>167</v>
      </c>
    </row>
    <row r="82" spans="1:3">
      <c r="A82" t="s">
        <v>107</v>
      </c>
      <c r="B82" s="394" t="s">
        <v>138</v>
      </c>
      <c r="C82" s="394" t="s">
        <v>138</v>
      </c>
    </row>
    <row r="83" spans="1:3">
      <c r="A83" t="s">
        <v>254</v>
      </c>
      <c r="B83" s="394">
        <v>24</v>
      </c>
      <c r="C83" s="394">
        <v>24</v>
      </c>
    </row>
    <row r="84" spans="1:3">
      <c r="A84" t="s">
        <v>255</v>
      </c>
      <c r="B84" s="394">
        <v>24</v>
      </c>
      <c r="C84" s="394" t="s">
        <v>208</v>
      </c>
    </row>
    <row r="85" spans="1:3">
      <c r="A85" t="s">
        <v>362</v>
      </c>
      <c r="B85" s="394">
        <v>36</v>
      </c>
      <c r="C85" s="394">
        <v>36</v>
      </c>
    </row>
    <row r="86" spans="1:3">
      <c r="A86" t="s">
        <v>364</v>
      </c>
      <c r="B86" s="394">
        <v>36</v>
      </c>
      <c r="C86" s="394" t="s">
        <v>205</v>
      </c>
    </row>
    <row r="87" spans="1:3">
      <c r="A87" t="s">
        <v>363</v>
      </c>
      <c r="B87" s="394">
        <v>24</v>
      </c>
      <c r="C87" s="394">
        <v>24</v>
      </c>
    </row>
    <row r="88" spans="1:3">
      <c r="A88" t="s">
        <v>361</v>
      </c>
      <c r="B88" s="394">
        <v>24</v>
      </c>
      <c r="C88" s="394" t="s">
        <v>208</v>
      </c>
    </row>
    <row r="89" spans="1:3">
      <c r="A89" t="s">
        <v>319</v>
      </c>
      <c r="B89" s="394">
        <v>51</v>
      </c>
      <c r="C89" s="394">
        <v>51</v>
      </c>
    </row>
    <row r="90" spans="1:3">
      <c r="A90" t="s">
        <v>187</v>
      </c>
      <c r="B90" s="394" t="s">
        <v>141</v>
      </c>
      <c r="C90" s="394" t="s">
        <v>141</v>
      </c>
    </row>
    <row r="91" spans="1:3">
      <c r="A91" t="s">
        <v>278</v>
      </c>
      <c r="B91" s="394" t="s">
        <v>273</v>
      </c>
      <c r="C91" s="394" t="s">
        <v>273</v>
      </c>
    </row>
    <row r="92" spans="1:3">
      <c r="A92" t="s">
        <v>279</v>
      </c>
      <c r="B92" s="394" t="s">
        <v>274</v>
      </c>
      <c r="C92" s="394" t="s">
        <v>274</v>
      </c>
    </row>
    <row r="93" spans="1:3">
      <c r="A93" t="s">
        <v>268</v>
      </c>
      <c r="B93" s="394" t="s">
        <v>273</v>
      </c>
      <c r="C93" s="394" t="s">
        <v>273</v>
      </c>
    </row>
    <row r="94" spans="1:3">
      <c r="A94" t="s">
        <v>269</v>
      </c>
      <c r="B94" s="394" t="s">
        <v>274</v>
      </c>
      <c r="C94" s="394" t="s">
        <v>274</v>
      </c>
    </row>
    <row r="95" spans="1:3">
      <c r="A95" t="s">
        <v>270</v>
      </c>
      <c r="B95" s="394" t="s">
        <v>273</v>
      </c>
      <c r="C95" s="394" t="s">
        <v>273</v>
      </c>
    </row>
    <row r="96" spans="1:3">
      <c r="A96" t="s">
        <v>365</v>
      </c>
      <c r="B96" s="394" t="s">
        <v>274</v>
      </c>
      <c r="C96" s="394" t="s">
        <v>274</v>
      </c>
    </row>
    <row r="97" spans="1:3">
      <c r="A97" t="s">
        <v>231</v>
      </c>
      <c r="B97" s="394" t="s">
        <v>344</v>
      </c>
      <c r="C97" s="394" t="s">
        <v>344</v>
      </c>
    </row>
    <row r="98" spans="1:3">
      <c r="A98" t="s">
        <v>271</v>
      </c>
      <c r="B98" s="394" t="s">
        <v>273</v>
      </c>
      <c r="C98" s="394" t="s">
        <v>273</v>
      </c>
    </row>
    <row r="99" spans="1:3">
      <c r="A99" t="s">
        <v>272</v>
      </c>
      <c r="B99" s="394" t="s">
        <v>274</v>
      </c>
      <c r="C99" s="394" t="s">
        <v>274</v>
      </c>
    </row>
    <row r="100" spans="1:3">
      <c r="A100" t="s">
        <v>277</v>
      </c>
      <c r="B100" s="394" t="s">
        <v>273</v>
      </c>
      <c r="C100" s="394" t="s">
        <v>273</v>
      </c>
    </row>
    <row r="101" spans="1:3">
      <c r="A101" t="s">
        <v>403</v>
      </c>
      <c r="B101" s="394" t="s">
        <v>408</v>
      </c>
      <c r="C101" s="394" t="s">
        <v>408</v>
      </c>
    </row>
    <row r="102" spans="1:3">
      <c r="A102" t="s">
        <v>403</v>
      </c>
      <c r="B102" s="394" t="s">
        <v>408</v>
      </c>
      <c r="C102" s="394" t="s">
        <v>408</v>
      </c>
    </row>
    <row r="103" spans="1:3">
      <c r="A103" t="s">
        <v>403</v>
      </c>
      <c r="B103" s="394" t="s">
        <v>408</v>
      </c>
      <c r="C103" s="394" t="s">
        <v>408</v>
      </c>
    </row>
    <row r="104" spans="1:3">
      <c r="A104" t="s">
        <v>403</v>
      </c>
      <c r="B104" s="394" t="s">
        <v>408</v>
      </c>
      <c r="C104" s="394" t="s">
        <v>408</v>
      </c>
    </row>
    <row r="105" spans="1:3">
      <c r="A105" t="s">
        <v>380</v>
      </c>
      <c r="B105" s="394" t="s">
        <v>140</v>
      </c>
      <c r="C105" s="394" t="s">
        <v>140</v>
      </c>
    </row>
    <row r="106" spans="1:3">
      <c r="A106" t="s">
        <v>380</v>
      </c>
      <c r="B106" s="394" t="s">
        <v>140</v>
      </c>
      <c r="C106" s="394" t="s">
        <v>140</v>
      </c>
    </row>
    <row r="107" spans="1:3">
      <c r="A107" t="s">
        <v>380</v>
      </c>
      <c r="B107" s="394" t="s">
        <v>140</v>
      </c>
      <c r="C107" s="394" t="s">
        <v>140</v>
      </c>
    </row>
    <row r="108" spans="1:3">
      <c r="A108" t="s">
        <v>389</v>
      </c>
    </row>
    <row r="109" spans="1:3">
      <c r="A109" t="s">
        <v>388</v>
      </c>
    </row>
    <row r="110" spans="1:3">
      <c r="A110" t="s">
        <v>381</v>
      </c>
    </row>
    <row r="111" spans="1:3">
      <c r="A111" t="s">
        <v>381</v>
      </c>
    </row>
    <row r="112" spans="1:3">
      <c r="A112" t="s">
        <v>381</v>
      </c>
    </row>
    <row r="113" spans="1:3">
      <c r="A113" t="s">
        <v>382</v>
      </c>
    </row>
    <row r="114" spans="1:3">
      <c r="A114" t="s">
        <v>382</v>
      </c>
    </row>
    <row r="115" spans="1:3">
      <c r="A115" t="s">
        <v>382</v>
      </c>
    </row>
    <row r="116" spans="1:3">
      <c r="A116" t="s">
        <v>382</v>
      </c>
    </row>
    <row r="117" spans="1:3">
      <c r="A117" t="s">
        <v>404</v>
      </c>
      <c r="B117" s="394" t="s">
        <v>407</v>
      </c>
      <c r="C117" s="394" t="s">
        <v>407</v>
      </c>
    </row>
    <row r="118" spans="1:3">
      <c r="A118" t="s">
        <v>404</v>
      </c>
      <c r="B118" s="394" t="s">
        <v>407</v>
      </c>
      <c r="C118" s="394" t="s">
        <v>407</v>
      </c>
    </row>
    <row r="119" spans="1:3">
      <c r="A119" t="s">
        <v>404</v>
      </c>
      <c r="B119" s="394" t="s">
        <v>407</v>
      </c>
      <c r="C119" s="394" t="s">
        <v>407</v>
      </c>
    </row>
    <row r="120" spans="1:3">
      <c r="A120" t="s">
        <v>404</v>
      </c>
      <c r="B120" s="394" t="s">
        <v>407</v>
      </c>
      <c r="C120" s="394" t="s">
        <v>407</v>
      </c>
    </row>
    <row r="121" spans="1:3">
      <c r="A121" t="s">
        <v>404</v>
      </c>
      <c r="B121" s="394" t="s">
        <v>407</v>
      </c>
      <c r="C121" s="394" t="s">
        <v>407</v>
      </c>
    </row>
    <row r="122" spans="1:3">
      <c r="A122" t="s">
        <v>390</v>
      </c>
      <c r="B122" s="394" t="s">
        <v>140</v>
      </c>
      <c r="C122" s="394" t="s">
        <v>140</v>
      </c>
    </row>
    <row r="123" spans="1:3">
      <c r="A123" t="s">
        <v>391</v>
      </c>
      <c r="B123" s="394" t="s">
        <v>141</v>
      </c>
      <c r="C123" s="394" t="s">
        <v>141</v>
      </c>
    </row>
    <row r="124" spans="1:3">
      <c r="A124" t="s">
        <v>253</v>
      </c>
      <c r="B124" s="394" t="s">
        <v>203</v>
      </c>
      <c r="C124" s="394" t="s">
        <v>203</v>
      </c>
    </row>
    <row r="125" spans="1:3">
      <c r="A125" t="s">
        <v>253</v>
      </c>
      <c r="B125" s="394" t="s">
        <v>203</v>
      </c>
      <c r="C125" s="394" t="s">
        <v>203</v>
      </c>
    </row>
    <row r="126" spans="1:3">
      <c r="A126" t="s">
        <v>253</v>
      </c>
      <c r="B126" s="394" t="s">
        <v>203</v>
      </c>
      <c r="C126" s="394" t="s">
        <v>203</v>
      </c>
    </row>
    <row r="127" spans="1:3">
      <c r="A127" t="s">
        <v>253</v>
      </c>
      <c r="B127" s="394" t="s">
        <v>203</v>
      </c>
      <c r="C127" s="394" t="s">
        <v>203</v>
      </c>
    </row>
    <row r="128" spans="1:3">
      <c r="A128" t="s">
        <v>229</v>
      </c>
      <c r="B128" s="394" t="s">
        <v>203</v>
      </c>
      <c r="C128" s="394" t="s">
        <v>203</v>
      </c>
    </row>
    <row r="129" spans="1:3">
      <c r="A129" t="s">
        <v>229</v>
      </c>
      <c r="B129" s="394" t="s">
        <v>203</v>
      </c>
      <c r="C129" s="394" t="s">
        <v>203</v>
      </c>
    </row>
    <row r="130" spans="1:3">
      <c r="A130" t="s">
        <v>229</v>
      </c>
      <c r="B130" s="394" t="s">
        <v>203</v>
      </c>
      <c r="C130" s="394" t="s">
        <v>203</v>
      </c>
    </row>
    <row r="131" spans="1:3">
      <c r="A131" t="s">
        <v>229</v>
      </c>
      <c r="B131" s="394" t="s">
        <v>203</v>
      </c>
    </row>
    <row r="132" spans="1:3">
      <c r="A132" t="s">
        <v>229</v>
      </c>
      <c r="B132" s="394" t="s">
        <v>203</v>
      </c>
      <c r="C132" s="394" t="s">
        <v>203</v>
      </c>
    </row>
    <row r="133" spans="1:3">
      <c r="A133" t="s">
        <v>383</v>
      </c>
      <c r="B133" s="394" t="s">
        <v>141</v>
      </c>
      <c r="C133" s="394" t="s">
        <v>141</v>
      </c>
    </row>
    <row r="134" spans="1:3">
      <c r="A134" t="s">
        <v>383</v>
      </c>
      <c r="B134" s="394" t="s">
        <v>141</v>
      </c>
      <c r="C134" s="394" t="s">
        <v>141</v>
      </c>
    </row>
    <row r="135" spans="1:3">
      <c r="A135" t="s">
        <v>383</v>
      </c>
      <c r="B135" s="394" t="s">
        <v>141</v>
      </c>
      <c r="C135" s="394" t="s">
        <v>141</v>
      </c>
    </row>
    <row r="136" spans="1:3">
      <c r="A136" t="s">
        <v>383</v>
      </c>
      <c r="B136" s="394" t="s">
        <v>141</v>
      </c>
      <c r="C136" s="394" t="s">
        <v>141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10"/>
  <sheetViews>
    <sheetView zoomScale="70" zoomScaleNormal="7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5.6"/>
  <cols>
    <col min="1" max="1" width="29.69921875" style="215" bestFit="1" customWidth="1"/>
    <col min="2" max="2" width="39.8984375" style="4" bestFit="1" customWidth="1"/>
    <col min="3" max="3" width="55.09765625" style="266" customWidth="1"/>
    <col min="4" max="4" width="19" style="266" bestFit="1" customWidth="1"/>
    <col min="5" max="16384" width="9" style="4"/>
  </cols>
  <sheetData>
    <row r="2" spans="1:4">
      <c r="A2" s="4" t="s">
        <v>256</v>
      </c>
    </row>
    <row r="3" spans="1:4">
      <c r="A3" s="4" t="s">
        <v>223</v>
      </c>
    </row>
    <row r="4" spans="1:4">
      <c r="A4" s="4" t="s">
        <v>257</v>
      </c>
    </row>
    <row r="5" spans="1:4">
      <c r="A5" s="215" t="s">
        <v>203</v>
      </c>
      <c r="B5" s="265" t="s">
        <v>258</v>
      </c>
      <c r="D5" s="270" t="s">
        <v>267</v>
      </c>
    </row>
    <row r="6" spans="1:4">
      <c r="A6" s="215" t="s">
        <v>30</v>
      </c>
      <c r="B6" s="4" t="s">
        <v>92</v>
      </c>
      <c r="C6" s="266" t="s">
        <v>93</v>
      </c>
      <c r="D6" s="266" t="s">
        <v>1</v>
      </c>
    </row>
    <row r="7" spans="1:4" ht="15.75" customHeight="1">
      <c r="A7" s="212"/>
      <c r="B7" s="4" t="s">
        <v>94</v>
      </c>
      <c r="C7" s="213" t="s">
        <v>112</v>
      </c>
      <c r="D7" s="269">
        <v>-946000</v>
      </c>
    </row>
    <row r="8" spans="1:4" ht="15.75" customHeight="1">
      <c r="A8" s="212"/>
      <c r="B8" s="4" t="s">
        <v>94</v>
      </c>
      <c r="C8" s="213" t="s">
        <v>109</v>
      </c>
      <c r="D8" s="269">
        <v>-17340.96</v>
      </c>
    </row>
    <row r="9" spans="1:4" ht="15.75" customHeight="1">
      <c r="A9" s="212"/>
      <c r="B9" s="4" t="s">
        <v>94</v>
      </c>
      <c r="C9" s="213" t="s">
        <v>221</v>
      </c>
      <c r="D9" s="269">
        <v>6785</v>
      </c>
    </row>
    <row r="10" spans="1:4" ht="15.75" customHeight="1">
      <c r="A10" s="214"/>
      <c r="B10" s="4" t="s">
        <v>94</v>
      </c>
      <c r="C10" s="213" t="s">
        <v>228</v>
      </c>
      <c r="D10" s="269">
        <v>-255000</v>
      </c>
    </row>
    <row r="11" spans="1:4" ht="15.75" customHeight="1">
      <c r="A11" s="214"/>
      <c r="B11" s="4" t="s">
        <v>94</v>
      </c>
      <c r="C11" s="213" t="s">
        <v>229</v>
      </c>
      <c r="D11" s="269">
        <v>-837812.98</v>
      </c>
    </row>
    <row r="12" spans="1:4" ht="15.75" customHeight="1">
      <c r="A12" s="214">
        <v>24</v>
      </c>
      <c r="B12" s="4" t="s">
        <v>94</v>
      </c>
      <c r="C12" s="213" t="s">
        <v>95</v>
      </c>
      <c r="D12" s="269">
        <v>9556511.1799999997</v>
      </c>
    </row>
    <row r="13" spans="1:4" ht="15.75" customHeight="1">
      <c r="A13" s="212" t="s">
        <v>262</v>
      </c>
      <c r="B13" s="4" t="s">
        <v>94</v>
      </c>
      <c r="C13" s="213" t="s">
        <v>96</v>
      </c>
      <c r="D13" s="269">
        <v>31293.52</v>
      </c>
    </row>
    <row r="14" spans="1:4" ht="15.75" customHeight="1">
      <c r="A14" s="212">
        <v>36</v>
      </c>
      <c r="B14" s="4" t="s">
        <v>94</v>
      </c>
      <c r="C14" s="213" t="s">
        <v>97</v>
      </c>
      <c r="D14" s="269">
        <v>10781084.630000001</v>
      </c>
    </row>
    <row r="15" spans="1:4" ht="15.75" customHeight="1">
      <c r="A15" s="212">
        <v>48</v>
      </c>
      <c r="B15" s="4" t="s">
        <v>94</v>
      </c>
      <c r="C15" s="213" t="s">
        <v>98</v>
      </c>
      <c r="D15" s="269">
        <v>1992589.38</v>
      </c>
    </row>
    <row r="16" spans="1:4" ht="15.75" customHeight="1">
      <c r="A16" s="212"/>
      <c r="B16" s="4" t="s">
        <v>94</v>
      </c>
      <c r="C16" s="213" t="s">
        <v>99</v>
      </c>
      <c r="D16" s="269">
        <v>41679.97</v>
      </c>
    </row>
    <row r="17" spans="1:4" ht="15.75" customHeight="1">
      <c r="A17" s="212"/>
      <c r="B17" s="4" t="s">
        <v>94</v>
      </c>
      <c r="C17" s="213" t="s">
        <v>101</v>
      </c>
      <c r="D17" s="269">
        <v>193.11</v>
      </c>
    </row>
    <row r="18" spans="1:4" ht="15.75" customHeight="1">
      <c r="A18" s="212"/>
      <c r="B18" s="4" t="s">
        <v>94</v>
      </c>
      <c r="C18" s="213" t="s">
        <v>102</v>
      </c>
      <c r="D18" s="269">
        <v>105391.16</v>
      </c>
    </row>
    <row r="19" spans="1:4" ht="15.75" customHeight="1">
      <c r="A19" s="212"/>
      <c r="B19" s="4" t="s">
        <v>94</v>
      </c>
      <c r="C19" s="213" t="s">
        <v>104</v>
      </c>
      <c r="D19" s="269">
        <v>167.19</v>
      </c>
    </row>
    <row r="20" spans="1:4" ht="15.75" customHeight="1">
      <c r="A20" s="212">
        <v>15</v>
      </c>
      <c r="B20" s="4" t="s">
        <v>94</v>
      </c>
      <c r="C20" s="213" t="s">
        <v>105</v>
      </c>
      <c r="D20" s="269">
        <v>53629.83</v>
      </c>
    </row>
    <row r="21" spans="1:4" ht="15.75" customHeight="1">
      <c r="A21" s="212">
        <v>54</v>
      </c>
      <c r="B21" s="4" t="s">
        <v>94</v>
      </c>
      <c r="C21" s="213" t="s">
        <v>106</v>
      </c>
      <c r="D21" s="269">
        <v>3888.91</v>
      </c>
    </row>
    <row r="22" spans="1:4" ht="15.75" customHeight="1">
      <c r="A22" s="212"/>
      <c r="B22" s="4" t="s">
        <v>94</v>
      </c>
      <c r="C22" s="213" t="s">
        <v>243</v>
      </c>
      <c r="D22" s="269">
        <v>-0.28999999999999998</v>
      </c>
    </row>
    <row r="23" spans="1:4" ht="15.75" customHeight="1">
      <c r="A23" s="212"/>
      <c r="B23" s="4" t="s">
        <v>94</v>
      </c>
      <c r="C23" s="213" t="s">
        <v>108</v>
      </c>
      <c r="D23" s="269">
        <v>0.74</v>
      </c>
    </row>
    <row r="24" spans="1:4" ht="15.75" customHeight="1">
      <c r="A24" s="212"/>
      <c r="B24" s="4" t="s">
        <v>94</v>
      </c>
      <c r="C24" s="213" t="s">
        <v>107</v>
      </c>
      <c r="D24" s="269">
        <v>-7.0000000000000007E-2</v>
      </c>
    </row>
    <row r="25" spans="1:4" ht="15.75" customHeight="1">
      <c r="A25" s="212"/>
      <c r="B25" s="4" t="s">
        <v>94</v>
      </c>
      <c r="C25" s="213" t="s">
        <v>170</v>
      </c>
      <c r="D25" s="269">
        <v>2332.52</v>
      </c>
    </row>
    <row r="26" spans="1:4" ht="15.75" customHeight="1">
      <c r="A26" s="212">
        <v>24</v>
      </c>
      <c r="B26" s="4" t="s">
        <v>94</v>
      </c>
      <c r="C26" s="213" t="s">
        <v>185</v>
      </c>
      <c r="D26" s="269">
        <v>2569.66</v>
      </c>
    </row>
    <row r="27" spans="1:4" ht="15.75" customHeight="1">
      <c r="A27" s="212">
        <v>24</v>
      </c>
      <c r="B27" s="4" t="s">
        <v>94</v>
      </c>
      <c r="C27" s="213" t="s">
        <v>189</v>
      </c>
      <c r="D27" s="269">
        <v>893375.05</v>
      </c>
    </row>
    <row r="28" spans="1:4" ht="15.75" customHeight="1">
      <c r="A28" s="212"/>
      <c r="B28" s="4" t="s">
        <v>94</v>
      </c>
      <c r="C28" s="213" t="s">
        <v>195</v>
      </c>
      <c r="D28" s="269">
        <v>-48178.239999999998</v>
      </c>
    </row>
    <row r="29" spans="1:4" ht="15.75" customHeight="1">
      <c r="A29" s="212" t="s">
        <v>263</v>
      </c>
      <c r="B29" s="4" t="s">
        <v>94</v>
      </c>
      <c r="C29" s="213" t="s">
        <v>190</v>
      </c>
      <c r="D29" s="269">
        <v>6449.25</v>
      </c>
    </row>
    <row r="30" spans="1:4" ht="15.75" customHeight="1">
      <c r="A30" s="214"/>
      <c r="B30" s="4" t="s">
        <v>94</v>
      </c>
      <c r="C30" s="213" t="s">
        <v>196</v>
      </c>
      <c r="D30" s="269">
        <v>-80.290000000000006</v>
      </c>
    </row>
    <row r="31" spans="1:4" ht="15.75" customHeight="1">
      <c r="A31" s="212">
        <v>36</v>
      </c>
      <c r="B31" s="4" t="s">
        <v>94</v>
      </c>
      <c r="C31" s="213" t="s">
        <v>199</v>
      </c>
      <c r="D31" s="269">
        <v>1245439.46</v>
      </c>
    </row>
    <row r="32" spans="1:4" ht="15.75" customHeight="1">
      <c r="A32" s="212"/>
      <c r="B32" s="4" t="s">
        <v>94</v>
      </c>
      <c r="C32" s="213" t="s">
        <v>192</v>
      </c>
      <c r="D32" s="269">
        <v>-87417.19</v>
      </c>
    </row>
    <row r="33" spans="1:4" ht="15.75" customHeight="1">
      <c r="A33" s="212">
        <v>15</v>
      </c>
      <c r="B33" s="4" t="s">
        <v>94</v>
      </c>
      <c r="C33" s="213" t="s">
        <v>197</v>
      </c>
      <c r="D33" s="269">
        <v>21088.32</v>
      </c>
    </row>
    <row r="34" spans="1:4" ht="15.75" customHeight="1">
      <c r="A34" s="212"/>
      <c r="B34" s="4" t="s">
        <v>94</v>
      </c>
      <c r="C34" s="213" t="s">
        <v>193</v>
      </c>
      <c r="D34" s="269">
        <v>-665.76</v>
      </c>
    </row>
    <row r="35" spans="1:4" ht="15.75" customHeight="1">
      <c r="A35" s="212" t="s">
        <v>262</v>
      </c>
      <c r="B35" s="4" t="s">
        <v>94</v>
      </c>
      <c r="C35" s="213" t="s">
        <v>198</v>
      </c>
      <c r="D35" s="269">
        <v>5361.47</v>
      </c>
    </row>
    <row r="36" spans="1:4" ht="15.75" customHeight="1">
      <c r="A36" s="212"/>
      <c r="B36" s="4" t="s">
        <v>94</v>
      </c>
      <c r="C36" s="213" t="s">
        <v>188</v>
      </c>
      <c r="D36" s="269">
        <v>-0.96</v>
      </c>
    </row>
    <row r="37" spans="1:4" ht="15.75" customHeight="1">
      <c r="A37" s="212"/>
      <c r="B37" s="4" t="s">
        <v>94</v>
      </c>
      <c r="C37" s="213" t="s">
        <v>211</v>
      </c>
      <c r="D37" s="269">
        <v>9008.69</v>
      </c>
    </row>
    <row r="38" spans="1:4" ht="15.75" customHeight="1">
      <c r="A38" s="212"/>
      <c r="B38" s="4" t="s">
        <v>94</v>
      </c>
      <c r="C38" s="213" t="s">
        <v>212</v>
      </c>
      <c r="D38" s="269">
        <v>726.47</v>
      </c>
    </row>
    <row r="39" spans="1:4" ht="15.75" customHeight="1">
      <c r="A39" s="212">
        <v>36</v>
      </c>
      <c r="B39" s="4" t="s">
        <v>94</v>
      </c>
      <c r="C39" s="213" t="s">
        <v>230</v>
      </c>
      <c r="D39" s="269">
        <v>3318.18</v>
      </c>
    </row>
    <row r="40" spans="1:4" ht="15.75" customHeight="1">
      <c r="A40" s="212"/>
      <c r="B40" s="4" t="s">
        <v>94</v>
      </c>
      <c r="C40" s="213" t="s">
        <v>111</v>
      </c>
      <c r="D40" s="269"/>
    </row>
    <row r="41" spans="1:4" ht="15.75" customHeight="1">
      <c r="A41" s="212"/>
      <c r="B41" s="4" t="s">
        <v>94</v>
      </c>
      <c r="C41" s="213" t="s">
        <v>110</v>
      </c>
      <c r="D41" s="269"/>
    </row>
    <row r="42" spans="1:4" ht="15.75" customHeight="1">
      <c r="A42" s="212"/>
      <c r="B42" s="4" t="s">
        <v>114</v>
      </c>
      <c r="C42" s="213" t="s">
        <v>112</v>
      </c>
      <c r="D42" s="269">
        <v>-345000</v>
      </c>
    </row>
    <row r="43" spans="1:4" ht="15.75" customHeight="1">
      <c r="A43" s="212"/>
      <c r="B43" s="4" t="s">
        <v>114</v>
      </c>
      <c r="C43" s="213" t="s">
        <v>109</v>
      </c>
      <c r="D43" s="269">
        <v>-552.03</v>
      </c>
    </row>
    <row r="44" spans="1:4" ht="15.75" customHeight="1">
      <c r="A44" s="212"/>
      <c r="B44" s="4" t="s">
        <v>114</v>
      </c>
      <c r="C44" s="213" t="s">
        <v>221</v>
      </c>
      <c r="D44" s="269">
        <v>3881.96</v>
      </c>
    </row>
    <row r="45" spans="1:4" ht="15.75" customHeight="1">
      <c r="A45" s="212"/>
      <c r="B45" s="4" t="s">
        <v>114</v>
      </c>
      <c r="C45" s="213" t="s">
        <v>228</v>
      </c>
      <c r="D45" s="269">
        <v>-127500</v>
      </c>
    </row>
    <row r="46" spans="1:4" ht="15.75" customHeight="1">
      <c r="A46" s="212"/>
      <c r="B46" s="4" t="s">
        <v>114</v>
      </c>
      <c r="C46" s="213" t="s">
        <v>229</v>
      </c>
      <c r="D46" s="269">
        <v>-351519.04</v>
      </c>
    </row>
    <row r="47" spans="1:4" ht="15.75" customHeight="1">
      <c r="A47" s="215">
        <v>24</v>
      </c>
      <c r="B47" s="4" t="s">
        <v>114</v>
      </c>
      <c r="C47" s="267" t="s">
        <v>95</v>
      </c>
      <c r="D47" s="269">
        <v>330203.14</v>
      </c>
    </row>
    <row r="48" spans="1:4" ht="15.75" customHeight="1">
      <c r="A48" s="215" t="s">
        <v>262</v>
      </c>
      <c r="B48" s="4" t="s">
        <v>114</v>
      </c>
      <c r="C48" s="266" t="s">
        <v>96</v>
      </c>
      <c r="D48" s="269">
        <v>1722.03</v>
      </c>
    </row>
    <row r="49" spans="1:4" ht="15.75" customHeight="1">
      <c r="A49" s="215">
        <v>36</v>
      </c>
      <c r="B49" s="4" t="s">
        <v>114</v>
      </c>
      <c r="C49" s="266" t="s">
        <v>97</v>
      </c>
      <c r="D49" s="269">
        <v>1858554.63</v>
      </c>
    </row>
    <row r="50" spans="1:4" ht="15.75" customHeight="1">
      <c r="A50" s="215">
        <v>48</v>
      </c>
      <c r="B50" s="4" t="s">
        <v>114</v>
      </c>
      <c r="C50" s="213" t="s">
        <v>98</v>
      </c>
      <c r="D50" s="269">
        <v>8361258.9199999999</v>
      </c>
    </row>
    <row r="51" spans="1:4" ht="15.75" customHeight="1">
      <c r="A51" s="215">
        <v>15</v>
      </c>
      <c r="B51" s="4" t="s">
        <v>114</v>
      </c>
      <c r="C51" s="213" t="s">
        <v>105</v>
      </c>
      <c r="D51" s="269">
        <v>3729.48</v>
      </c>
    </row>
    <row r="52" spans="1:4" ht="15.75" customHeight="1">
      <c r="A52" s="215">
        <v>47</v>
      </c>
      <c r="B52" s="4" t="s">
        <v>114</v>
      </c>
      <c r="C52" s="213" t="s">
        <v>116</v>
      </c>
      <c r="D52" s="269">
        <v>59268.59</v>
      </c>
    </row>
    <row r="53" spans="1:4" ht="15.75" customHeight="1">
      <c r="A53" s="215">
        <v>24</v>
      </c>
      <c r="B53" s="4" t="s">
        <v>114</v>
      </c>
      <c r="C53" s="213" t="s">
        <v>189</v>
      </c>
      <c r="D53" s="269">
        <v>39292.94</v>
      </c>
    </row>
    <row r="54" spans="1:4" ht="15.75" customHeight="1">
      <c r="B54" s="4" t="s">
        <v>114</v>
      </c>
      <c r="C54" s="213" t="s">
        <v>195</v>
      </c>
      <c r="D54" s="269">
        <v>-2108.69</v>
      </c>
    </row>
    <row r="55" spans="1:4" ht="15.75" customHeight="1">
      <c r="A55" s="215" t="s">
        <v>263</v>
      </c>
      <c r="B55" s="4" t="s">
        <v>114</v>
      </c>
      <c r="C55" s="213" t="s">
        <v>190</v>
      </c>
      <c r="D55" s="269">
        <v>93.53</v>
      </c>
    </row>
    <row r="56" spans="1:4" ht="15.75" customHeight="1">
      <c r="B56" s="4" t="s">
        <v>114</v>
      </c>
      <c r="C56" s="213" t="s">
        <v>196</v>
      </c>
      <c r="D56" s="269">
        <v>-0.06</v>
      </c>
    </row>
    <row r="57" spans="1:4" ht="15.75" customHeight="1">
      <c r="A57" s="215">
        <v>36</v>
      </c>
      <c r="B57" s="4" t="s">
        <v>114</v>
      </c>
      <c r="C57" s="213" t="s">
        <v>199</v>
      </c>
      <c r="D57" s="269">
        <v>69860.06</v>
      </c>
    </row>
    <row r="58" spans="1:4" ht="15.75" customHeight="1">
      <c r="B58" s="4" t="s">
        <v>114</v>
      </c>
      <c r="C58" s="213" t="s">
        <v>192</v>
      </c>
      <c r="D58" s="269">
        <v>-2192.36</v>
      </c>
    </row>
    <row r="59" spans="1:4" ht="15.75" customHeight="1">
      <c r="A59" s="215">
        <v>15</v>
      </c>
      <c r="B59" s="4" t="s">
        <v>114</v>
      </c>
      <c r="C59" s="213" t="s">
        <v>197</v>
      </c>
      <c r="D59" s="269">
        <v>1044.33</v>
      </c>
    </row>
    <row r="60" spans="1:4" ht="15.75" customHeight="1">
      <c r="B60" s="4" t="s">
        <v>114</v>
      </c>
      <c r="C60" s="213" t="s">
        <v>193</v>
      </c>
      <c r="D60" s="269">
        <v>-32.700000000000003</v>
      </c>
    </row>
    <row r="61" spans="1:4" ht="15.75" customHeight="1">
      <c r="B61" s="4" t="s">
        <v>114</v>
      </c>
      <c r="C61" s="213" t="s">
        <v>111</v>
      </c>
      <c r="D61" s="269"/>
    </row>
    <row r="62" spans="1:4" ht="15.75" customHeight="1">
      <c r="B62" s="4" t="s">
        <v>114</v>
      </c>
      <c r="C62" s="213" t="s">
        <v>110</v>
      </c>
      <c r="D62" s="269"/>
    </row>
    <row r="63" spans="1:4" ht="15.75" customHeight="1">
      <c r="B63" s="4" t="s">
        <v>117</v>
      </c>
      <c r="C63" s="213" t="s">
        <v>123</v>
      </c>
      <c r="D63" s="269">
        <v>121000</v>
      </c>
    </row>
    <row r="64" spans="1:4" ht="15.75" customHeight="1">
      <c r="B64" s="4" t="s">
        <v>117</v>
      </c>
      <c r="C64" s="213" t="s">
        <v>122</v>
      </c>
      <c r="D64" s="269">
        <v>-1420.25</v>
      </c>
    </row>
    <row r="65" spans="1:4" ht="15.75" customHeight="1">
      <c r="B65" s="4" t="s">
        <v>117</v>
      </c>
      <c r="C65" s="213" t="s">
        <v>228</v>
      </c>
      <c r="D65" s="269">
        <v>-30000</v>
      </c>
    </row>
    <row r="66" spans="1:4" ht="15.75" customHeight="1">
      <c r="B66" s="4" t="s">
        <v>117</v>
      </c>
      <c r="C66" s="213" t="s">
        <v>231</v>
      </c>
      <c r="D66" s="269">
        <v>27800</v>
      </c>
    </row>
    <row r="67" spans="1:4" ht="15.75" customHeight="1">
      <c r="B67" s="4" t="s">
        <v>117</v>
      </c>
      <c r="C67" s="213" t="s">
        <v>229</v>
      </c>
      <c r="D67" s="269">
        <v>-10164.92</v>
      </c>
    </row>
    <row r="68" spans="1:4" ht="15.75" customHeight="1">
      <c r="A68" s="215">
        <v>40</v>
      </c>
      <c r="B68" s="4" t="s">
        <v>117</v>
      </c>
      <c r="C68" s="213" t="s">
        <v>118</v>
      </c>
      <c r="D68" s="269">
        <v>165693.29999999999</v>
      </c>
    </row>
    <row r="69" spans="1:4" ht="15.75" customHeight="1">
      <c r="B69" s="4" t="s">
        <v>117</v>
      </c>
      <c r="C69" s="213" t="s">
        <v>118</v>
      </c>
      <c r="D69" s="269">
        <v>-12061.42</v>
      </c>
    </row>
    <row r="70" spans="1:4" ht="15.75" customHeight="1">
      <c r="A70" s="215" t="s">
        <v>264</v>
      </c>
      <c r="B70" s="4" t="s">
        <v>117</v>
      </c>
      <c r="C70" s="213" t="s">
        <v>119</v>
      </c>
      <c r="D70" s="269">
        <v>53970.46</v>
      </c>
    </row>
    <row r="71" spans="1:4" ht="15.75" customHeight="1">
      <c r="B71" s="4" t="s">
        <v>117</v>
      </c>
      <c r="C71" s="213" t="s">
        <v>100</v>
      </c>
      <c r="D71" s="269">
        <v>400.56</v>
      </c>
    </row>
    <row r="72" spans="1:4" ht="15.75" customHeight="1">
      <c r="B72" s="4" t="s">
        <v>117</v>
      </c>
      <c r="C72" s="268" t="s">
        <v>101</v>
      </c>
      <c r="D72" s="269">
        <v>15</v>
      </c>
    </row>
    <row r="73" spans="1:4" ht="15.75" customHeight="1">
      <c r="B73" s="4" t="s">
        <v>117</v>
      </c>
      <c r="C73" s="266" t="s">
        <v>103</v>
      </c>
      <c r="D73" s="269">
        <v>60689.69</v>
      </c>
    </row>
    <row r="74" spans="1:4" ht="15.75" customHeight="1">
      <c r="B74" s="4" t="s">
        <v>117</v>
      </c>
      <c r="C74" s="266" t="s">
        <v>211</v>
      </c>
      <c r="D74" s="269">
        <v>18.559999999999999</v>
      </c>
    </row>
    <row r="75" spans="1:4" ht="15.75" customHeight="1">
      <c r="B75" s="4" t="s">
        <v>117</v>
      </c>
      <c r="C75" s="213" t="s">
        <v>213</v>
      </c>
      <c r="D75" s="269">
        <v>6543.31</v>
      </c>
    </row>
    <row r="76" spans="1:4" ht="15.75" customHeight="1">
      <c r="B76" s="4" t="s">
        <v>117</v>
      </c>
      <c r="C76" s="213" t="s">
        <v>120</v>
      </c>
      <c r="D76" s="269"/>
    </row>
    <row r="77" spans="1:4" ht="15.75" customHeight="1">
      <c r="B77" s="4" t="s">
        <v>117</v>
      </c>
      <c r="C77" s="213" t="s">
        <v>121</v>
      </c>
      <c r="D77" s="269"/>
    </row>
    <row r="78" spans="1:4" ht="15.75" customHeight="1">
      <c r="B78" s="4" t="s">
        <v>124</v>
      </c>
      <c r="C78" s="213" t="s">
        <v>112</v>
      </c>
      <c r="D78" s="269">
        <v>-10000</v>
      </c>
    </row>
    <row r="79" spans="1:4" ht="15.75" customHeight="1">
      <c r="B79" s="4" t="s">
        <v>124</v>
      </c>
      <c r="C79" s="213" t="s">
        <v>228</v>
      </c>
      <c r="D79" s="269">
        <v>-7500</v>
      </c>
    </row>
    <row r="80" spans="1:4" ht="15.75" customHeight="1">
      <c r="B80" s="4" t="s">
        <v>124</v>
      </c>
      <c r="C80" s="213" t="s">
        <v>229</v>
      </c>
      <c r="D80" s="269">
        <v>-5849.66</v>
      </c>
    </row>
    <row r="81" spans="1:4" ht="15.75" customHeight="1">
      <c r="B81" s="4" t="s">
        <v>124</v>
      </c>
      <c r="C81" s="213" t="s">
        <v>125</v>
      </c>
      <c r="D81" s="269">
        <v>22.71</v>
      </c>
    </row>
    <row r="82" spans="1:4" ht="15.75" customHeight="1">
      <c r="A82" s="215">
        <v>52</v>
      </c>
      <c r="B82" s="4" t="s">
        <v>124</v>
      </c>
      <c r="C82" s="213" t="s">
        <v>126</v>
      </c>
      <c r="D82" s="269">
        <v>12762.34</v>
      </c>
    </row>
    <row r="83" spans="1:4" ht="15.75" customHeight="1">
      <c r="A83" s="215" t="s">
        <v>265</v>
      </c>
      <c r="B83" s="4" t="s">
        <v>124</v>
      </c>
      <c r="C83" s="213" t="s">
        <v>127</v>
      </c>
      <c r="D83" s="269">
        <v>61605.78</v>
      </c>
    </row>
    <row r="84" spans="1:4" ht="15.75" customHeight="1">
      <c r="A84" s="215">
        <v>53</v>
      </c>
      <c r="B84" s="4" t="s">
        <v>124</v>
      </c>
      <c r="C84" s="213" t="s">
        <v>128</v>
      </c>
      <c r="D84" s="269">
        <v>23807.29</v>
      </c>
    </row>
    <row r="85" spans="1:4" ht="15.75" customHeight="1">
      <c r="A85" s="215">
        <v>51</v>
      </c>
      <c r="B85" s="4" t="s">
        <v>124</v>
      </c>
      <c r="C85" s="213" t="s">
        <v>129</v>
      </c>
      <c r="D85" s="269">
        <v>169857.83</v>
      </c>
    </row>
    <row r="86" spans="1:4" ht="15.75" customHeight="1">
      <c r="A86" s="215">
        <v>57</v>
      </c>
      <c r="B86" s="4" t="s">
        <v>124</v>
      </c>
      <c r="C86" s="213" t="s">
        <v>130</v>
      </c>
      <c r="D86" s="269">
        <v>58169.25</v>
      </c>
    </row>
    <row r="87" spans="1:4" ht="15.75" customHeight="1">
      <c r="B87" s="4" t="s">
        <v>124</v>
      </c>
      <c r="C87" s="213" t="s">
        <v>111</v>
      </c>
      <c r="D87" s="269"/>
    </row>
    <row r="88" spans="1:4" ht="15.75" customHeight="1">
      <c r="B88" s="4" t="s">
        <v>131</v>
      </c>
      <c r="C88" s="213" t="s">
        <v>112</v>
      </c>
      <c r="D88" s="269">
        <v>-3233000</v>
      </c>
    </row>
    <row r="89" spans="1:4" ht="15.75" customHeight="1">
      <c r="B89" s="4" t="s">
        <v>131</v>
      </c>
      <c r="C89" s="213" t="s">
        <v>109</v>
      </c>
      <c r="D89" s="269">
        <v>-304909.57</v>
      </c>
    </row>
    <row r="90" spans="1:4" ht="15.75" customHeight="1">
      <c r="B90" s="4" t="s">
        <v>131</v>
      </c>
      <c r="C90" s="213" t="s">
        <v>221</v>
      </c>
      <c r="D90" s="269">
        <v>7853.97</v>
      </c>
    </row>
    <row r="91" spans="1:4" ht="15.75" customHeight="1">
      <c r="B91" s="4" t="s">
        <v>131</v>
      </c>
      <c r="C91" s="213" t="s">
        <v>228</v>
      </c>
      <c r="D91" s="269">
        <v>-330000</v>
      </c>
    </row>
    <row r="92" spans="1:4" ht="15.75" customHeight="1">
      <c r="B92" s="4" t="s">
        <v>131</v>
      </c>
      <c r="C92" s="213" t="s">
        <v>229</v>
      </c>
      <c r="D92" s="269">
        <v>-1437200.4</v>
      </c>
    </row>
    <row r="93" spans="1:4" ht="15.75" customHeight="1">
      <c r="A93" s="215">
        <v>16</v>
      </c>
      <c r="B93" s="4" t="s">
        <v>131</v>
      </c>
      <c r="C93" s="213" t="s">
        <v>132</v>
      </c>
      <c r="D93" s="269">
        <v>40802155.359999999</v>
      </c>
    </row>
    <row r="94" spans="1:4" ht="15.75" customHeight="1">
      <c r="B94" s="4" t="s">
        <v>131</v>
      </c>
      <c r="C94" s="268" t="s">
        <v>132</v>
      </c>
      <c r="D94" s="269">
        <v>-2303594.88</v>
      </c>
    </row>
    <row r="95" spans="1:4" ht="15.75" customHeight="1">
      <c r="A95" s="215">
        <v>18</v>
      </c>
      <c r="B95" s="4" t="s">
        <v>131</v>
      </c>
      <c r="C95" s="266" t="s">
        <v>135</v>
      </c>
      <c r="D95" s="269">
        <v>58033.55</v>
      </c>
    </row>
    <row r="96" spans="1:4" ht="15.75" customHeight="1">
      <c r="B96" s="4" t="s">
        <v>131</v>
      </c>
      <c r="C96" s="213" t="s">
        <v>135</v>
      </c>
      <c r="D96" s="269">
        <v>-3051.37</v>
      </c>
    </row>
    <row r="97" spans="1:4" ht="15.75" customHeight="1">
      <c r="A97" s="215" t="s">
        <v>266</v>
      </c>
      <c r="B97" s="4" t="s">
        <v>131</v>
      </c>
      <c r="C97" s="213" t="s">
        <v>136</v>
      </c>
      <c r="D97" s="269">
        <v>9599.5499999999993</v>
      </c>
    </row>
    <row r="98" spans="1:4" ht="15.75" customHeight="1">
      <c r="B98" s="4" t="s">
        <v>131</v>
      </c>
      <c r="C98" s="213" t="s">
        <v>136</v>
      </c>
      <c r="D98" s="269">
        <v>-514.1</v>
      </c>
    </row>
    <row r="99" spans="1:4" ht="15.75" customHeight="1">
      <c r="B99" s="4" t="s">
        <v>131</v>
      </c>
      <c r="C99" s="213" t="s">
        <v>244</v>
      </c>
      <c r="D99" s="269">
        <v>22.83</v>
      </c>
    </row>
    <row r="100" spans="1:4" ht="15.75" customHeight="1">
      <c r="B100" s="4" t="s">
        <v>131</v>
      </c>
      <c r="C100" s="213" t="s">
        <v>108</v>
      </c>
      <c r="D100" s="269">
        <v>-0.25</v>
      </c>
    </row>
    <row r="101" spans="1:4" ht="15.75" customHeight="1">
      <c r="A101" s="215">
        <v>17</v>
      </c>
      <c r="B101" s="4" t="s">
        <v>131</v>
      </c>
      <c r="C101" s="213" t="s">
        <v>133</v>
      </c>
      <c r="D101" s="269">
        <v>1872983</v>
      </c>
    </row>
    <row r="102" spans="1:4" ht="15.75" customHeight="1">
      <c r="B102" s="4" t="s">
        <v>131</v>
      </c>
      <c r="C102" s="213" t="s">
        <v>134</v>
      </c>
      <c r="D102" s="269">
        <v>-105236.3</v>
      </c>
    </row>
    <row r="103" spans="1:4" ht="15.75" customHeight="1">
      <c r="B103" s="4" t="s">
        <v>131</v>
      </c>
      <c r="C103" s="213" t="s">
        <v>107</v>
      </c>
      <c r="D103" s="269">
        <v>-0.01</v>
      </c>
    </row>
    <row r="104" spans="1:4" ht="15.75" customHeight="1">
      <c r="B104" s="4" t="s">
        <v>131</v>
      </c>
      <c r="C104" s="266" t="s">
        <v>187</v>
      </c>
      <c r="D104" s="269">
        <v>25000</v>
      </c>
    </row>
    <row r="105" spans="1:4" ht="15.75" customHeight="1">
      <c r="A105" s="215">
        <v>15</v>
      </c>
      <c r="B105" s="4" t="s">
        <v>131</v>
      </c>
      <c r="C105" s="266" t="s">
        <v>200</v>
      </c>
      <c r="D105" s="269">
        <v>38893.1</v>
      </c>
    </row>
    <row r="106" spans="1:4" ht="15.75" customHeight="1">
      <c r="B106" s="4" t="s">
        <v>131</v>
      </c>
      <c r="C106" s="266" t="s">
        <v>201</v>
      </c>
      <c r="D106" s="269">
        <v>-1219.1099999999999</v>
      </c>
    </row>
    <row r="107" spans="1:4" ht="15.75" customHeight="1">
      <c r="A107" s="215">
        <v>135</v>
      </c>
      <c r="B107" s="4" t="s">
        <v>131</v>
      </c>
      <c r="C107" s="266" t="s">
        <v>217</v>
      </c>
      <c r="D107" s="269">
        <v>10973.88</v>
      </c>
    </row>
    <row r="108" spans="1:4" ht="15.75" customHeight="1">
      <c r="B108" s="4" t="s">
        <v>131</v>
      </c>
      <c r="C108" s="266" t="s">
        <v>222</v>
      </c>
      <c r="D108" s="269">
        <v>-597.55999999999995</v>
      </c>
    </row>
    <row r="109" spans="1:4" ht="15.75" customHeight="1">
      <c r="B109" s="4" t="s">
        <v>131</v>
      </c>
      <c r="C109" s="266" t="s">
        <v>111</v>
      </c>
      <c r="D109" s="269"/>
    </row>
    <row r="110" spans="1:4" ht="15.75" customHeight="1">
      <c r="B110" s="4" t="s">
        <v>131</v>
      </c>
      <c r="C110" s="266" t="s">
        <v>110</v>
      </c>
      <c r="D110" s="269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2:R54"/>
  <sheetViews>
    <sheetView zoomScale="80" zoomScaleNormal="80" workbookViewId="0">
      <pane xSplit="2" ySplit="1" topLeftCell="C32" activePane="bottomRight" state="frozen"/>
      <selection activeCell="K116" sqref="K116"/>
      <selection pane="topRight" activeCell="K116" sqref="K116"/>
      <selection pane="bottomLeft" activeCell="K116" sqref="K116"/>
      <selection pane="bottomRight" activeCell="N45" sqref="I8:N45"/>
    </sheetView>
  </sheetViews>
  <sheetFormatPr defaultColWidth="11" defaultRowHeight="15"/>
  <cols>
    <col min="1" max="1" width="32.09765625" style="367" bestFit="1" customWidth="1"/>
    <col min="2" max="2" width="11" style="368"/>
    <col min="3" max="3" width="16.69921875" style="365" customWidth="1"/>
    <col min="4" max="4" width="15.09765625" style="365" bestFit="1" customWidth="1"/>
    <col min="5" max="5" width="16.19921875" style="365" bestFit="1" customWidth="1"/>
    <col min="6" max="6" width="15.09765625" style="365" bestFit="1" customWidth="1"/>
    <col min="7" max="7" width="16.19921875" style="365" bestFit="1" customWidth="1"/>
    <col min="8" max="8" width="15.09765625" style="365" bestFit="1" customWidth="1"/>
    <col min="9" max="9" width="18.69921875" style="365" bestFit="1" customWidth="1"/>
    <col min="10" max="10" width="15.09765625" style="365" bestFit="1" customWidth="1"/>
    <col min="11" max="11" width="16.19921875" style="365" bestFit="1" customWidth="1"/>
    <col min="12" max="12" width="15.09765625" style="365" bestFit="1" customWidth="1"/>
    <col min="13" max="13" width="16.19921875" style="365" bestFit="1" customWidth="1"/>
    <col min="14" max="14" width="15.09765625" style="365" bestFit="1" customWidth="1"/>
    <col min="15" max="15" width="15.59765625" style="365" bestFit="1" customWidth="1"/>
    <col min="16" max="16384" width="11" style="365"/>
  </cols>
  <sheetData>
    <row r="2" spans="1:15" ht="17.399999999999999">
      <c r="C2" s="275"/>
      <c r="D2" s="275"/>
      <c r="E2" s="275"/>
      <c r="F2" s="275"/>
      <c r="G2" s="275"/>
      <c r="H2" s="275"/>
      <c r="I2" s="275"/>
    </row>
    <row r="3" spans="1:15" ht="17.399999999999999">
      <c r="C3" s="276"/>
      <c r="D3" s="276"/>
      <c r="E3" s="276"/>
      <c r="F3" s="276"/>
      <c r="G3" s="276"/>
      <c r="H3" s="276"/>
      <c r="I3" s="276"/>
    </row>
    <row r="4" spans="1:15" ht="17.399999999999999">
      <c r="C4" s="276"/>
      <c r="D4" s="276"/>
      <c r="E4" s="276"/>
      <c r="F4" s="276"/>
      <c r="G4" s="276"/>
      <c r="H4" s="276"/>
      <c r="I4" s="276"/>
    </row>
    <row r="5" spans="1:15" ht="17.399999999999999">
      <c r="C5" s="275"/>
      <c r="D5" s="275"/>
      <c r="E5" s="275"/>
      <c r="F5" s="275"/>
      <c r="G5" s="275"/>
      <c r="H5" s="275"/>
      <c r="I5" s="275"/>
    </row>
    <row r="6" spans="1:15" ht="17.399999999999999">
      <c r="C6" s="275"/>
      <c r="D6" s="275"/>
      <c r="E6" s="275"/>
      <c r="F6" s="275"/>
      <c r="G6" s="275"/>
      <c r="H6" s="275"/>
      <c r="I6" s="275"/>
    </row>
    <row r="7" spans="1:15" ht="17.399999999999999">
      <c r="C7" s="275"/>
      <c r="D7" s="275"/>
      <c r="E7" s="275"/>
      <c r="F7" s="275"/>
      <c r="G7" s="275"/>
      <c r="H7" s="275"/>
      <c r="I7" s="275"/>
    </row>
    <row r="8" spans="1:15" ht="17.399999999999999">
      <c r="C8" s="303">
        <v>201907</v>
      </c>
      <c r="D8" s="303">
        <v>201908</v>
      </c>
      <c r="E8" s="303">
        <v>201909</v>
      </c>
      <c r="F8" s="303">
        <v>201910</v>
      </c>
      <c r="G8" s="303">
        <v>201911</v>
      </c>
      <c r="H8" s="303">
        <v>201912</v>
      </c>
      <c r="I8" s="303">
        <v>202001</v>
      </c>
      <c r="J8" s="303">
        <v>202002</v>
      </c>
      <c r="K8" s="303">
        <v>202003</v>
      </c>
      <c r="L8" s="303">
        <v>202004</v>
      </c>
      <c r="M8" s="303">
        <v>202005</v>
      </c>
      <c r="N8" s="303">
        <v>202006</v>
      </c>
      <c r="O8" s="278"/>
    </row>
    <row r="9" spans="1:15" ht="17.399999999999999">
      <c r="C9" s="303" t="s">
        <v>68</v>
      </c>
      <c r="D9" s="303" t="s">
        <v>68</v>
      </c>
      <c r="E9" s="303" t="s">
        <v>68</v>
      </c>
      <c r="F9" s="303" t="s">
        <v>68</v>
      </c>
      <c r="G9" s="303" t="s">
        <v>68</v>
      </c>
      <c r="H9" s="303" t="s">
        <v>68</v>
      </c>
      <c r="I9" s="303" t="s">
        <v>68</v>
      </c>
      <c r="J9" s="303" t="s">
        <v>68</v>
      </c>
      <c r="K9" s="303" t="s">
        <v>68</v>
      </c>
      <c r="L9" s="303" t="s">
        <v>68</v>
      </c>
      <c r="M9" s="303" t="s">
        <v>68</v>
      </c>
      <c r="N9" s="303" t="s">
        <v>68</v>
      </c>
      <c r="O9" s="303" t="s">
        <v>68</v>
      </c>
    </row>
    <row r="10" spans="1:15" ht="17.399999999999999">
      <c r="A10" s="367" t="s">
        <v>298</v>
      </c>
      <c r="B10" s="368" t="s">
        <v>299</v>
      </c>
      <c r="C10" s="304" t="s">
        <v>297</v>
      </c>
      <c r="D10" s="304" t="s">
        <v>297</v>
      </c>
      <c r="E10" s="304" t="s">
        <v>297</v>
      </c>
      <c r="F10" s="304" t="s">
        <v>297</v>
      </c>
      <c r="G10" s="304" t="s">
        <v>297</v>
      </c>
      <c r="H10" s="304" t="s">
        <v>297</v>
      </c>
      <c r="I10" s="304" t="s">
        <v>297</v>
      </c>
      <c r="J10" s="304" t="s">
        <v>297</v>
      </c>
      <c r="K10" s="304" t="s">
        <v>297</v>
      </c>
      <c r="L10" s="304" t="s">
        <v>297</v>
      </c>
      <c r="M10" s="304" t="s">
        <v>297</v>
      </c>
      <c r="N10" s="304" t="s">
        <v>297</v>
      </c>
      <c r="O10" s="304" t="s">
        <v>297</v>
      </c>
    </row>
    <row r="11" spans="1:15" ht="17.399999999999999"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</row>
    <row r="12" spans="1:15" ht="17.399999999999999">
      <c r="A12" s="367" t="s">
        <v>463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</row>
    <row r="13" spans="1:15" ht="17.399999999999999">
      <c r="A13" s="155" t="s">
        <v>463</v>
      </c>
      <c r="B13" s="368" t="s">
        <v>148</v>
      </c>
      <c r="C13" s="375">
        <v>203.70266999999998</v>
      </c>
      <c r="D13" s="375">
        <v>202.37679</v>
      </c>
      <c r="E13" s="375">
        <v>201.04829999999998</v>
      </c>
      <c r="F13" s="375">
        <v>199.75896</v>
      </c>
      <c r="G13" s="375">
        <v>195.79436999999999</v>
      </c>
      <c r="H13" s="375">
        <v>201.25449</v>
      </c>
      <c r="I13" s="375">
        <v>200.00691</v>
      </c>
      <c r="J13" s="375">
        <v>200.40624</v>
      </c>
      <c r="K13" s="375">
        <v>198.13815</v>
      </c>
      <c r="L13" s="375">
        <v>199.66499999999999</v>
      </c>
      <c r="M13" s="375">
        <v>199.73024999999998</v>
      </c>
      <c r="N13" s="375">
        <v>195.96402</v>
      </c>
      <c r="O13" s="305">
        <f t="shared" ref="O13:O19" si="0">SUM(C13:N13)</f>
        <v>2397.8461499999999</v>
      </c>
    </row>
    <row r="14" spans="1:15" ht="17.399999999999999">
      <c r="A14" s="155" t="s">
        <v>463</v>
      </c>
      <c r="B14" s="368">
        <v>16</v>
      </c>
      <c r="C14" s="375">
        <v>297717.74536</v>
      </c>
      <c r="D14" s="375">
        <v>336591.27716999996</v>
      </c>
      <c r="E14" s="375">
        <v>304160.11801999999</v>
      </c>
      <c r="F14" s="375">
        <v>267273.71807</v>
      </c>
      <c r="G14" s="375">
        <v>373680.16941999999</v>
      </c>
      <c r="H14" s="375">
        <v>535501.02515</v>
      </c>
      <c r="I14" s="375">
        <v>511562.26882999996</v>
      </c>
      <c r="J14" s="375">
        <v>435154.69572999998</v>
      </c>
      <c r="K14" s="375">
        <v>377778.34284</v>
      </c>
      <c r="L14" s="375">
        <v>325390.67826999997</v>
      </c>
      <c r="M14" s="375">
        <v>250639.47225999998</v>
      </c>
      <c r="N14" s="375">
        <v>262489.11303999997</v>
      </c>
      <c r="O14" s="305">
        <f t="shared" si="0"/>
        <v>4277938.6241600001</v>
      </c>
    </row>
    <row r="15" spans="1:15" ht="17.399999999999999">
      <c r="A15" s="155" t="s">
        <v>463</v>
      </c>
      <c r="B15" s="368">
        <v>17</v>
      </c>
      <c r="C15" s="375">
        <v>13187.41432</v>
      </c>
      <c r="D15" s="375">
        <v>14308.29168</v>
      </c>
      <c r="E15" s="375">
        <v>13321.461819999999</v>
      </c>
      <c r="F15" s="375">
        <v>14725.23654</v>
      </c>
      <c r="G15" s="375">
        <v>22437.969300000001</v>
      </c>
      <c r="H15" s="375">
        <v>29976.044759999997</v>
      </c>
      <c r="I15" s="375">
        <v>29204.971309999997</v>
      </c>
      <c r="J15" s="375">
        <v>25353.823259999997</v>
      </c>
      <c r="K15" s="375">
        <v>21726.196120000001</v>
      </c>
      <c r="L15" s="375">
        <v>17214.271539999998</v>
      </c>
      <c r="M15" s="375">
        <v>12396.68936</v>
      </c>
      <c r="N15" s="375">
        <v>12500.17403</v>
      </c>
      <c r="O15" s="305">
        <f t="shared" si="0"/>
        <v>226352.54403999998</v>
      </c>
    </row>
    <row r="16" spans="1:15" ht="17.399999999999999">
      <c r="A16" s="155" t="s">
        <v>463</v>
      </c>
      <c r="B16" s="368">
        <v>18</v>
      </c>
      <c r="C16" s="375">
        <v>558.60743000000002</v>
      </c>
      <c r="D16" s="375">
        <v>608.98291999999992</v>
      </c>
      <c r="E16" s="375">
        <v>565.48414000000002</v>
      </c>
      <c r="F16" s="375">
        <v>465.86120999999997</v>
      </c>
      <c r="G16" s="375">
        <v>567.23041999999998</v>
      </c>
      <c r="H16" s="375">
        <v>714.53616999999997</v>
      </c>
      <c r="I16" s="375">
        <v>719.18900999999994</v>
      </c>
      <c r="J16" s="375">
        <v>623.57138999999995</v>
      </c>
      <c r="K16" s="375">
        <v>587.51774</v>
      </c>
      <c r="L16" s="375">
        <v>545.50739999999996</v>
      </c>
      <c r="M16" s="375">
        <v>441.86158</v>
      </c>
      <c r="N16" s="375">
        <v>476.63189</v>
      </c>
      <c r="O16" s="305">
        <f t="shared" si="0"/>
        <v>6874.9812999999995</v>
      </c>
    </row>
    <row r="17" spans="1:18" ht="17.399999999999999">
      <c r="A17" s="155" t="s">
        <v>463</v>
      </c>
      <c r="B17" s="368">
        <v>24</v>
      </c>
      <c r="C17" s="375">
        <v>4966.7092499999999</v>
      </c>
      <c r="D17" s="375">
        <v>5092.8018000000002</v>
      </c>
      <c r="E17" s="375">
        <v>4679.8824000000004</v>
      </c>
      <c r="F17" s="375">
        <v>3781.7106000000003</v>
      </c>
      <c r="G17" s="375">
        <v>4438.8009000000002</v>
      </c>
      <c r="H17" s="375">
        <v>6155.2504500000005</v>
      </c>
      <c r="I17" s="375">
        <v>6067.9891500000003</v>
      </c>
      <c r="J17" s="375">
        <v>5339.0931</v>
      </c>
      <c r="K17" s="375">
        <v>4594.4450999999999</v>
      </c>
      <c r="L17" s="375">
        <v>4269.2259000000004</v>
      </c>
      <c r="M17" s="375">
        <v>4038.0168000000003</v>
      </c>
      <c r="N17" s="375">
        <v>4280.2240499999998</v>
      </c>
      <c r="O17" s="305">
        <f t="shared" si="0"/>
        <v>57704.149499999992</v>
      </c>
    </row>
    <row r="18" spans="1:18" ht="17.399999999999999">
      <c r="A18" s="155" t="s">
        <v>463</v>
      </c>
      <c r="B18" s="368">
        <v>36</v>
      </c>
      <c r="C18" s="376">
        <v>287.97300000000001</v>
      </c>
      <c r="D18" s="376">
        <v>311.64</v>
      </c>
      <c r="E18" s="376">
        <v>298.36099999999999</v>
      </c>
      <c r="F18" s="376">
        <v>300.517</v>
      </c>
      <c r="G18" s="376">
        <v>378.084</v>
      </c>
      <c r="H18" s="376">
        <v>482.89499999999998</v>
      </c>
      <c r="I18" s="376">
        <v>468.78299999999996</v>
      </c>
      <c r="J18" s="376">
        <v>354.36799999999999</v>
      </c>
      <c r="K18" s="376">
        <v>353.24099999999999</v>
      </c>
      <c r="L18" s="376">
        <v>296.10699999999997</v>
      </c>
      <c r="M18" s="376">
        <v>213.88499999999999</v>
      </c>
      <c r="N18" s="376">
        <v>239.071</v>
      </c>
      <c r="O18" s="305">
        <f t="shared" si="0"/>
        <v>3984.9250000000002</v>
      </c>
    </row>
    <row r="19" spans="1:18" ht="17.399999999999999">
      <c r="A19" s="367" t="s">
        <v>300</v>
      </c>
      <c r="C19" s="305">
        <f t="shared" ref="C19:H19" si="1">SUM(C13:C18)</f>
        <v>316922.15203</v>
      </c>
      <c r="D19" s="305">
        <f t="shared" si="1"/>
        <v>357115.37036</v>
      </c>
      <c r="E19" s="305">
        <f t="shared" si="1"/>
        <v>323226.35568000004</v>
      </c>
      <c r="F19" s="305">
        <f t="shared" si="1"/>
        <v>286746.80238000001</v>
      </c>
      <c r="G19" s="305">
        <f t="shared" si="1"/>
        <v>401698.04840999993</v>
      </c>
      <c r="H19" s="305">
        <f t="shared" si="1"/>
        <v>573031.00601999997</v>
      </c>
      <c r="I19" s="305">
        <f t="shared" ref="I19:K19" si="2">SUM(I13:I18)</f>
        <v>548223.20821000007</v>
      </c>
      <c r="J19" s="305">
        <f t="shared" si="2"/>
        <v>467025.95771999995</v>
      </c>
      <c r="K19" s="305">
        <f t="shared" si="2"/>
        <v>405237.88094999996</v>
      </c>
      <c r="L19" s="305">
        <f t="shared" ref="L19:N19" si="3">SUM(L13:L18)</f>
        <v>347915.45510999998</v>
      </c>
      <c r="M19" s="305">
        <f t="shared" si="3"/>
        <v>267929.65525000001</v>
      </c>
      <c r="N19" s="305">
        <f t="shared" si="3"/>
        <v>280181.17803000001</v>
      </c>
      <c r="O19" s="305">
        <f t="shared" si="0"/>
        <v>4575253.07015</v>
      </c>
      <c r="Q19" s="365" t="s">
        <v>29</v>
      </c>
    </row>
    <row r="20" spans="1:18" ht="17.399999999999999"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</row>
    <row r="21" spans="1:18" ht="17.399999999999999">
      <c r="A21" s="367" t="s">
        <v>460</v>
      </c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</row>
    <row r="22" spans="1:18" ht="17.399999999999999">
      <c r="A22" s="155" t="s">
        <v>460</v>
      </c>
      <c r="B22" s="368" t="s">
        <v>139</v>
      </c>
      <c r="C22" s="375">
        <v>420.87815999999998</v>
      </c>
      <c r="D22" s="375">
        <v>415.98440999999997</v>
      </c>
      <c r="E22" s="375">
        <v>420.11342999999999</v>
      </c>
      <c r="F22" s="375">
        <v>416.04705000000001</v>
      </c>
      <c r="G22" s="375">
        <v>414.61415999999997</v>
      </c>
      <c r="H22" s="375">
        <v>420.61455000000001</v>
      </c>
      <c r="I22" s="375">
        <v>415.76256000000001</v>
      </c>
      <c r="J22" s="375">
        <v>411.51347999999996</v>
      </c>
      <c r="K22" s="375">
        <v>416.08358999999996</v>
      </c>
      <c r="L22" s="375">
        <v>411.69878999999997</v>
      </c>
      <c r="M22" s="375">
        <v>412.01459999999997</v>
      </c>
      <c r="N22" s="375">
        <v>416.03138999999999</v>
      </c>
      <c r="O22" s="305">
        <f t="shared" ref="O22:O27" si="4">SUM(C22:N22)</f>
        <v>4991.3561700000009</v>
      </c>
    </row>
    <row r="23" spans="1:18" ht="17.399999999999999">
      <c r="A23" s="155" t="s">
        <v>460</v>
      </c>
      <c r="B23" s="368">
        <v>24</v>
      </c>
      <c r="C23" s="375">
        <v>123893.8377</v>
      </c>
      <c r="D23" s="375">
        <v>133579.85625000001</v>
      </c>
      <c r="E23" s="375">
        <v>131918.85915</v>
      </c>
      <c r="F23" s="375">
        <v>110677.38165000001</v>
      </c>
      <c r="G23" s="375">
        <v>114104.4639</v>
      </c>
      <c r="H23" s="375">
        <v>138299.42204999999</v>
      </c>
      <c r="I23" s="375">
        <v>135521.96595000001</v>
      </c>
      <c r="J23" s="375">
        <v>122627.14380000001</v>
      </c>
      <c r="K23" s="375">
        <v>113456.3397</v>
      </c>
      <c r="L23" s="375">
        <v>98859.705600000001</v>
      </c>
      <c r="M23" s="375">
        <v>93014.609250000009</v>
      </c>
      <c r="N23" s="375">
        <v>100973.62185</v>
      </c>
      <c r="O23" s="305">
        <f t="shared" si="4"/>
        <v>1416927.20685</v>
      </c>
    </row>
    <row r="24" spans="1:18" ht="17.399999999999999">
      <c r="A24" s="155" t="s">
        <v>460</v>
      </c>
      <c r="B24" s="369">
        <v>36</v>
      </c>
      <c r="C24" s="375">
        <v>173746.97584999999</v>
      </c>
      <c r="D24" s="375">
        <v>168106.00764999999</v>
      </c>
      <c r="E24" s="375">
        <v>197189.6759</v>
      </c>
      <c r="F24" s="375">
        <v>183915.62</v>
      </c>
      <c r="G24" s="375">
        <v>184949.49059999999</v>
      </c>
      <c r="H24" s="375">
        <v>191989.73465</v>
      </c>
      <c r="I24" s="375">
        <v>181913.03409999999</v>
      </c>
      <c r="J24" s="375">
        <v>176773.4339</v>
      </c>
      <c r="K24" s="375">
        <v>151844.6496</v>
      </c>
      <c r="L24" s="375">
        <v>142567.23215</v>
      </c>
      <c r="M24" s="375">
        <v>132535.01379999999</v>
      </c>
      <c r="N24" s="375">
        <v>146763.71710000001</v>
      </c>
      <c r="O24" s="305">
        <f t="shared" si="4"/>
        <v>2032294.5853000002</v>
      </c>
    </row>
    <row r="25" spans="1:18" ht="17.399999999999999">
      <c r="A25" s="155" t="s">
        <v>460</v>
      </c>
      <c r="B25" s="368" t="s">
        <v>143</v>
      </c>
      <c r="C25" s="375">
        <v>34103.269200000002</v>
      </c>
      <c r="D25" s="375">
        <v>34627.537000000004</v>
      </c>
      <c r="E25" s="375">
        <v>37181.723600000005</v>
      </c>
      <c r="F25" s="375">
        <v>34732.894</v>
      </c>
      <c r="G25" s="375">
        <v>39203.522400000002</v>
      </c>
      <c r="H25" s="375">
        <v>36751.038800000002</v>
      </c>
      <c r="I25" s="375">
        <v>34407.850400000003</v>
      </c>
      <c r="J25" s="375">
        <v>30603.833400000003</v>
      </c>
      <c r="K25" s="375">
        <v>28696.120600000002</v>
      </c>
      <c r="L25" s="375">
        <v>28427.957600000002</v>
      </c>
      <c r="M25" s="375">
        <v>27281.332400000003</v>
      </c>
      <c r="N25" s="375">
        <v>31621.594200000003</v>
      </c>
      <c r="O25" s="305">
        <f t="shared" si="4"/>
        <v>397638.67360000004</v>
      </c>
    </row>
    <row r="26" spans="1:18" ht="17.399999999999999">
      <c r="A26" s="155" t="s">
        <v>460</v>
      </c>
      <c r="B26" s="368">
        <v>54</v>
      </c>
      <c r="C26" s="376">
        <v>80.843699999999998</v>
      </c>
      <c r="D26" s="376">
        <v>62.300510000000003</v>
      </c>
      <c r="E26" s="376">
        <v>52.358730000000001</v>
      </c>
      <c r="F26" s="376">
        <v>79.854579999999999</v>
      </c>
      <c r="G26" s="376">
        <v>97.358069999999998</v>
      </c>
      <c r="H26" s="376">
        <v>71.073329999999999</v>
      </c>
      <c r="I26" s="376">
        <v>60.257640000000002</v>
      </c>
      <c r="J26" s="376">
        <v>61.378830000000001</v>
      </c>
      <c r="K26" s="376">
        <v>75.794129999999996</v>
      </c>
      <c r="L26" s="376">
        <v>38.468899999999998</v>
      </c>
      <c r="M26" s="376">
        <v>27.026579999999999</v>
      </c>
      <c r="N26" s="376">
        <v>23.308949999999999</v>
      </c>
      <c r="O26" s="305">
        <f t="shared" si="4"/>
        <v>730.0239499999999</v>
      </c>
    </row>
    <row r="27" spans="1:18" ht="17.399999999999999">
      <c r="A27" s="367" t="s">
        <v>301</v>
      </c>
      <c r="C27" s="305">
        <f t="shared" ref="C27:H27" si="5">SUM(C22:C26)</f>
        <v>332245.80460999999</v>
      </c>
      <c r="D27" s="305">
        <f t="shared" si="5"/>
        <v>336791.68582000001</v>
      </c>
      <c r="E27" s="305">
        <f t="shared" si="5"/>
        <v>366762.73080999998</v>
      </c>
      <c r="F27" s="305">
        <f t="shared" si="5"/>
        <v>329821.79728</v>
      </c>
      <c r="G27" s="305">
        <f t="shared" si="5"/>
        <v>338769.44913000002</v>
      </c>
      <c r="H27" s="305">
        <f t="shared" si="5"/>
        <v>367531.88337999996</v>
      </c>
      <c r="I27" s="305">
        <f t="shared" ref="I27:N27" si="6">SUM(I22:I26)</f>
        <v>352318.87065</v>
      </c>
      <c r="J27" s="305">
        <f t="shared" si="6"/>
        <v>330477.30340999999</v>
      </c>
      <c r="K27" s="305">
        <f t="shared" si="6"/>
        <v>294488.98762000003</v>
      </c>
      <c r="L27" s="305">
        <f t="shared" si="6"/>
        <v>270305.06303999998</v>
      </c>
      <c r="M27" s="305">
        <f t="shared" si="6"/>
        <v>253269.99663000001</v>
      </c>
      <c r="N27" s="305">
        <f t="shared" si="6"/>
        <v>279798.27348999999</v>
      </c>
      <c r="O27" s="305">
        <f t="shared" si="4"/>
        <v>3852581.8458700003</v>
      </c>
    </row>
    <row r="28" spans="1:18" ht="17.399999999999999"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</row>
    <row r="29" spans="1:18" ht="17.399999999999999">
      <c r="A29" s="367" t="s">
        <v>461</v>
      </c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</row>
    <row r="30" spans="1:18" ht="17.399999999999999">
      <c r="A30" s="367" t="s">
        <v>461</v>
      </c>
      <c r="B30" s="368" t="s">
        <v>139</v>
      </c>
      <c r="C30" s="375">
        <v>29.751390000000001</v>
      </c>
      <c r="D30" s="375">
        <v>24.395669999999999</v>
      </c>
      <c r="E30" s="375">
        <v>26.851679999999998</v>
      </c>
      <c r="F30" s="375">
        <v>27.418049999999997</v>
      </c>
      <c r="G30" s="375">
        <v>25.906859999999998</v>
      </c>
      <c r="H30" s="375">
        <v>26.180910000000001</v>
      </c>
      <c r="I30" s="375">
        <v>27.120509999999999</v>
      </c>
      <c r="J30" s="375">
        <v>26.77599</v>
      </c>
      <c r="K30" s="375">
        <v>27.84348</v>
      </c>
      <c r="L30" s="375">
        <v>25.708500000000001</v>
      </c>
      <c r="M30" s="375">
        <v>26.577629999999999</v>
      </c>
      <c r="N30" s="375">
        <v>27.2484</v>
      </c>
      <c r="O30" s="305">
        <f t="shared" ref="O30:O35" si="7">SUM(C30:N30)</f>
        <v>321.77906999999999</v>
      </c>
      <c r="R30" s="365" t="s">
        <v>29</v>
      </c>
    </row>
    <row r="31" spans="1:18" ht="17.399999999999999">
      <c r="A31" s="367" t="s">
        <v>461</v>
      </c>
      <c r="B31" s="368">
        <v>24</v>
      </c>
      <c r="C31" s="375">
        <v>3852.9549000000002</v>
      </c>
      <c r="D31" s="375">
        <v>3889.59735</v>
      </c>
      <c r="E31" s="375">
        <v>3841.2870000000003</v>
      </c>
      <c r="F31" s="375">
        <v>3508.8915000000002</v>
      </c>
      <c r="G31" s="375">
        <v>3620.1441</v>
      </c>
      <c r="H31" s="375">
        <v>4080.2680500000001</v>
      </c>
      <c r="I31" s="375">
        <v>3921.5686500000002</v>
      </c>
      <c r="J31" s="375">
        <v>3773.7933000000003</v>
      </c>
      <c r="K31" s="375">
        <v>3498.3379500000001</v>
      </c>
      <c r="L31" s="375">
        <v>3063.2854500000003</v>
      </c>
      <c r="M31" s="375">
        <v>2947.7008500000002</v>
      </c>
      <c r="N31" s="375">
        <v>3153.7786500000002</v>
      </c>
      <c r="O31" s="305">
        <f t="shared" si="7"/>
        <v>43151.607750000003</v>
      </c>
    </row>
    <row r="32" spans="1:18" ht="17.399999999999999">
      <c r="A32" s="367" t="s">
        <v>461</v>
      </c>
      <c r="B32" s="369">
        <v>36</v>
      </c>
      <c r="C32" s="375">
        <v>21335.530999999999</v>
      </c>
      <c r="D32" s="375">
        <v>19520.62</v>
      </c>
      <c r="E32" s="375">
        <v>23376.038</v>
      </c>
      <c r="F32" s="375">
        <v>24260.145</v>
      </c>
      <c r="G32" s="375">
        <v>21519.280999999999</v>
      </c>
      <c r="H32" s="375">
        <v>21142.128000000001</v>
      </c>
      <c r="I32" s="375">
        <v>18754.847999999998</v>
      </c>
      <c r="J32" s="375">
        <v>18514.880300000001</v>
      </c>
      <c r="K32" s="375">
        <v>18590.502</v>
      </c>
      <c r="L32" s="375">
        <v>17548.125</v>
      </c>
      <c r="M32" s="375">
        <v>16739.429</v>
      </c>
      <c r="N32" s="375">
        <v>15485.225</v>
      </c>
      <c r="O32" s="305">
        <f t="shared" si="7"/>
        <v>236786.75230000002</v>
      </c>
    </row>
    <row r="33" spans="1:15" ht="17.399999999999999">
      <c r="A33" s="367" t="s">
        <v>461</v>
      </c>
      <c r="B33" s="368">
        <v>47</v>
      </c>
      <c r="C33" s="375">
        <v>194.88000000000002</v>
      </c>
      <c r="D33" s="375">
        <v>229.39000000000001</v>
      </c>
      <c r="E33" s="375">
        <v>304.5</v>
      </c>
      <c r="F33" s="375">
        <v>213.15</v>
      </c>
      <c r="G33" s="375">
        <v>1065.75</v>
      </c>
      <c r="H33" s="375">
        <v>582.50850000000003</v>
      </c>
      <c r="I33" s="375">
        <v>0</v>
      </c>
      <c r="J33" s="375">
        <v>66.990000000000009</v>
      </c>
      <c r="K33" s="375">
        <v>144.13</v>
      </c>
      <c r="L33" s="375">
        <v>290.29000000000002</v>
      </c>
      <c r="M33" s="375">
        <v>196.91000000000003</v>
      </c>
      <c r="N33" s="375">
        <v>239.54000000000002</v>
      </c>
      <c r="O33" s="305">
        <f t="shared" si="7"/>
        <v>3528.0384999999997</v>
      </c>
    </row>
    <row r="34" spans="1:15" ht="17.399999999999999">
      <c r="A34" s="367" t="s">
        <v>461</v>
      </c>
      <c r="B34" s="368" t="s">
        <v>143</v>
      </c>
      <c r="C34" s="376">
        <v>121386.69200000001</v>
      </c>
      <c r="D34" s="376">
        <v>115471.98250000001</v>
      </c>
      <c r="E34" s="376">
        <v>115231.22450000001</v>
      </c>
      <c r="F34" s="376">
        <v>111989.213</v>
      </c>
      <c r="G34" s="376">
        <v>117580.9495</v>
      </c>
      <c r="H34" s="376">
        <v>112185.10800000001</v>
      </c>
      <c r="I34" s="376">
        <v>114988.6395</v>
      </c>
      <c r="J34" s="376">
        <v>116011.25200000001</v>
      </c>
      <c r="K34" s="376">
        <v>117112.01950000001</v>
      </c>
      <c r="L34" s="376">
        <v>114408.46550000001</v>
      </c>
      <c r="M34" s="376">
        <v>108073.03850000001</v>
      </c>
      <c r="N34" s="376">
        <v>122204.6805</v>
      </c>
      <c r="O34" s="306">
        <f t="shared" si="7"/>
        <v>1386643.2650000001</v>
      </c>
    </row>
    <row r="35" spans="1:15" ht="17.399999999999999">
      <c r="A35" s="367" t="s">
        <v>302</v>
      </c>
      <c r="C35" s="305">
        <f t="shared" ref="C35:H35" si="8">SUM(C30:C34)</f>
        <v>146799.80929</v>
      </c>
      <c r="D35" s="305">
        <f t="shared" si="8"/>
        <v>139135.98552000002</v>
      </c>
      <c r="E35" s="305">
        <f t="shared" si="8"/>
        <v>142779.90118000002</v>
      </c>
      <c r="F35" s="305">
        <f t="shared" si="8"/>
        <v>139998.81755000001</v>
      </c>
      <c r="G35" s="305">
        <f t="shared" si="8"/>
        <v>143812.03146</v>
      </c>
      <c r="H35" s="305">
        <f t="shared" si="8"/>
        <v>138016.19346000001</v>
      </c>
      <c r="I35" s="305">
        <f t="shared" ref="I35:N35" si="9">SUM(I30:I34)</f>
        <v>137692.17666</v>
      </c>
      <c r="J35" s="305">
        <f t="shared" si="9"/>
        <v>138393.69159</v>
      </c>
      <c r="K35" s="305">
        <f t="shared" si="9"/>
        <v>139372.83293</v>
      </c>
      <c r="L35" s="305">
        <f t="shared" si="9"/>
        <v>135335.87445</v>
      </c>
      <c r="M35" s="305">
        <f t="shared" si="9"/>
        <v>127983.65598000001</v>
      </c>
      <c r="N35" s="305">
        <f t="shared" si="9"/>
        <v>141110.47255000001</v>
      </c>
      <c r="O35" s="305">
        <f t="shared" si="7"/>
        <v>1670431.4426200001</v>
      </c>
    </row>
    <row r="36" spans="1:15" ht="17.399999999999999"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</row>
    <row r="37" spans="1:15" ht="17.399999999999999">
      <c r="A37" s="367" t="s">
        <v>433</v>
      </c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</row>
    <row r="38" spans="1:15" ht="17.399999999999999">
      <c r="A38" s="367" t="s">
        <v>433</v>
      </c>
      <c r="B38" s="368">
        <v>40</v>
      </c>
      <c r="C38" s="376">
        <v>89044.507199999993</v>
      </c>
      <c r="D38" s="376">
        <v>89779.364400000006</v>
      </c>
      <c r="E38" s="376">
        <v>76946.229359999998</v>
      </c>
      <c r="F38" s="376">
        <v>36927.279840000003</v>
      </c>
      <c r="G38" s="376">
        <v>18804.854640000001</v>
      </c>
      <c r="H38" s="376">
        <v>4478.2029599999996</v>
      </c>
      <c r="I38" s="376">
        <v>1619.3232</v>
      </c>
      <c r="J38" s="376">
        <v>1411.9274399999999</v>
      </c>
      <c r="K38" s="376">
        <v>6884.3517599999996</v>
      </c>
      <c r="L38" s="376">
        <v>21481.056959999998</v>
      </c>
      <c r="M38" s="376">
        <v>43063.128239999998</v>
      </c>
      <c r="N38" s="376">
        <v>54077.448479999999</v>
      </c>
      <c r="O38" s="306">
        <f>SUM(C38:N38)</f>
        <v>444517.67448000005</v>
      </c>
    </row>
    <row r="39" spans="1:15" ht="17.399999999999999">
      <c r="A39" s="367" t="s">
        <v>303</v>
      </c>
      <c r="C39" s="305">
        <f t="shared" ref="C39:H39" si="10">C38</f>
        <v>89044.507199999993</v>
      </c>
      <c r="D39" s="305">
        <f t="shared" si="10"/>
        <v>89779.364400000006</v>
      </c>
      <c r="E39" s="305">
        <f t="shared" si="10"/>
        <v>76946.229359999998</v>
      </c>
      <c r="F39" s="305">
        <f t="shared" si="10"/>
        <v>36927.279840000003</v>
      </c>
      <c r="G39" s="305">
        <f t="shared" si="10"/>
        <v>18804.854640000001</v>
      </c>
      <c r="H39" s="305">
        <f t="shared" si="10"/>
        <v>4478.2029599999996</v>
      </c>
      <c r="I39" s="305">
        <f t="shared" ref="I39:K39" si="11">I38</f>
        <v>1619.3232</v>
      </c>
      <c r="J39" s="305">
        <f t="shared" si="11"/>
        <v>1411.9274399999999</v>
      </c>
      <c r="K39" s="305">
        <f t="shared" si="11"/>
        <v>6884.3517599999996</v>
      </c>
      <c r="L39" s="305">
        <f t="shared" ref="L39:N39" si="12">L38</f>
        <v>21481.056959999998</v>
      </c>
      <c r="M39" s="305">
        <f t="shared" si="12"/>
        <v>43063.128239999998</v>
      </c>
      <c r="N39" s="305">
        <f t="shared" si="12"/>
        <v>54077.448479999999</v>
      </c>
      <c r="O39" s="305">
        <f>SUM(C39:N39)</f>
        <v>444517.67448000005</v>
      </c>
    </row>
    <row r="40" spans="1:15" ht="17.399999999999999"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</row>
    <row r="41" spans="1:15" ht="17.399999999999999">
      <c r="A41" s="367" t="s">
        <v>462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</row>
    <row r="42" spans="1:15" ht="17.399999999999999">
      <c r="A42" s="367" t="s">
        <v>462</v>
      </c>
      <c r="B42" s="369">
        <v>51</v>
      </c>
      <c r="C42" s="375">
        <v>745.97192999999993</v>
      </c>
      <c r="D42" s="375">
        <v>711.89054999999996</v>
      </c>
      <c r="E42" s="375">
        <v>691.13060999999993</v>
      </c>
      <c r="F42" s="375">
        <v>674.94339000000002</v>
      </c>
      <c r="G42" s="375">
        <v>566.99639999999999</v>
      </c>
      <c r="H42" s="375">
        <v>541.45493999999997</v>
      </c>
      <c r="I42" s="375">
        <v>548.80470000000003</v>
      </c>
      <c r="J42" s="375">
        <v>557.19584999999995</v>
      </c>
      <c r="K42" s="375">
        <v>540.08208000000002</v>
      </c>
      <c r="L42" s="375">
        <v>524.37770999999998</v>
      </c>
      <c r="M42" s="375">
        <v>525.96719999999993</v>
      </c>
      <c r="N42" s="375">
        <v>551.97585000000004</v>
      </c>
      <c r="O42" s="305">
        <f>SUM(C42:N42)</f>
        <v>7180.7912099999994</v>
      </c>
    </row>
    <row r="43" spans="1:15" ht="17.399999999999999">
      <c r="A43" s="367" t="s">
        <v>462</v>
      </c>
      <c r="B43" s="369">
        <v>52</v>
      </c>
      <c r="C43" s="375">
        <v>26.522819999999999</v>
      </c>
      <c r="D43" s="375">
        <v>9.1062899999999996</v>
      </c>
      <c r="E43" s="375">
        <v>3.78972</v>
      </c>
      <c r="F43" s="375">
        <v>3.78972</v>
      </c>
      <c r="G43" s="375">
        <v>3.90456</v>
      </c>
      <c r="H43" s="375">
        <v>3.4843500000000001</v>
      </c>
      <c r="I43" s="375">
        <v>3.7140299999999997</v>
      </c>
      <c r="J43" s="375">
        <v>3.5991899999999997</v>
      </c>
      <c r="K43" s="375">
        <v>3.5991899999999997</v>
      </c>
      <c r="L43" s="375">
        <v>3.6774899999999997</v>
      </c>
      <c r="M43" s="375">
        <v>3.0406499999999999</v>
      </c>
      <c r="N43" s="375">
        <v>3.0406499999999999</v>
      </c>
      <c r="O43" s="305">
        <f>SUM(C43:N43)</f>
        <v>71.268660000000011</v>
      </c>
    </row>
    <row r="44" spans="1:15" ht="17.399999999999999">
      <c r="A44" s="367" t="s">
        <v>462</v>
      </c>
      <c r="B44" s="369" t="s">
        <v>146</v>
      </c>
      <c r="C44" s="375">
        <v>757.30193999999995</v>
      </c>
      <c r="D44" s="375">
        <v>771.33330000000001</v>
      </c>
      <c r="E44" s="375">
        <v>771.91271999999992</v>
      </c>
      <c r="F44" s="375">
        <v>798.16670999999997</v>
      </c>
      <c r="G44" s="375">
        <v>826.68356999999992</v>
      </c>
      <c r="H44" s="375">
        <v>854.64711</v>
      </c>
      <c r="I44" s="375">
        <v>868.56623999999999</v>
      </c>
      <c r="J44" s="375">
        <v>831.58515</v>
      </c>
      <c r="K44" s="375">
        <v>806.70402000000001</v>
      </c>
      <c r="L44" s="375">
        <v>784.68344999999999</v>
      </c>
      <c r="M44" s="375">
        <v>442.87262999999996</v>
      </c>
      <c r="N44" s="375">
        <v>425.14551</v>
      </c>
      <c r="O44" s="305">
        <f>SUM(C44:N44)</f>
        <v>8939.6023499999992</v>
      </c>
    </row>
    <row r="45" spans="1:15" ht="17.399999999999999">
      <c r="A45" s="367" t="s">
        <v>462</v>
      </c>
      <c r="B45" s="368">
        <v>57</v>
      </c>
      <c r="C45" s="376">
        <v>312.05421000000001</v>
      </c>
      <c r="D45" s="376">
        <v>249.14015999999998</v>
      </c>
      <c r="E45" s="376">
        <v>216.68481</v>
      </c>
      <c r="F45" s="376">
        <v>199.10384999999999</v>
      </c>
      <c r="G45" s="376">
        <v>177.79319999999998</v>
      </c>
      <c r="H45" s="376">
        <v>154.05264</v>
      </c>
      <c r="I45" s="376">
        <v>121.87656</v>
      </c>
      <c r="J45" s="376">
        <v>98.603189999999998</v>
      </c>
      <c r="K45" s="376">
        <v>98.459639999999993</v>
      </c>
      <c r="L45" s="376">
        <v>98.459639999999993</v>
      </c>
      <c r="M45" s="376">
        <v>98.459639999999993</v>
      </c>
      <c r="N45" s="376">
        <v>98.459639999999993</v>
      </c>
      <c r="O45" s="306">
        <f>SUM(C45:N45)</f>
        <v>1923.1471799999999</v>
      </c>
    </row>
    <row r="46" spans="1:15" ht="17.399999999999999">
      <c r="A46" s="367" t="s">
        <v>304</v>
      </c>
      <c r="C46" s="305">
        <f t="shared" ref="C46:H46" si="13">SUM(C42:C45)</f>
        <v>1841.8508999999999</v>
      </c>
      <c r="D46" s="305">
        <f t="shared" si="13"/>
        <v>1741.4703</v>
      </c>
      <c r="E46" s="305">
        <f t="shared" si="13"/>
        <v>1683.5178599999997</v>
      </c>
      <c r="F46" s="305">
        <f t="shared" si="13"/>
        <v>1676.0036700000001</v>
      </c>
      <c r="G46" s="305">
        <f t="shared" si="13"/>
        <v>1575.3777299999999</v>
      </c>
      <c r="H46" s="305">
        <f t="shared" si="13"/>
        <v>1553.63904</v>
      </c>
      <c r="I46" s="305">
        <f t="shared" ref="I46:K46" si="14">SUM(I42:I45)</f>
        <v>1542.9615299999998</v>
      </c>
      <c r="J46" s="305">
        <f t="shared" si="14"/>
        <v>1490.9833799999999</v>
      </c>
      <c r="K46" s="305">
        <f t="shared" si="14"/>
        <v>1448.8449300000002</v>
      </c>
      <c r="L46" s="305">
        <f t="shared" ref="L46:N46" si="15">SUM(L42:L45)</f>
        <v>1411.19829</v>
      </c>
      <c r="M46" s="305">
        <f t="shared" si="15"/>
        <v>1070.3401199999998</v>
      </c>
      <c r="N46" s="305">
        <f t="shared" si="15"/>
        <v>1078.62165</v>
      </c>
      <c r="O46" s="305">
        <f>SUM(C46:N46)</f>
        <v>18114.809400000002</v>
      </c>
    </row>
    <row r="47" spans="1:15" ht="17.399999999999999"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7.399999999999999">
      <c r="B48" s="368" t="s">
        <v>305</v>
      </c>
      <c r="C48" s="305">
        <f t="shared" ref="C48:H48" si="16">C19+C27+C35+C39+C46</f>
        <v>886854.12402999995</v>
      </c>
      <c r="D48" s="305">
        <f t="shared" si="16"/>
        <v>924563.87640000007</v>
      </c>
      <c r="E48" s="305">
        <f t="shared" si="16"/>
        <v>911398.73489000008</v>
      </c>
      <c r="F48" s="305">
        <f t="shared" si="16"/>
        <v>795170.70072000008</v>
      </c>
      <c r="G48" s="305">
        <f t="shared" si="16"/>
        <v>904659.76136999985</v>
      </c>
      <c r="H48" s="305">
        <f t="shared" si="16"/>
        <v>1084610.9248599999</v>
      </c>
      <c r="I48" s="305">
        <f t="shared" ref="I48:O48" si="17">I19+I27+I35+I39+I46</f>
        <v>1041396.54025</v>
      </c>
      <c r="J48" s="305">
        <f t="shared" si="17"/>
        <v>938799.86353999993</v>
      </c>
      <c r="K48" s="305">
        <f t="shared" si="17"/>
        <v>847432.89818999998</v>
      </c>
      <c r="L48" s="305">
        <f t="shared" si="17"/>
        <v>776448.64784999983</v>
      </c>
      <c r="M48" s="305">
        <f t="shared" si="17"/>
        <v>693316.77622</v>
      </c>
      <c r="N48" s="305">
        <f t="shared" si="17"/>
        <v>756245.99419999996</v>
      </c>
      <c r="O48" s="305">
        <f t="shared" si="17"/>
        <v>10560898.84252</v>
      </c>
    </row>
    <row r="50" spans="8:9">
      <c r="I50" s="366"/>
    </row>
    <row r="51" spans="8:9">
      <c r="I51" s="366"/>
    </row>
    <row r="54" spans="8:9" ht="17.399999999999999">
      <c r="H54" s="307"/>
      <c r="I54" s="279"/>
    </row>
  </sheetData>
  <printOptions horizontalCentered="1" gridLines="1" gridLinesSet="0"/>
  <pageMargins left="0.5" right="0.5" top="0.5" bottom="0.62" header="0.5" footer="0.46"/>
  <pageSetup scale="45" orientation="landscape" r:id="rId1"/>
  <headerFooter alignWithMargins="0">
    <oddFooter>&amp;L&amp;8&amp;D&amp;C&amp;8Prepared by Pricing&amp;R&amp;8&amp;F: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2021-08-10T07:00:00+00:00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F33372D-C800-43FB-9526-A8FB068886D5}"/>
</file>

<file path=customXml/itemProps2.xml><?xml version="1.0" encoding="utf-8"?>
<ds:datastoreItem xmlns:ds="http://schemas.openxmlformats.org/officeDocument/2006/customXml" ds:itemID="{9F040030-AABF-4049-ABB0-2824CF49DA29}"/>
</file>

<file path=customXml/itemProps3.xml><?xml version="1.0" encoding="utf-8"?>
<ds:datastoreItem xmlns:ds="http://schemas.openxmlformats.org/officeDocument/2006/customXml" ds:itemID="{1DF45B26-9424-4917-8820-2CF51546968D}"/>
</file>

<file path=customXml/itemProps4.xml><?xml version="1.0" encoding="utf-8"?>
<ds:datastoreItem xmlns:ds="http://schemas.openxmlformats.org/officeDocument/2006/customXml" ds:itemID="{C1B6DCAA-D567-46FE-A256-60BF20C89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Comparison</vt:lpstr>
      <vt:lpstr>Table 1-Revenues</vt:lpstr>
      <vt:lpstr>Table 1 - kWh</vt:lpstr>
      <vt:lpstr>Table 2</vt:lpstr>
      <vt:lpstr>Table 3</vt:lpstr>
      <vt:lpstr>305 Inputs</vt:lpstr>
      <vt:lpstr>305 Lookup</vt:lpstr>
      <vt:lpstr>Jan - Mar Monthly 305 Revenue</vt:lpstr>
      <vt:lpstr>WA SBC</vt:lpstr>
      <vt:lpstr>WA Decoupling</vt:lpstr>
      <vt:lpstr>SBC (Old)</vt:lpstr>
      <vt:lpstr>Hydro Deferral</vt:lpstr>
      <vt:lpstr>WA PCAM</vt:lpstr>
      <vt:lpstr>WA FTAA</vt:lpstr>
      <vt:lpstr>WA FTAA detail</vt:lpstr>
      <vt:lpstr>Temperature</vt:lpstr>
      <vt:lpstr>TempAdjustmnts</vt:lpstr>
      <vt:lpstr>Backed Out Revenue Totals</vt:lpstr>
      <vt:lpstr>Comparison!Print_Area</vt:lpstr>
      <vt:lpstr>'Table 1 - kWh'!Print_Area</vt:lpstr>
      <vt:lpstr>'Table 1-Revenues'!Print_Area</vt:lpstr>
      <vt:lpstr>'Table 2'!Print_Area</vt:lpstr>
      <vt:lpstr>'Table 3'!Print_Area</vt:lpstr>
      <vt:lpstr>'WA FTAA detail'!Print_Area</vt:lpstr>
      <vt:lpstr>'WA PCAM'!Print_Area</vt:lpstr>
      <vt:lpstr>'Table 2'!Print_Titles</vt:lpstr>
      <vt:lpstr>'Table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Zimmerman, Michael</cp:lastModifiedBy>
  <cp:lastPrinted>2012-08-28T16:59:18Z</cp:lastPrinted>
  <dcterms:created xsi:type="dcterms:W3CDTF">1997-08-20T18:29:19Z</dcterms:created>
  <dcterms:modified xsi:type="dcterms:W3CDTF">2021-02-22T23:00:49Z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