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\\shrsmb\groups\Strategic Planning Team\IRP Team Folder\2022IRP_Workpapers\"/>
    </mc:Choice>
  </mc:AlternateContent>
  <xr:revisionPtr revIDLastSave="0" documentId="13_ncr:1_{D407AF42-D71D-45CC-8CAB-00D8889C1C52}" xr6:coauthVersionLast="47" xr6:coauthVersionMax="47" xr10:uidLastSave="{00000000-0000-0000-0000-000000000000}"/>
  <bookViews>
    <workbookView xWindow="4545" yWindow="2385" windowWidth="21600" windowHeight="11385" firstSheet="2" activeTab="3" xr2:uid="{00000000-000D-0000-FFFF-FFFF00000000}"/>
  </bookViews>
  <sheets>
    <sheet name="Avoided Costs Summary" sheetId="1" r:id="rId1"/>
    <sheet name="Residential Breakdowns" sheetId="5" r:id="rId2"/>
    <sheet name="Commodity Costs Avoided Detail" sheetId="2" r:id="rId3"/>
    <sheet name="Greenhouse Gas Costs Avoided De" sheetId="4" r:id="rId4"/>
  </sheets>
  <externalReferences>
    <externalReference r:id="rId5"/>
    <externalReference r:id="rId6"/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L41" i="1" l="1"/>
  <c r="DL42" i="1"/>
  <c r="DL43" i="1"/>
  <c r="DL44" i="1"/>
  <c r="DL45" i="1"/>
  <c r="DL46" i="1"/>
  <c r="DL47" i="1"/>
  <c r="DL48" i="1"/>
  <c r="DL49" i="1"/>
  <c r="DL50" i="1"/>
  <c r="DL51" i="1"/>
  <c r="DL52" i="1"/>
  <c r="DL53" i="1"/>
  <c r="DL40" i="1"/>
  <c r="DK41" i="1"/>
  <c r="DK42" i="1"/>
  <c r="DK43" i="1"/>
  <c r="DK44" i="1"/>
  <c r="DK45" i="1"/>
  <c r="DK46" i="1"/>
  <c r="DK47" i="1"/>
  <c r="DK48" i="1"/>
  <c r="DK49" i="1"/>
  <c r="DK50" i="1"/>
  <c r="DK51" i="1"/>
  <c r="DK52" i="1"/>
  <c r="DK53" i="1"/>
  <c r="DK40" i="1"/>
  <c r="DJ48" i="1"/>
  <c r="DJ49" i="1"/>
  <c r="DJ50" i="1"/>
  <c r="DJ51" i="1"/>
  <c r="DJ52" i="1"/>
  <c r="DJ47" i="1"/>
  <c r="DJ41" i="1"/>
  <c r="DJ42" i="1"/>
  <c r="DJ43" i="1"/>
  <c r="DJ44" i="1"/>
  <c r="DJ45" i="1"/>
  <c r="DJ40" i="1"/>
  <c r="DI48" i="1"/>
  <c r="DI49" i="1"/>
  <c r="DI50" i="1"/>
  <c r="DI51" i="1"/>
  <c r="DI52" i="1"/>
  <c r="DI47" i="1"/>
  <c r="DI41" i="1"/>
  <c r="DI42" i="1"/>
  <c r="DI43" i="1"/>
  <c r="DI44" i="1"/>
  <c r="DI45" i="1"/>
  <c r="DI40" i="1"/>
  <c r="DH48" i="1"/>
  <c r="DH49" i="1" s="1"/>
  <c r="DH50" i="1" s="1"/>
  <c r="DH51" i="1" s="1"/>
  <c r="DH52" i="1" s="1"/>
  <c r="DH53" i="1" s="1"/>
  <c r="DH47" i="1"/>
  <c r="DH42" i="1"/>
  <c r="DH43" i="1" s="1"/>
  <c r="DH44" i="1" s="1"/>
  <c r="DH45" i="1" s="1"/>
  <c r="DH46" i="1" s="1"/>
  <c r="DH41" i="1"/>
  <c r="DH40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40" i="1"/>
  <c r="CV13" i="1"/>
  <c r="CV14" i="1"/>
  <c r="CV15" i="1"/>
  <c r="CV16" i="1"/>
  <c r="CV17" i="1"/>
  <c r="CV18" i="1"/>
  <c r="CV12" i="1"/>
  <c r="B2" i="4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B27" i="4" l="1"/>
  <c r="B28" i="4"/>
  <c r="B29" i="4"/>
  <c r="B26" i="4"/>
  <c r="B22" i="4"/>
  <c r="B23" i="4"/>
  <c r="B24" i="4"/>
  <c r="B21" i="4"/>
  <c r="B17" i="4"/>
  <c r="B18" i="4"/>
  <c r="B19" i="4"/>
  <c r="B16" i="4"/>
  <c r="B12" i="4"/>
  <c r="B13" i="4"/>
  <c r="B14" i="4"/>
  <c r="B11" i="4"/>
  <c r="B7" i="4"/>
  <c r="B8" i="4"/>
  <c r="B9" i="4"/>
  <c r="B6" i="4"/>
  <c r="B3" i="4"/>
  <c r="B4" i="4"/>
  <c r="O6" i="5" l="1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5" i="5"/>
  <c r="F6" i="5"/>
  <c r="H6" i="5" s="1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5" i="5"/>
  <c r="B6" i="5"/>
  <c r="B7" i="5"/>
  <c r="B8" i="5"/>
  <c r="B9" i="5"/>
  <c r="B10" i="5"/>
  <c r="B11" i="5"/>
  <c r="J11" i="5" s="1"/>
  <c r="B12" i="5"/>
  <c r="B13" i="5"/>
  <c r="B14" i="5"/>
  <c r="B15" i="5"/>
  <c r="B16" i="5"/>
  <c r="B17" i="5"/>
  <c r="B18" i="5"/>
  <c r="B19" i="5"/>
  <c r="J19" i="5" s="1"/>
  <c r="B20" i="5"/>
  <c r="B21" i="5"/>
  <c r="B22" i="5"/>
  <c r="B23" i="5"/>
  <c r="B24" i="5"/>
  <c r="B25" i="5"/>
  <c r="B26" i="5"/>
  <c r="B27" i="5"/>
  <c r="J27" i="5" s="1"/>
  <c r="B28" i="5"/>
  <c r="B29" i="5"/>
  <c r="B30" i="5"/>
  <c r="B31" i="5"/>
  <c r="B32" i="5"/>
  <c r="B33" i="5"/>
  <c r="B5" i="5"/>
  <c r="J33" i="5"/>
  <c r="A33" i="5"/>
  <c r="J32" i="5"/>
  <c r="A32" i="5"/>
  <c r="J31" i="5"/>
  <c r="A31" i="5"/>
  <c r="J30" i="5"/>
  <c r="A30" i="5"/>
  <c r="J29" i="5"/>
  <c r="A29" i="5"/>
  <c r="J28" i="5"/>
  <c r="A28" i="5"/>
  <c r="A27" i="5"/>
  <c r="A26" i="5"/>
  <c r="J25" i="5"/>
  <c r="A25" i="5"/>
  <c r="J24" i="5"/>
  <c r="A24" i="5"/>
  <c r="J23" i="5"/>
  <c r="A23" i="5"/>
  <c r="J22" i="5"/>
  <c r="A22" i="5"/>
  <c r="J21" i="5"/>
  <c r="A21" i="5"/>
  <c r="J20" i="5"/>
  <c r="A20" i="5"/>
  <c r="A19" i="5"/>
  <c r="A18" i="5"/>
  <c r="J17" i="5"/>
  <c r="A17" i="5"/>
  <c r="J16" i="5"/>
  <c r="A16" i="5"/>
  <c r="J15" i="5"/>
  <c r="A15" i="5"/>
  <c r="J14" i="5"/>
  <c r="A14" i="5"/>
  <c r="J13" i="5"/>
  <c r="A13" i="5"/>
  <c r="J12" i="5"/>
  <c r="A12" i="5"/>
  <c r="A11" i="5"/>
  <c r="A10" i="5"/>
  <c r="J9" i="5"/>
  <c r="A9" i="5"/>
  <c r="J8" i="5"/>
  <c r="A8" i="5"/>
  <c r="J7" i="5"/>
  <c r="A7" i="5"/>
  <c r="J6" i="5"/>
  <c r="A6" i="5"/>
  <c r="J5" i="5"/>
  <c r="A5" i="5"/>
  <c r="H22" i="5" l="1"/>
  <c r="H14" i="5"/>
  <c r="H11" i="5"/>
  <c r="H5" i="5"/>
  <c r="H21" i="5"/>
  <c r="H10" i="5"/>
  <c r="H19" i="5"/>
  <c r="H26" i="5"/>
  <c r="H30" i="5"/>
  <c r="H13" i="5"/>
  <c r="H29" i="5"/>
  <c r="H18" i="5"/>
  <c r="H27" i="5"/>
  <c r="H9" i="5"/>
  <c r="J10" i="5"/>
  <c r="H17" i="5"/>
  <c r="J18" i="5"/>
  <c r="H25" i="5"/>
  <c r="J26" i="5"/>
  <c r="H33" i="5"/>
  <c r="H8" i="5"/>
  <c r="H16" i="5"/>
  <c r="H24" i="5"/>
  <c r="H32" i="5"/>
  <c r="H7" i="5"/>
  <c r="H15" i="5"/>
  <c r="H23" i="5"/>
  <c r="H31" i="5"/>
  <c r="H12" i="5"/>
  <c r="H20" i="5"/>
  <c r="H28" i="5"/>
  <c r="G34" i="1" l="1"/>
  <c r="EK53" i="1" l="1"/>
  <c r="EJ53" i="1"/>
  <c r="EK52" i="1"/>
  <c r="EJ52" i="1"/>
  <c r="EK51" i="1"/>
  <c r="EJ51" i="1"/>
  <c r="EK50" i="1"/>
  <c r="EJ50" i="1"/>
  <c r="EK49" i="1"/>
  <c r="EJ49" i="1"/>
  <c r="EK48" i="1"/>
  <c r="EJ48" i="1"/>
  <c r="EK47" i="1"/>
  <c r="EJ47" i="1"/>
  <c r="EL46" i="1"/>
  <c r="EK46" i="1"/>
  <c r="EJ46" i="1"/>
  <c r="EL45" i="1"/>
  <c r="EK45" i="1"/>
  <c r="EJ45" i="1"/>
  <c r="EL44" i="1"/>
  <c r="EK44" i="1"/>
  <c r="EJ44" i="1"/>
  <c r="EL43" i="1"/>
  <c r="EK43" i="1"/>
  <c r="EJ43" i="1"/>
  <c r="EL42" i="1"/>
  <c r="EK42" i="1"/>
  <c r="EJ42" i="1"/>
  <c r="EL41" i="1"/>
  <c r="EK41" i="1"/>
  <c r="EJ41" i="1"/>
  <c r="EL40" i="1"/>
  <c r="EK40" i="1"/>
  <c r="EJ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40" i="1"/>
  <c r="K5" i="1" l="1"/>
  <c r="B34" i="1"/>
  <c r="J30" i="4"/>
  <c r="E30" i="4"/>
  <c r="I30" i="4" s="1"/>
  <c r="O30" i="4" s="1"/>
  <c r="K33" i="5" s="1"/>
  <c r="P33" i="5" s="1"/>
  <c r="F30" i="4"/>
  <c r="G30" i="4"/>
  <c r="H30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2" i="4"/>
  <c r="AI25" i="2"/>
  <c r="AI21" i="2"/>
  <c r="AI22" i="2" s="1"/>
  <c r="H36" i="1" l="1"/>
  <c r="A5" i="1" l="1"/>
  <c r="C34" i="1"/>
  <c r="D34" i="1"/>
  <c r="E34" i="1"/>
  <c r="CW5" i="1"/>
  <c r="CX5" i="1"/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" i="2"/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AD24" i="1" l="1"/>
  <c r="AE24" i="1"/>
  <c r="AF24" i="1"/>
  <c r="AG24" i="1"/>
  <c r="AH24" i="1"/>
  <c r="AK24" i="1"/>
  <c r="AL24" i="1"/>
  <c r="AM24" i="1"/>
  <c r="AN24" i="1"/>
  <c r="AO24" i="1"/>
  <c r="AD25" i="1"/>
  <c r="AE25" i="1"/>
  <c r="AF25" i="1"/>
  <c r="AG25" i="1"/>
  <c r="AH25" i="1"/>
  <c r="AK25" i="1"/>
  <c r="AL25" i="1"/>
  <c r="AM25" i="1"/>
  <c r="AN25" i="1"/>
  <c r="AO25" i="1"/>
  <c r="AD26" i="1"/>
  <c r="AE26" i="1"/>
  <c r="AF26" i="1"/>
  <c r="AG26" i="1"/>
  <c r="AH26" i="1"/>
  <c r="AK26" i="1"/>
  <c r="AL26" i="1"/>
  <c r="AM26" i="1"/>
  <c r="AN26" i="1"/>
  <c r="AO26" i="1"/>
  <c r="AD27" i="1"/>
  <c r="AE27" i="1"/>
  <c r="AF27" i="1"/>
  <c r="AG27" i="1"/>
  <c r="AH27" i="1"/>
  <c r="AK27" i="1"/>
  <c r="AL27" i="1"/>
  <c r="AM27" i="1"/>
  <c r="AN27" i="1"/>
  <c r="AO27" i="1"/>
  <c r="AD28" i="1"/>
  <c r="AE28" i="1"/>
  <c r="AF28" i="1"/>
  <c r="AG28" i="1"/>
  <c r="AH28" i="1"/>
  <c r="AK28" i="1"/>
  <c r="AL28" i="1"/>
  <c r="AM28" i="1"/>
  <c r="AN28" i="1"/>
  <c r="AO28" i="1"/>
  <c r="AD29" i="1"/>
  <c r="AE29" i="1"/>
  <c r="AF29" i="1"/>
  <c r="AG29" i="1"/>
  <c r="AH29" i="1"/>
  <c r="AK29" i="1"/>
  <c r="AL29" i="1"/>
  <c r="AM29" i="1"/>
  <c r="AN29" i="1"/>
  <c r="AO29" i="1"/>
  <c r="AD30" i="1"/>
  <c r="AE30" i="1"/>
  <c r="AF30" i="1"/>
  <c r="AG30" i="1"/>
  <c r="AH30" i="1"/>
  <c r="AK30" i="1"/>
  <c r="AL30" i="1"/>
  <c r="AM30" i="1"/>
  <c r="AN30" i="1"/>
  <c r="AO30" i="1"/>
  <c r="AD31" i="1"/>
  <c r="AE31" i="1"/>
  <c r="AF31" i="1"/>
  <c r="AG31" i="1"/>
  <c r="AH31" i="1"/>
  <c r="AK31" i="1"/>
  <c r="AL31" i="1"/>
  <c r="AM31" i="1"/>
  <c r="AN31" i="1"/>
  <c r="AO31" i="1"/>
  <c r="AD32" i="1"/>
  <c r="AE32" i="1"/>
  <c r="AF32" i="1"/>
  <c r="AG32" i="1"/>
  <c r="AH32" i="1"/>
  <c r="AK32" i="1"/>
  <c r="AL32" i="1"/>
  <c r="AM32" i="1"/>
  <c r="AN32" i="1"/>
  <c r="AO32" i="1"/>
  <c r="AD33" i="1"/>
  <c r="AE33" i="1"/>
  <c r="AF33" i="1"/>
  <c r="AG33" i="1"/>
  <c r="AH33" i="1"/>
  <c r="AK33" i="1"/>
  <c r="AL33" i="1"/>
  <c r="AM33" i="1"/>
  <c r="AN33" i="1"/>
  <c r="AO33" i="1"/>
  <c r="N24" i="1"/>
  <c r="O24" i="1"/>
  <c r="P24" i="1"/>
  <c r="Q24" i="1"/>
  <c r="R24" i="1"/>
  <c r="U24" i="1"/>
  <c r="V24" i="1"/>
  <c r="W24" i="1"/>
  <c r="X24" i="1"/>
  <c r="Y24" i="1"/>
  <c r="N25" i="1"/>
  <c r="O25" i="1"/>
  <c r="P25" i="1"/>
  <c r="Q25" i="1"/>
  <c r="R25" i="1"/>
  <c r="U25" i="1"/>
  <c r="V25" i="1"/>
  <c r="W25" i="1"/>
  <c r="X25" i="1"/>
  <c r="Y25" i="1"/>
  <c r="N26" i="1"/>
  <c r="O26" i="1"/>
  <c r="P26" i="1"/>
  <c r="Q26" i="1"/>
  <c r="R26" i="1"/>
  <c r="U26" i="1"/>
  <c r="V26" i="1"/>
  <c r="W26" i="1"/>
  <c r="X26" i="1"/>
  <c r="Y26" i="1"/>
  <c r="N27" i="1"/>
  <c r="O27" i="1"/>
  <c r="P27" i="1"/>
  <c r="Q27" i="1"/>
  <c r="R27" i="1"/>
  <c r="U27" i="1"/>
  <c r="AZ27" i="1" s="1"/>
  <c r="V27" i="1"/>
  <c r="W27" i="1"/>
  <c r="X27" i="1"/>
  <c r="Y27" i="1"/>
  <c r="N28" i="1"/>
  <c r="O28" i="1"/>
  <c r="P28" i="1"/>
  <c r="Q28" i="1"/>
  <c r="R28" i="1"/>
  <c r="U28" i="1"/>
  <c r="V28" i="1"/>
  <c r="W28" i="1"/>
  <c r="X28" i="1"/>
  <c r="BC28" i="1" s="1"/>
  <c r="Y28" i="1"/>
  <c r="N29" i="1"/>
  <c r="O29" i="1"/>
  <c r="P29" i="1"/>
  <c r="Q29" i="1"/>
  <c r="R29" i="1"/>
  <c r="U29" i="1"/>
  <c r="V29" i="1"/>
  <c r="W29" i="1"/>
  <c r="X29" i="1"/>
  <c r="Y29" i="1"/>
  <c r="N30" i="1"/>
  <c r="O30" i="1"/>
  <c r="P30" i="1"/>
  <c r="Q30" i="1"/>
  <c r="R30" i="1"/>
  <c r="U30" i="1"/>
  <c r="V30" i="1"/>
  <c r="W30" i="1"/>
  <c r="X30" i="1"/>
  <c r="Y30" i="1"/>
  <c r="N31" i="1"/>
  <c r="O31" i="1"/>
  <c r="P31" i="1"/>
  <c r="Q31" i="1"/>
  <c r="AW31" i="1" s="1"/>
  <c r="R31" i="1"/>
  <c r="U31" i="1"/>
  <c r="V31" i="1"/>
  <c r="W31" i="1"/>
  <c r="X31" i="1"/>
  <c r="Y31" i="1"/>
  <c r="N32" i="1"/>
  <c r="O32" i="1"/>
  <c r="P32" i="1"/>
  <c r="Q32" i="1"/>
  <c r="R32" i="1"/>
  <c r="U32" i="1"/>
  <c r="V32" i="1"/>
  <c r="W32" i="1"/>
  <c r="X32" i="1"/>
  <c r="Y32" i="1"/>
  <c r="N33" i="1"/>
  <c r="O33" i="1"/>
  <c r="P33" i="1"/>
  <c r="Q33" i="1"/>
  <c r="R33" i="1"/>
  <c r="U33" i="1"/>
  <c r="V33" i="1"/>
  <c r="W33" i="1"/>
  <c r="X33" i="1"/>
  <c r="Y33" i="1"/>
  <c r="CQ5" i="1"/>
  <c r="DA5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AZ25" i="1" l="1"/>
  <c r="F34" i="1"/>
  <c r="BA28" i="1"/>
  <c r="BC26" i="1"/>
  <c r="AV26" i="1"/>
  <c r="BA24" i="1"/>
  <c r="AW33" i="1"/>
  <c r="AU30" i="1"/>
  <c r="AW29" i="1"/>
  <c r="BD26" i="1"/>
  <c r="AU26" i="1"/>
  <c r="AZ31" i="1"/>
  <c r="AV32" i="1"/>
  <c r="AV28" i="1"/>
  <c r="BA26" i="1"/>
  <c r="AV24" i="1"/>
  <c r="BD32" i="1"/>
  <c r="AU32" i="1"/>
  <c r="AU28" i="1"/>
  <c r="AU24" i="1"/>
  <c r="BC32" i="1"/>
  <c r="BC24" i="1"/>
  <c r="AZ33" i="1"/>
  <c r="BD33" i="1"/>
  <c r="AU33" i="1"/>
  <c r="AW32" i="1"/>
  <c r="AU29" i="1"/>
  <c r="AW28" i="1"/>
  <c r="BB26" i="1"/>
  <c r="BD25" i="1"/>
  <c r="BC33" i="1"/>
  <c r="AT33" i="1"/>
  <c r="AX31" i="1"/>
  <c r="BA30" i="1"/>
  <c r="BC29" i="1"/>
  <c r="AT29" i="1"/>
  <c r="AX27" i="1"/>
  <c r="BC25" i="1"/>
  <c r="AT25" i="1"/>
  <c r="BB33" i="1"/>
  <c r="AZ30" i="1"/>
  <c r="BB29" i="1"/>
  <c r="BD28" i="1"/>
  <c r="AW27" i="1"/>
  <c r="AZ26" i="1"/>
  <c r="BD24" i="1"/>
  <c r="BA33" i="1"/>
  <c r="AT32" i="1"/>
  <c r="AV31" i="1"/>
  <c r="AX30" i="1"/>
  <c r="BA29" i="1"/>
  <c r="AT28" i="1"/>
  <c r="AV27" i="1"/>
  <c r="BA25" i="1"/>
  <c r="AT24" i="1"/>
  <c r="BB32" i="1"/>
  <c r="AU31" i="1"/>
  <c r="AW30" i="1"/>
  <c r="AZ29" i="1"/>
  <c r="BB28" i="1"/>
  <c r="BD27" i="1"/>
  <c r="AU27" i="1"/>
  <c r="AW26" i="1"/>
  <c r="BB24" i="1"/>
  <c r="AX33" i="1"/>
  <c r="BA32" i="1"/>
  <c r="BC31" i="1"/>
  <c r="AT31" i="1"/>
  <c r="AV30" i="1"/>
  <c r="AX29" i="1"/>
  <c r="BC27" i="1"/>
  <c r="AT27" i="1"/>
  <c r="AX25" i="1"/>
  <c r="BB31" i="1"/>
  <c r="BD30" i="1"/>
  <c r="AZ28" i="1"/>
  <c r="BB27" i="1"/>
  <c r="AW25" i="1"/>
  <c r="AV33" i="1"/>
  <c r="AX32" i="1"/>
  <c r="BA31" i="1"/>
  <c r="BC30" i="1"/>
  <c r="AT30" i="1"/>
  <c r="AV29" i="1"/>
  <c r="AX28" i="1"/>
  <c r="BA27" i="1"/>
  <c r="AT26" i="1"/>
  <c r="AX24" i="1"/>
  <c r="AV25" i="1"/>
  <c r="AZ24" i="1"/>
  <c r="BB30" i="1"/>
  <c r="AX26" i="1"/>
  <c r="BB25" i="1"/>
  <c r="AU25" i="1"/>
  <c r="BD29" i="1"/>
  <c r="AW24" i="1"/>
  <c r="AZ32" i="1"/>
  <c r="BD31" i="1"/>
  <c r="AH31" i="2"/>
  <c r="AE3" i="2"/>
  <c r="AF3" i="2"/>
  <c r="AG3" i="2"/>
  <c r="AH3" i="2"/>
  <c r="AE4" i="2"/>
  <c r="AF4" i="2"/>
  <c r="AG4" i="2"/>
  <c r="AH4" i="2"/>
  <c r="AE5" i="2"/>
  <c r="AF5" i="2"/>
  <c r="AG5" i="2"/>
  <c r="AH5" i="2"/>
  <c r="AE6" i="2"/>
  <c r="AF6" i="2"/>
  <c r="AG6" i="2"/>
  <c r="AH6" i="2"/>
  <c r="AE7" i="2"/>
  <c r="AF7" i="2"/>
  <c r="AG7" i="2"/>
  <c r="AH7" i="2"/>
  <c r="AE8" i="2"/>
  <c r="AF8" i="2"/>
  <c r="AG8" i="2"/>
  <c r="AH8" i="2"/>
  <c r="AE9" i="2"/>
  <c r="AF9" i="2"/>
  <c r="AG9" i="2"/>
  <c r="AH9" i="2"/>
  <c r="AE10" i="2"/>
  <c r="AF10" i="2"/>
  <c r="AG10" i="2"/>
  <c r="AH10" i="2"/>
  <c r="AE11" i="2"/>
  <c r="AF11" i="2"/>
  <c r="AG11" i="2"/>
  <c r="AH11" i="2"/>
  <c r="AE12" i="2"/>
  <c r="AF12" i="2"/>
  <c r="AG12" i="2"/>
  <c r="AH12" i="2"/>
  <c r="AE13" i="2"/>
  <c r="AF13" i="2"/>
  <c r="AG13" i="2"/>
  <c r="AH13" i="2"/>
  <c r="AE14" i="2"/>
  <c r="AF14" i="2"/>
  <c r="AG14" i="2"/>
  <c r="AH14" i="2"/>
  <c r="AE15" i="2"/>
  <c r="AF15" i="2"/>
  <c r="AG15" i="2"/>
  <c r="AH15" i="2"/>
  <c r="AE16" i="2"/>
  <c r="AF16" i="2"/>
  <c r="AG16" i="2"/>
  <c r="AH16" i="2"/>
  <c r="AE17" i="2"/>
  <c r="AF17" i="2"/>
  <c r="AG17" i="2"/>
  <c r="AH17" i="2"/>
  <c r="AE18" i="2"/>
  <c r="AF18" i="2"/>
  <c r="AG18" i="2"/>
  <c r="AH18" i="2"/>
  <c r="AE19" i="2"/>
  <c r="AF19" i="2"/>
  <c r="AG19" i="2"/>
  <c r="AH19" i="2"/>
  <c r="AE20" i="2"/>
  <c r="AF20" i="2"/>
  <c r="AG20" i="2"/>
  <c r="AH20" i="2"/>
  <c r="AE21" i="2"/>
  <c r="AF21" i="2"/>
  <c r="AG21" i="2"/>
  <c r="AH21" i="2"/>
  <c r="AE22" i="2"/>
  <c r="AF22" i="2"/>
  <c r="AG22" i="2"/>
  <c r="AH22" i="2"/>
  <c r="AE23" i="2"/>
  <c r="AF23" i="2"/>
  <c r="AG23" i="2"/>
  <c r="AH23" i="2"/>
  <c r="AE24" i="2"/>
  <c r="AF24" i="2"/>
  <c r="AG24" i="2"/>
  <c r="AH24" i="2"/>
  <c r="AE25" i="2"/>
  <c r="AF25" i="2"/>
  <c r="AG25" i="2"/>
  <c r="AH25" i="2"/>
  <c r="AE26" i="2"/>
  <c r="AF26" i="2"/>
  <c r="AG26" i="2"/>
  <c r="AH26" i="2"/>
  <c r="AE27" i="2"/>
  <c r="AF27" i="2"/>
  <c r="AG27" i="2"/>
  <c r="AH27" i="2"/>
  <c r="AE28" i="2"/>
  <c r="AF28" i="2"/>
  <c r="AG28" i="2"/>
  <c r="AH28" i="2"/>
  <c r="AE29" i="2"/>
  <c r="AF29" i="2"/>
  <c r="AG29" i="2"/>
  <c r="AH29" i="2"/>
  <c r="AE30" i="2"/>
  <c r="AF30" i="2"/>
  <c r="AG30" i="2"/>
  <c r="AH30" i="2"/>
  <c r="AE31" i="2"/>
  <c r="AF31" i="2"/>
  <c r="AG31" i="2"/>
  <c r="N55" i="2"/>
  <c r="N56" i="2"/>
  <c r="N57" i="2"/>
  <c r="N58" i="2"/>
  <c r="N59" i="2"/>
  <c r="N60" i="2"/>
  <c r="N61" i="2"/>
  <c r="N62" i="2"/>
  <c r="N63" i="2"/>
  <c r="B35" i="2"/>
  <c r="C35" i="2"/>
  <c r="D35" i="2"/>
  <c r="E35" i="2"/>
  <c r="F35" i="2"/>
  <c r="G35" i="2"/>
  <c r="H35" i="2"/>
  <c r="I35" i="2"/>
  <c r="J35" i="2"/>
  <c r="K35" i="2"/>
  <c r="L35" i="2"/>
  <c r="M35" i="2"/>
  <c r="B36" i="2"/>
  <c r="C36" i="2"/>
  <c r="D36" i="2"/>
  <c r="E36" i="2"/>
  <c r="F36" i="2"/>
  <c r="G36" i="2"/>
  <c r="H36" i="2"/>
  <c r="I36" i="2"/>
  <c r="J36" i="2"/>
  <c r="K36" i="2"/>
  <c r="L36" i="2"/>
  <c r="M36" i="2"/>
  <c r="B37" i="2"/>
  <c r="C37" i="2"/>
  <c r="D37" i="2"/>
  <c r="E37" i="2"/>
  <c r="F37" i="2"/>
  <c r="G37" i="2"/>
  <c r="H37" i="2"/>
  <c r="I37" i="2"/>
  <c r="J37" i="2"/>
  <c r="K37" i="2"/>
  <c r="L37" i="2"/>
  <c r="M37" i="2"/>
  <c r="B38" i="2"/>
  <c r="C38" i="2"/>
  <c r="D38" i="2"/>
  <c r="E38" i="2"/>
  <c r="F38" i="2"/>
  <c r="G38" i="2"/>
  <c r="H38" i="2"/>
  <c r="I38" i="2"/>
  <c r="J38" i="2"/>
  <c r="K38" i="2"/>
  <c r="L38" i="2"/>
  <c r="M38" i="2"/>
  <c r="B39" i="2"/>
  <c r="C39" i="2"/>
  <c r="D39" i="2"/>
  <c r="E39" i="2"/>
  <c r="F39" i="2"/>
  <c r="G39" i="2"/>
  <c r="H39" i="2"/>
  <c r="I39" i="2"/>
  <c r="J39" i="2"/>
  <c r="K39" i="2"/>
  <c r="L39" i="2"/>
  <c r="M39" i="2"/>
  <c r="B40" i="2"/>
  <c r="C40" i="2"/>
  <c r="D40" i="2"/>
  <c r="E40" i="2"/>
  <c r="F40" i="2"/>
  <c r="G40" i="2"/>
  <c r="H40" i="2"/>
  <c r="I40" i="2"/>
  <c r="J40" i="2"/>
  <c r="K40" i="2"/>
  <c r="L40" i="2"/>
  <c r="M40" i="2"/>
  <c r="B41" i="2"/>
  <c r="C41" i="2"/>
  <c r="D41" i="2"/>
  <c r="E41" i="2"/>
  <c r="F41" i="2"/>
  <c r="G41" i="2"/>
  <c r="H41" i="2"/>
  <c r="I41" i="2"/>
  <c r="J41" i="2"/>
  <c r="K41" i="2"/>
  <c r="L41" i="2"/>
  <c r="M41" i="2"/>
  <c r="B42" i="2"/>
  <c r="C42" i="2"/>
  <c r="D42" i="2"/>
  <c r="E42" i="2"/>
  <c r="F42" i="2"/>
  <c r="G42" i="2"/>
  <c r="H42" i="2"/>
  <c r="I42" i="2"/>
  <c r="J42" i="2"/>
  <c r="K42" i="2"/>
  <c r="L42" i="2"/>
  <c r="M42" i="2"/>
  <c r="B43" i="2"/>
  <c r="C43" i="2"/>
  <c r="D43" i="2"/>
  <c r="E43" i="2"/>
  <c r="F43" i="2"/>
  <c r="G43" i="2"/>
  <c r="H43" i="2"/>
  <c r="I43" i="2"/>
  <c r="J43" i="2"/>
  <c r="K43" i="2"/>
  <c r="L43" i="2"/>
  <c r="M43" i="2"/>
  <c r="B44" i="2"/>
  <c r="C44" i="2"/>
  <c r="D44" i="2"/>
  <c r="E44" i="2"/>
  <c r="F44" i="2"/>
  <c r="G44" i="2"/>
  <c r="H44" i="2"/>
  <c r="I44" i="2"/>
  <c r="J44" i="2"/>
  <c r="K44" i="2"/>
  <c r="L44" i="2"/>
  <c r="M44" i="2"/>
  <c r="B45" i="2"/>
  <c r="C45" i="2"/>
  <c r="D45" i="2"/>
  <c r="E45" i="2"/>
  <c r="F45" i="2"/>
  <c r="G45" i="2"/>
  <c r="H45" i="2"/>
  <c r="I45" i="2"/>
  <c r="J45" i="2"/>
  <c r="K45" i="2"/>
  <c r="L45" i="2"/>
  <c r="M45" i="2"/>
  <c r="B46" i="2"/>
  <c r="C46" i="2"/>
  <c r="D46" i="2"/>
  <c r="E46" i="2"/>
  <c r="F46" i="2"/>
  <c r="G46" i="2"/>
  <c r="H46" i="2"/>
  <c r="I46" i="2"/>
  <c r="J46" i="2"/>
  <c r="K46" i="2"/>
  <c r="L46" i="2"/>
  <c r="M46" i="2"/>
  <c r="B47" i="2"/>
  <c r="C47" i="2"/>
  <c r="D47" i="2"/>
  <c r="E47" i="2"/>
  <c r="F47" i="2"/>
  <c r="G47" i="2"/>
  <c r="H47" i="2"/>
  <c r="I47" i="2"/>
  <c r="J47" i="2"/>
  <c r="K47" i="2"/>
  <c r="L47" i="2"/>
  <c r="M47" i="2"/>
  <c r="B48" i="2"/>
  <c r="C48" i="2"/>
  <c r="D48" i="2"/>
  <c r="E48" i="2"/>
  <c r="F48" i="2"/>
  <c r="G48" i="2"/>
  <c r="H48" i="2"/>
  <c r="I48" i="2"/>
  <c r="J48" i="2"/>
  <c r="K48" i="2"/>
  <c r="L48" i="2"/>
  <c r="M48" i="2"/>
  <c r="B49" i="2"/>
  <c r="C49" i="2"/>
  <c r="D49" i="2"/>
  <c r="E49" i="2"/>
  <c r="F49" i="2"/>
  <c r="G49" i="2"/>
  <c r="H49" i="2"/>
  <c r="I49" i="2"/>
  <c r="J49" i="2"/>
  <c r="K49" i="2"/>
  <c r="L49" i="2"/>
  <c r="M49" i="2"/>
  <c r="B50" i="2"/>
  <c r="C50" i="2"/>
  <c r="D50" i="2"/>
  <c r="E50" i="2"/>
  <c r="F50" i="2"/>
  <c r="G50" i="2"/>
  <c r="H50" i="2"/>
  <c r="I50" i="2"/>
  <c r="J50" i="2"/>
  <c r="K50" i="2"/>
  <c r="L50" i="2"/>
  <c r="M50" i="2"/>
  <c r="B51" i="2"/>
  <c r="C51" i="2"/>
  <c r="D51" i="2"/>
  <c r="E51" i="2"/>
  <c r="F51" i="2"/>
  <c r="G51" i="2"/>
  <c r="H51" i="2"/>
  <c r="I51" i="2"/>
  <c r="J51" i="2"/>
  <c r="K51" i="2"/>
  <c r="L51" i="2"/>
  <c r="M51" i="2"/>
  <c r="B52" i="2"/>
  <c r="C52" i="2"/>
  <c r="D52" i="2"/>
  <c r="E52" i="2"/>
  <c r="F52" i="2"/>
  <c r="G52" i="2"/>
  <c r="H52" i="2"/>
  <c r="I52" i="2"/>
  <c r="J52" i="2"/>
  <c r="K52" i="2"/>
  <c r="L52" i="2"/>
  <c r="M52" i="2"/>
  <c r="B53" i="2"/>
  <c r="C53" i="2"/>
  <c r="D53" i="2"/>
  <c r="E53" i="2"/>
  <c r="F53" i="2"/>
  <c r="G53" i="2"/>
  <c r="H53" i="2"/>
  <c r="I53" i="2"/>
  <c r="J53" i="2"/>
  <c r="K53" i="2"/>
  <c r="L53" i="2"/>
  <c r="M53" i="2"/>
  <c r="B54" i="2"/>
  <c r="C54" i="2"/>
  <c r="D54" i="2"/>
  <c r="E54" i="2"/>
  <c r="F54" i="2"/>
  <c r="G54" i="2"/>
  <c r="H54" i="2"/>
  <c r="I54" i="2"/>
  <c r="J54" i="2"/>
  <c r="K54" i="2"/>
  <c r="L54" i="2"/>
  <c r="M54" i="2"/>
  <c r="B55" i="2"/>
  <c r="C55" i="2"/>
  <c r="D55" i="2"/>
  <c r="E55" i="2"/>
  <c r="F55" i="2"/>
  <c r="G55" i="2"/>
  <c r="H55" i="2"/>
  <c r="I55" i="2"/>
  <c r="J55" i="2"/>
  <c r="K55" i="2"/>
  <c r="L55" i="2"/>
  <c r="M55" i="2"/>
  <c r="B56" i="2"/>
  <c r="C56" i="2"/>
  <c r="D56" i="2"/>
  <c r="E56" i="2"/>
  <c r="F56" i="2"/>
  <c r="G56" i="2"/>
  <c r="H56" i="2"/>
  <c r="I56" i="2"/>
  <c r="J56" i="2"/>
  <c r="K56" i="2"/>
  <c r="L56" i="2"/>
  <c r="M56" i="2"/>
  <c r="B57" i="2"/>
  <c r="C57" i="2"/>
  <c r="D57" i="2"/>
  <c r="E57" i="2"/>
  <c r="F57" i="2"/>
  <c r="G57" i="2"/>
  <c r="H57" i="2"/>
  <c r="I57" i="2"/>
  <c r="J57" i="2"/>
  <c r="K57" i="2"/>
  <c r="L57" i="2"/>
  <c r="M57" i="2"/>
  <c r="B58" i="2"/>
  <c r="C58" i="2"/>
  <c r="D58" i="2"/>
  <c r="E58" i="2"/>
  <c r="F58" i="2"/>
  <c r="G58" i="2"/>
  <c r="H58" i="2"/>
  <c r="I58" i="2"/>
  <c r="J58" i="2"/>
  <c r="K58" i="2"/>
  <c r="L58" i="2"/>
  <c r="M58" i="2"/>
  <c r="B59" i="2"/>
  <c r="C59" i="2"/>
  <c r="D59" i="2"/>
  <c r="E59" i="2"/>
  <c r="F59" i="2"/>
  <c r="G59" i="2"/>
  <c r="H59" i="2"/>
  <c r="I59" i="2"/>
  <c r="J59" i="2"/>
  <c r="K59" i="2"/>
  <c r="L59" i="2"/>
  <c r="M59" i="2"/>
  <c r="B60" i="2"/>
  <c r="C60" i="2"/>
  <c r="D60" i="2"/>
  <c r="E60" i="2"/>
  <c r="F60" i="2"/>
  <c r="G60" i="2"/>
  <c r="H60" i="2"/>
  <c r="I60" i="2"/>
  <c r="J60" i="2"/>
  <c r="K60" i="2"/>
  <c r="L60" i="2"/>
  <c r="M60" i="2"/>
  <c r="B61" i="2"/>
  <c r="C61" i="2"/>
  <c r="D61" i="2"/>
  <c r="E61" i="2"/>
  <c r="F61" i="2"/>
  <c r="G61" i="2"/>
  <c r="H61" i="2"/>
  <c r="I61" i="2"/>
  <c r="J61" i="2"/>
  <c r="K61" i="2"/>
  <c r="L61" i="2"/>
  <c r="M61" i="2"/>
  <c r="B62" i="2"/>
  <c r="C62" i="2"/>
  <c r="D62" i="2"/>
  <c r="E62" i="2"/>
  <c r="F62" i="2"/>
  <c r="G62" i="2"/>
  <c r="H62" i="2"/>
  <c r="I62" i="2"/>
  <c r="J62" i="2"/>
  <c r="K62" i="2"/>
  <c r="L62" i="2"/>
  <c r="M62" i="2"/>
  <c r="B63" i="2"/>
  <c r="C63" i="2"/>
  <c r="D63" i="2"/>
  <c r="E63" i="2"/>
  <c r="F63" i="2"/>
  <c r="G63" i="2"/>
  <c r="H63" i="2"/>
  <c r="I63" i="2"/>
  <c r="J63" i="2"/>
  <c r="K63" i="2"/>
  <c r="L63" i="2"/>
  <c r="M63" i="2"/>
  <c r="AG32" i="2" l="1"/>
  <c r="AF32" i="2"/>
  <c r="AE34" i="2"/>
  <c r="AE32" i="2"/>
  <c r="CO5" i="1" s="1"/>
  <c r="AE33" i="2"/>
  <c r="AH32" i="2"/>
  <c r="BU30" i="1"/>
  <c r="BN30" i="1"/>
  <c r="BU28" i="1"/>
  <c r="BN28" i="1"/>
  <c r="BU16" i="1"/>
  <c r="BN16" i="1"/>
  <c r="BN14" i="1"/>
  <c r="BU14" i="1"/>
  <c r="BU12" i="1"/>
  <c r="BN12" i="1"/>
  <c r="BN10" i="1"/>
  <c r="BU10" i="1"/>
  <c r="BU8" i="1"/>
  <c r="BN8" i="1"/>
  <c r="BU6" i="1"/>
  <c r="BN6" i="1"/>
  <c r="BN33" i="1"/>
  <c r="BU33" i="1"/>
  <c r="BS32" i="1"/>
  <c r="BL32" i="1"/>
  <c r="BL30" i="1"/>
  <c r="BS30" i="1"/>
  <c r="BL28" i="1"/>
  <c r="BS28" i="1"/>
  <c r="BS26" i="1"/>
  <c r="BL26" i="1"/>
  <c r="BS24" i="1"/>
  <c r="BL24" i="1"/>
  <c r="BN18" i="1"/>
  <c r="BU18" i="1"/>
  <c r="BK32" i="1"/>
  <c r="BR32" i="1"/>
  <c r="BP32" i="1"/>
  <c r="BH32" i="1"/>
  <c r="BJ32" i="1"/>
  <c r="BO32" i="1"/>
  <c r="BQ32" i="1"/>
  <c r="BI32" i="1"/>
  <c r="BO30" i="1"/>
  <c r="BP30" i="1"/>
  <c r="BH30" i="1"/>
  <c r="BQ30" i="1"/>
  <c r="BI30" i="1"/>
  <c r="BJ30" i="1"/>
  <c r="BQ28" i="1"/>
  <c r="BI28" i="1"/>
  <c r="BJ28" i="1"/>
  <c r="BO28" i="1"/>
  <c r="BP28" i="1"/>
  <c r="BH28" i="1"/>
  <c r="BJ26" i="1"/>
  <c r="BQ26" i="1"/>
  <c r="BI26" i="1"/>
  <c r="BH26" i="1"/>
  <c r="BO26" i="1"/>
  <c r="BP26" i="1"/>
  <c r="BO24" i="1"/>
  <c r="BP24" i="1"/>
  <c r="BH24" i="1"/>
  <c r="BJ24" i="1"/>
  <c r="BQ24" i="1"/>
  <c r="BI24" i="1"/>
  <c r="BN26" i="1"/>
  <c r="BU26" i="1"/>
  <c r="BK30" i="1"/>
  <c r="BR30" i="1"/>
  <c r="BN31" i="1"/>
  <c r="BU31" i="1"/>
  <c r="BU29" i="1"/>
  <c r="BN29" i="1"/>
  <c r="BU27" i="1"/>
  <c r="BN27" i="1"/>
  <c r="BN25" i="1"/>
  <c r="BU25" i="1"/>
  <c r="BN23" i="1"/>
  <c r="BU23" i="1"/>
  <c r="BU21" i="1"/>
  <c r="BN21" i="1"/>
  <c r="BN19" i="1"/>
  <c r="BU19" i="1"/>
  <c r="BN17" i="1"/>
  <c r="BU17" i="1"/>
  <c r="BN15" i="1"/>
  <c r="BU15" i="1"/>
  <c r="BU13" i="1"/>
  <c r="BN13" i="1"/>
  <c r="BN11" i="1"/>
  <c r="BU11" i="1"/>
  <c r="BN9" i="1"/>
  <c r="BU9" i="1"/>
  <c r="BN7" i="1"/>
  <c r="BU7" i="1"/>
  <c r="BU5" i="1"/>
  <c r="BN5" i="1"/>
  <c r="BU22" i="1"/>
  <c r="BN22" i="1"/>
  <c r="BK24" i="1"/>
  <c r="BR24" i="1"/>
  <c r="BS33" i="1"/>
  <c r="BL33" i="1"/>
  <c r="BS31" i="1"/>
  <c r="BL31" i="1"/>
  <c r="BL29" i="1"/>
  <c r="BS29" i="1"/>
  <c r="BL27" i="1"/>
  <c r="BS27" i="1"/>
  <c r="BS25" i="1"/>
  <c r="BL25" i="1"/>
  <c r="BU32" i="1"/>
  <c r="BN32" i="1"/>
  <c r="BU24" i="1"/>
  <c r="BN24" i="1"/>
  <c r="BR26" i="1"/>
  <c r="BK26" i="1"/>
  <c r="BR33" i="1"/>
  <c r="BK33" i="1"/>
  <c r="BK31" i="1"/>
  <c r="BR31" i="1"/>
  <c r="BK29" i="1"/>
  <c r="BR29" i="1"/>
  <c r="BR27" i="1"/>
  <c r="BK27" i="1"/>
  <c r="BR25" i="1"/>
  <c r="BK25" i="1"/>
  <c r="BU20" i="1"/>
  <c r="BN20" i="1"/>
  <c r="BR28" i="1"/>
  <c r="BK28" i="1"/>
  <c r="BJ33" i="1"/>
  <c r="BQ33" i="1"/>
  <c r="BO33" i="1"/>
  <c r="BI33" i="1"/>
  <c r="BH33" i="1"/>
  <c r="BP33" i="1"/>
  <c r="BO31" i="1"/>
  <c r="BP31" i="1"/>
  <c r="BJ31" i="1"/>
  <c r="BH31" i="1"/>
  <c r="BI31" i="1"/>
  <c r="BQ31" i="1"/>
  <c r="BP29" i="1"/>
  <c r="BH29" i="1"/>
  <c r="BQ29" i="1"/>
  <c r="BO29" i="1"/>
  <c r="BJ29" i="1"/>
  <c r="BI29" i="1"/>
  <c r="BQ27" i="1"/>
  <c r="BI27" i="1"/>
  <c r="BP27" i="1"/>
  <c r="BH27" i="1"/>
  <c r="BJ27" i="1"/>
  <c r="BO27" i="1"/>
  <c r="BJ25" i="1"/>
  <c r="BO25" i="1"/>
  <c r="BQ25" i="1"/>
  <c r="BI25" i="1"/>
  <c r="BP25" i="1"/>
  <c r="BH25" i="1"/>
  <c r="E2" i="4"/>
  <c r="F2" i="4"/>
  <c r="G2" i="4"/>
  <c r="H2" i="4"/>
  <c r="E3" i="4"/>
  <c r="F3" i="4"/>
  <c r="G3" i="4"/>
  <c r="H3" i="4"/>
  <c r="E4" i="4"/>
  <c r="F4" i="4"/>
  <c r="G4" i="4"/>
  <c r="H4" i="4"/>
  <c r="E5" i="4"/>
  <c r="F5" i="4"/>
  <c r="G5" i="4"/>
  <c r="H5" i="4"/>
  <c r="E6" i="4"/>
  <c r="F6" i="4"/>
  <c r="G6" i="4"/>
  <c r="H6" i="4"/>
  <c r="E7" i="4"/>
  <c r="F7" i="4"/>
  <c r="G7" i="4"/>
  <c r="H7" i="4"/>
  <c r="E8" i="4"/>
  <c r="F8" i="4"/>
  <c r="G8" i="4"/>
  <c r="H8" i="4"/>
  <c r="E9" i="4"/>
  <c r="F9" i="4"/>
  <c r="G9" i="4"/>
  <c r="H9" i="4"/>
  <c r="E10" i="4"/>
  <c r="F10" i="4"/>
  <c r="G10" i="4"/>
  <c r="H10" i="4"/>
  <c r="E11" i="4"/>
  <c r="F11" i="4"/>
  <c r="G11" i="4"/>
  <c r="H11" i="4"/>
  <c r="E12" i="4"/>
  <c r="F12" i="4"/>
  <c r="G12" i="4"/>
  <c r="H12" i="4"/>
  <c r="E13" i="4"/>
  <c r="F13" i="4"/>
  <c r="G13" i="4"/>
  <c r="H13" i="4"/>
  <c r="E14" i="4"/>
  <c r="F14" i="4"/>
  <c r="G14" i="4"/>
  <c r="H14" i="4"/>
  <c r="E15" i="4"/>
  <c r="F15" i="4"/>
  <c r="G15" i="4"/>
  <c r="H15" i="4"/>
  <c r="E16" i="4"/>
  <c r="F16" i="4"/>
  <c r="G16" i="4"/>
  <c r="H16" i="4"/>
  <c r="E17" i="4"/>
  <c r="F17" i="4"/>
  <c r="G17" i="4"/>
  <c r="H17" i="4"/>
  <c r="E18" i="4"/>
  <c r="F18" i="4"/>
  <c r="G18" i="4"/>
  <c r="H18" i="4"/>
  <c r="E19" i="4"/>
  <c r="F19" i="4"/>
  <c r="G19" i="4"/>
  <c r="H19" i="4"/>
  <c r="E20" i="4"/>
  <c r="F20" i="4"/>
  <c r="G20" i="4"/>
  <c r="H20" i="4"/>
  <c r="E21" i="4"/>
  <c r="F21" i="4"/>
  <c r="G21" i="4"/>
  <c r="H21" i="4"/>
  <c r="E22" i="4"/>
  <c r="F22" i="4"/>
  <c r="G22" i="4"/>
  <c r="H22" i="4"/>
  <c r="E23" i="4"/>
  <c r="F23" i="4"/>
  <c r="G23" i="4"/>
  <c r="H23" i="4"/>
  <c r="E24" i="4"/>
  <c r="F24" i="4"/>
  <c r="G24" i="4"/>
  <c r="H24" i="4"/>
  <c r="E25" i="4"/>
  <c r="F25" i="4"/>
  <c r="G25" i="4"/>
  <c r="H25" i="4"/>
  <c r="E26" i="4"/>
  <c r="F26" i="4"/>
  <c r="G26" i="4"/>
  <c r="H26" i="4"/>
  <c r="E27" i="4"/>
  <c r="F27" i="4"/>
  <c r="G27" i="4"/>
  <c r="H27" i="4"/>
  <c r="E28" i="4"/>
  <c r="F28" i="4"/>
  <c r="G28" i="4"/>
  <c r="H28" i="4"/>
  <c r="E29" i="4"/>
  <c r="F29" i="4"/>
  <c r="G29" i="4"/>
  <c r="H29" i="4"/>
  <c r="CY5" i="1" l="1"/>
  <c r="BN34" i="1"/>
  <c r="BU34" i="1"/>
  <c r="I15" i="4"/>
  <c r="I26" i="4"/>
  <c r="I24" i="4"/>
  <c r="I22" i="4"/>
  <c r="I20" i="4"/>
  <c r="I16" i="4"/>
  <c r="I14" i="4"/>
  <c r="I12" i="4"/>
  <c r="I10" i="4"/>
  <c r="I8" i="4"/>
  <c r="I6" i="4"/>
  <c r="I28" i="4"/>
  <c r="I18" i="4"/>
  <c r="I23" i="4"/>
  <c r="I7" i="4"/>
  <c r="I25" i="4"/>
  <c r="I17" i="4"/>
  <c r="I9" i="4"/>
  <c r="I4" i="4"/>
  <c r="I2" i="4"/>
  <c r="O2" i="4" s="1"/>
  <c r="I29" i="4"/>
  <c r="I27" i="4"/>
  <c r="I21" i="4"/>
  <c r="I19" i="4"/>
  <c r="I13" i="4"/>
  <c r="I11" i="4"/>
  <c r="I5" i="4"/>
  <c r="I3" i="4"/>
  <c r="I5" i="1" l="1"/>
  <c r="K5" i="5" s="1"/>
  <c r="P5" i="5" s="1"/>
  <c r="N3" i="4"/>
  <c r="O3" i="4"/>
  <c r="K6" i="5" s="1"/>
  <c r="P6" i="5" s="1"/>
  <c r="N27" i="4"/>
  <c r="O27" i="4"/>
  <c r="K30" i="5" s="1"/>
  <c r="P30" i="5" s="1"/>
  <c r="N4" i="4"/>
  <c r="O4" i="4"/>
  <c r="K7" i="5" s="1"/>
  <c r="P7" i="5" s="1"/>
  <c r="N12" i="4"/>
  <c r="O12" i="4"/>
  <c r="K15" i="5" s="1"/>
  <c r="P15" i="5" s="1"/>
  <c r="N20" i="4"/>
  <c r="O20" i="4"/>
  <c r="K23" i="5" s="1"/>
  <c r="P23" i="5" s="1"/>
  <c r="N28" i="4"/>
  <c r="O28" i="4"/>
  <c r="K31" i="5" s="1"/>
  <c r="P31" i="5" s="1"/>
  <c r="N19" i="4"/>
  <c r="O19" i="4"/>
  <c r="K22" i="5" s="1"/>
  <c r="P22" i="5" s="1"/>
  <c r="N5" i="4"/>
  <c r="O5" i="4"/>
  <c r="K8" i="5" s="1"/>
  <c r="P8" i="5" s="1"/>
  <c r="N13" i="4"/>
  <c r="O13" i="4"/>
  <c r="K16" i="5" s="1"/>
  <c r="P16" i="5" s="1"/>
  <c r="N21" i="4"/>
  <c r="O21" i="4"/>
  <c r="K24" i="5" s="1"/>
  <c r="P24" i="5" s="1"/>
  <c r="N29" i="4"/>
  <c r="O29" i="4"/>
  <c r="K32" i="5" s="1"/>
  <c r="P32" i="5" s="1"/>
  <c r="N11" i="4"/>
  <c r="O11" i="4"/>
  <c r="K14" i="5" s="1"/>
  <c r="P14" i="5" s="1"/>
  <c r="N6" i="4"/>
  <c r="O6" i="4"/>
  <c r="K9" i="5" s="1"/>
  <c r="P9" i="5" s="1"/>
  <c r="N14" i="4"/>
  <c r="O14" i="4"/>
  <c r="K17" i="5" s="1"/>
  <c r="P17" i="5" s="1"/>
  <c r="O22" i="4"/>
  <c r="K25" i="5" s="1"/>
  <c r="P25" i="5" s="1"/>
  <c r="N22" i="4"/>
  <c r="N30" i="4"/>
  <c r="M30" i="4"/>
  <c r="N7" i="4"/>
  <c r="O7" i="4"/>
  <c r="K10" i="5" s="1"/>
  <c r="P10" i="5" s="1"/>
  <c r="N15" i="4"/>
  <c r="O15" i="4"/>
  <c r="K18" i="5" s="1"/>
  <c r="P18" i="5" s="1"/>
  <c r="N23" i="4"/>
  <c r="O23" i="4"/>
  <c r="K26" i="5" s="1"/>
  <c r="P26" i="5" s="1"/>
  <c r="N8" i="4"/>
  <c r="O8" i="4"/>
  <c r="K11" i="5" s="1"/>
  <c r="P11" i="5" s="1"/>
  <c r="N16" i="4"/>
  <c r="O16" i="4"/>
  <c r="K19" i="5" s="1"/>
  <c r="P19" i="5" s="1"/>
  <c r="N24" i="4"/>
  <c r="O24" i="4"/>
  <c r="K27" i="5" s="1"/>
  <c r="P27" i="5" s="1"/>
  <c r="N9" i="4"/>
  <c r="O9" i="4"/>
  <c r="K12" i="5" s="1"/>
  <c r="P12" i="5" s="1"/>
  <c r="N17" i="4"/>
  <c r="O17" i="4"/>
  <c r="K20" i="5" s="1"/>
  <c r="P20" i="5" s="1"/>
  <c r="N25" i="4"/>
  <c r="O25" i="4"/>
  <c r="K28" i="5" s="1"/>
  <c r="P28" i="5" s="1"/>
  <c r="N2" i="4"/>
  <c r="O10" i="4"/>
  <c r="K13" i="5" s="1"/>
  <c r="P13" i="5" s="1"/>
  <c r="N10" i="4"/>
  <c r="O18" i="4"/>
  <c r="K21" i="5" s="1"/>
  <c r="P21" i="5" s="1"/>
  <c r="N18" i="4"/>
  <c r="N26" i="4"/>
  <c r="O26" i="4"/>
  <c r="K29" i="5" s="1"/>
  <c r="P29" i="5" s="1"/>
  <c r="J8" i="4"/>
  <c r="K8" i="4"/>
  <c r="L8" i="4"/>
  <c r="M8" i="4"/>
  <c r="L16" i="4"/>
  <c r="J16" i="4"/>
  <c r="K16" i="4"/>
  <c r="M16" i="4"/>
  <c r="L24" i="4"/>
  <c r="J24" i="4"/>
  <c r="K24" i="4"/>
  <c r="M24" i="4"/>
  <c r="J9" i="4"/>
  <c r="K9" i="4"/>
  <c r="L9" i="4"/>
  <c r="M9" i="4"/>
  <c r="J17" i="4"/>
  <c r="L17" i="4"/>
  <c r="M17" i="4"/>
  <c r="K17" i="4"/>
  <c r="J25" i="4"/>
  <c r="L25" i="4"/>
  <c r="M25" i="4"/>
  <c r="K25" i="4"/>
  <c r="M2" i="4"/>
  <c r="J2" i="4"/>
  <c r="K2" i="4"/>
  <c r="L2" i="4"/>
  <c r="M10" i="4"/>
  <c r="J10" i="4"/>
  <c r="K10" i="4"/>
  <c r="L10" i="4"/>
  <c r="M18" i="4"/>
  <c r="J18" i="4"/>
  <c r="K18" i="4"/>
  <c r="L18" i="4"/>
  <c r="M26" i="4"/>
  <c r="J26" i="4"/>
  <c r="K26" i="4"/>
  <c r="L26" i="4"/>
  <c r="J3" i="4"/>
  <c r="K3" i="4"/>
  <c r="M3" i="4"/>
  <c r="L3" i="4"/>
  <c r="J11" i="4"/>
  <c r="M11" i="4"/>
  <c r="K11" i="4"/>
  <c r="L11" i="4"/>
  <c r="J19" i="4"/>
  <c r="K19" i="4"/>
  <c r="L19" i="4"/>
  <c r="M19" i="4"/>
  <c r="J27" i="4"/>
  <c r="K27" i="4"/>
  <c r="M27" i="4"/>
  <c r="L27" i="4"/>
  <c r="K4" i="4"/>
  <c r="M4" i="4"/>
  <c r="J4" i="4"/>
  <c r="L4" i="4"/>
  <c r="K12" i="4"/>
  <c r="L12" i="4"/>
  <c r="M12" i="4"/>
  <c r="J12" i="4"/>
  <c r="K20" i="4"/>
  <c r="M20" i="4"/>
  <c r="J20" i="4"/>
  <c r="L20" i="4"/>
  <c r="K28" i="4"/>
  <c r="M28" i="4"/>
  <c r="L28" i="4"/>
  <c r="J28" i="4"/>
  <c r="K5" i="4"/>
  <c r="J5" i="4"/>
  <c r="L5" i="4"/>
  <c r="M5" i="4"/>
  <c r="J13" i="4"/>
  <c r="K13" i="4"/>
  <c r="L13" i="4"/>
  <c r="M13" i="4"/>
  <c r="K21" i="4"/>
  <c r="J21" i="4"/>
  <c r="L21" i="4"/>
  <c r="M21" i="4"/>
  <c r="K29" i="4"/>
  <c r="J29" i="4"/>
  <c r="L29" i="4"/>
  <c r="M29" i="4"/>
  <c r="K6" i="4"/>
  <c r="J6" i="4"/>
  <c r="L6" i="4"/>
  <c r="M6" i="4"/>
  <c r="K14" i="4"/>
  <c r="L14" i="4"/>
  <c r="M14" i="4"/>
  <c r="J14" i="4"/>
  <c r="J22" i="4"/>
  <c r="K22" i="4"/>
  <c r="L22" i="4"/>
  <c r="M22" i="4"/>
  <c r="K30" i="4"/>
  <c r="L30" i="4"/>
  <c r="L7" i="4"/>
  <c r="M7" i="4"/>
  <c r="J7" i="4"/>
  <c r="K7" i="4"/>
  <c r="L15" i="4"/>
  <c r="M15" i="4"/>
  <c r="J15" i="4"/>
  <c r="K15" i="4"/>
  <c r="L23" i="4"/>
  <c r="M23" i="4"/>
  <c r="J23" i="4"/>
  <c r="K23" i="4"/>
  <c r="CD12" i="1" l="1"/>
  <c r="CD10" i="1"/>
  <c r="CD9" i="1"/>
  <c r="CD8" i="1"/>
  <c r="CD13" i="1"/>
  <c r="CD11" i="1"/>
  <c r="I34" i="1"/>
  <c r="CD5" i="1"/>
  <c r="CK12" i="1"/>
  <c r="CD22" i="1"/>
  <c r="CK5" i="1"/>
  <c r="CK25" i="1"/>
  <c r="CE25" i="1"/>
  <c r="CF25" i="1"/>
  <c r="CG25" i="1"/>
  <c r="CI25" i="1"/>
  <c r="CH25" i="1"/>
  <c r="CD33" i="1"/>
  <c r="CA33" i="1"/>
  <c r="BX33" i="1"/>
  <c r="BY33" i="1"/>
  <c r="CB33" i="1"/>
  <c r="BZ33" i="1"/>
  <c r="CD17" i="1"/>
  <c r="BY31" i="1"/>
  <c r="BZ31" i="1"/>
  <c r="CA31" i="1"/>
  <c r="CB31" i="1"/>
  <c r="BX31" i="1"/>
  <c r="CD31" i="1"/>
  <c r="CD15" i="1"/>
  <c r="CK29" i="1"/>
  <c r="CE29" i="1"/>
  <c r="CF29" i="1"/>
  <c r="CG29" i="1"/>
  <c r="CH29" i="1"/>
  <c r="CI29" i="1"/>
  <c r="CG27" i="1"/>
  <c r="CH27" i="1"/>
  <c r="CE27" i="1"/>
  <c r="CI27" i="1"/>
  <c r="CF27" i="1"/>
  <c r="CK27" i="1"/>
  <c r="CK18" i="1"/>
  <c r="CK17" i="1"/>
  <c r="CI24" i="1"/>
  <c r="CH24" i="1"/>
  <c r="CK24" i="1"/>
  <c r="CE24" i="1"/>
  <c r="CF24" i="1"/>
  <c r="CG24" i="1"/>
  <c r="CG31" i="1"/>
  <c r="CH31" i="1"/>
  <c r="CI31" i="1"/>
  <c r="CE31" i="1"/>
  <c r="CK31" i="1"/>
  <c r="CF31" i="1"/>
  <c r="CE30" i="1"/>
  <c r="CF30" i="1"/>
  <c r="CG30" i="1"/>
  <c r="CH30" i="1"/>
  <c r="CI30" i="1"/>
  <c r="CK30" i="1"/>
  <c r="CK22" i="1"/>
  <c r="CD18" i="1"/>
  <c r="CA32" i="1"/>
  <c r="CB32" i="1"/>
  <c r="BZ32" i="1"/>
  <c r="CD32" i="1"/>
  <c r="BX32" i="1"/>
  <c r="BY32" i="1"/>
  <c r="CD29" i="1"/>
  <c r="CA29" i="1"/>
  <c r="CB29" i="1"/>
  <c r="BX29" i="1"/>
  <c r="BY29" i="1"/>
  <c r="BZ29" i="1"/>
  <c r="BY27" i="1"/>
  <c r="BZ27" i="1"/>
  <c r="CA27" i="1"/>
  <c r="CB27" i="1"/>
  <c r="CD27" i="1"/>
  <c r="BX27" i="1"/>
  <c r="CI28" i="1"/>
  <c r="CK28" i="1"/>
  <c r="CG28" i="1"/>
  <c r="CE28" i="1"/>
  <c r="CF28" i="1"/>
  <c r="CH28" i="1"/>
  <c r="CK19" i="1"/>
  <c r="CK10" i="1"/>
  <c r="CK9" i="1"/>
  <c r="CK16" i="1"/>
  <c r="CK23" i="1"/>
  <c r="CK6" i="1"/>
  <c r="CD21" i="1"/>
  <c r="CK7" i="1"/>
  <c r="CD16" i="1"/>
  <c r="BX30" i="1"/>
  <c r="BY30" i="1"/>
  <c r="BZ30" i="1"/>
  <c r="CD30" i="1"/>
  <c r="CA30" i="1"/>
  <c r="CB30" i="1"/>
  <c r="CD14" i="1"/>
  <c r="CA28" i="1"/>
  <c r="CB28" i="1"/>
  <c r="CD28" i="1"/>
  <c r="BY28" i="1"/>
  <c r="BZ28" i="1"/>
  <c r="BX28" i="1"/>
  <c r="CK21" i="1"/>
  <c r="CD19" i="1"/>
  <c r="CE26" i="1"/>
  <c r="CF26" i="1"/>
  <c r="CG26" i="1"/>
  <c r="CH26" i="1"/>
  <c r="CI26" i="1"/>
  <c r="CK26" i="1"/>
  <c r="CD25" i="1"/>
  <c r="BX25" i="1"/>
  <c r="CA25" i="1"/>
  <c r="BY25" i="1"/>
  <c r="CB25" i="1"/>
  <c r="BZ25" i="1"/>
  <c r="CK20" i="1"/>
  <c r="CK11" i="1"/>
  <c r="CK14" i="1"/>
  <c r="CK8" i="1"/>
  <c r="CK15" i="1"/>
  <c r="CA24" i="1"/>
  <c r="CB24" i="1"/>
  <c r="BY24" i="1"/>
  <c r="CD24" i="1"/>
  <c r="BX24" i="1"/>
  <c r="BZ24" i="1"/>
  <c r="CI32" i="1"/>
  <c r="CK32" i="1"/>
  <c r="CG32" i="1"/>
  <c r="CH32" i="1"/>
  <c r="CE32" i="1"/>
  <c r="CF32" i="1"/>
  <c r="CD20" i="1"/>
  <c r="BX26" i="1"/>
  <c r="BY26" i="1"/>
  <c r="CD26" i="1"/>
  <c r="BZ26" i="1"/>
  <c r="CA26" i="1"/>
  <c r="CB26" i="1"/>
  <c r="CD23" i="1"/>
  <c r="CD7" i="1"/>
  <c r="CK13" i="1"/>
  <c r="CK33" i="1"/>
  <c r="CE33" i="1"/>
  <c r="CF33" i="1"/>
  <c r="CG33" i="1"/>
  <c r="CH33" i="1"/>
  <c r="CI33" i="1"/>
  <c r="H34" i="1" l="1"/>
  <c r="CP5" i="1" s="1"/>
  <c r="CZ5" i="1" s="1"/>
  <c r="CD6" i="1"/>
  <c r="CD34" i="1" s="1"/>
  <c r="CK34" i="1"/>
  <c r="DS46" i="1" l="1"/>
  <c r="DT46" i="1"/>
  <c r="DS53" i="1"/>
  <c r="DT53" i="1"/>
  <c r="CZ41" i="1"/>
  <c r="EI41" i="1" s="1"/>
  <c r="CZ42" i="1"/>
  <c r="EI42" i="1" s="1"/>
  <c r="CZ43" i="1"/>
  <c r="EI43" i="1" s="1"/>
  <c r="CZ44" i="1"/>
  <c r="EI44" i="1" s="1"/>
  <c r="CZ45" i="1"/>
  <c r="EI45" i="1" s="1"/>
  <c r="CZ46" i="1"/>
  <c r="EI46" i="1" s="1"/>
  <c r="CZ47" i="1"/>
  <c r="EI47" i="1" s="1"/>
  <c r="CZ48" i="1"/>
  <c r="EI48" i="1" s="1"/>
  <c r="CZ49" i="1"/>
  <c r="EI49" i="1" s="1"/>
  <c r="CZ50" i="1"/>
  <c r="EI50" i="1" s="1"/>
  <c r="CZ51" i="1"/>
  <c r="EI51" i="1" s="1"/>
  <c r="CZ52" i="1"/>
  <c r="EI52" i="1" s="1"/>
  <c r="CZ53" i="1"/>
  <c r="EI53" i="1" s="1"/>
  <c r="CZ40" i="1"/>
  <c r="EI40" i="1" s="1"/>
  <c r="N21" i="1" l="1"/>
  <c r="N54" i="2" l="1"/>
  <c r="CP12" i="1" l="1"/>
  <c r="AH33" i="2" l="1"/>
  <c r="AH34" i="2"/>
  <c r="AG34" i="2"/>
  <c r="AG33" i="2"/>
  <c r="CO16" i="1" s="1"/>
  <c r="CO9" i="1"/>
  <c r="AF33" i="2"/>
  <c r="CO15" i="1" s="1"/>
  <c r="AF34" i="2"/>
  <c r="CO8" i="1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DP40" i="1" l="1"/>
  <c r="CO7" i="1"/>
  <c r="CO6" i="1"/>
  <c r="CT11" i="1"/>
  <c r="CO18" i="1"/>
  <c r="CO17" i="1"/>
  <c r="CO11" i="1"/>
  <c r="CO10" i="1"/>
  <c r="CO14" i="1"/>
  <c r="CO13" i="1"/>
  <c r="CO12" i="1"/>
  <c r="CT18" i="1"/>
  <c r="CQ12" i="1" l="1"/>
  <c r="DA12" i="1" s="1"/>
  <c r="DR47" i="1" s="1"/>
  <c r="AO23" i="1"/>
  <c r="AN23" i="1"/>
  <c r="AM23" i="1"/>
  <c r="AL23" i="1"/>
  <c r="AK23" i="1"/>
  <c r="AH23" i="1"/>
  <c r="AG23" i="1"/>
  <c r="AF23" i="1"/>
  <c r="AE23" i="1"/>
  <c r="AD23" i="1"/>
  <c r="Y23" i="1"/>
  <c r="X23" i="1"/>
  <c r="W23" i="1"/>
  <c r="V23" i="1"/>
  <c r="U23" i="1"/>
  <c r="R23" i="1"/>
  <c r="Q23" i="1"/>
  <c r="P23" i="1"/>
  <c r="O23" i="1"/>
  <c r="N23" i="1"/>
  <c r="AO22" i="1"/>
  <c r="AN22" i="1"/>
  <c r="AM22" i="1"/>
  <c r="AL22" i="1"/>
  <c r="AK22" i="1"/>
  <c r="AH22" i="1"/>
  <c r="AG22" i="1"/>
  <c r="AF22" i="1"/>
  <c r="AE22" i="1"/>
  <c r="AD22" i="1"/>
  <c r="Y22" i="1"/>
  <c r="X22" i="1"/>
  <c r="W22" i="1"/>
  <c r="V22" i="1"/>
  <c r="U22" i="1"/>
  <c r="R22" i="1"/>
  <c r="Q22" i="1"/>
  <c r="P22" i="1"/>
  <c r="O22" i="1"/>
  <c r="N22" i="1"/>
  <c r="AO21" i="1"/>
  <c r="AN21" i="1"/>
  <c r="AM21" i="1"/>
  <c r="AL21" i="1"/>
  <c r="AK21" i="1"/>
  <c r="AH21" i="1"/>
  <c r="AG21" i="1"/>
  <c r="AF21" i="1"/>
  <c r="AE21" i="1"/>
  <c r="AD21" i="1"/>
  <c r="Y21" i="1"/>
  <c r="X21" i="1"/>
  <c r="W21" i="1"/>
  <c r="V21" i="1"/>
  <c r="U21" i="1"/>
  <c r="R21" i="1"/>
  <c r="Q21" i="1"/>
  <c r="P21" i="1"/>
  <c r="O21" i="1"/>
  <c r="AO20" i="1"/>
  <c r="AN20" i="1"/>
  <c r="AM20" i="1"/>
  <c r="AL20" i="1"/>
  <c r="AK20" i="1"/>
  <c r="AH20" i="1"/>
  <c r="AG20" i="1"/>
  <c r="AF20" i="1"/>
  <c r="AE20" i="1"/>
  <c r="AD20" i="1"/>
  <c r="Y20" i="1"/>
  <c r="X20" i="1"/>
  <c r="W20" i="1"/>
  <c r="V20" i="1"/>
  <c r="U20" i="1"/>
  <c r="R20" i="1"/>
  <c r="Q20" i="1"/>
  <c r="P20" i="1"/>
  <c r="O20" i="1"/>
  <c r="N20" i="1"/>
  <c r="AO19" i="1"/>
  <c r="AN19" i="1"/>
  <c r="AM19" i="1"/>
  <c r="AL19" i="1"/>
  <c r="AK19" i="1"/>
  <c r="AH19" i="1"/>
  <c r="AG19" i="1"/>
  <c r="AF19" i="1"/>
  <c r="AE19" i="1"/>
  <c r="AD19" i="1"/>
  <c r="Y19" i="1"/>
  <c r="X19" i="1"/>
  <c r="W19" i="1"/>
  <c r="V19" i="1"/>
  <c r="U19" i="1"/>
  <c r="S19" i="1"/>
  <c r="T19" i="1" s="1"/>
  <c r="R19" i="1"/>
  <c r="Q19" i="1"/>
  <c r="P19" i="1"/>
  <c r="O19" i="1"/>
  <c r="N19" i="1"/>
  <c r="AO18" i="1"/>
  <c r="AN18" i="1"/>
  <c r="AM18" i="1"/>
  <c r="AL18" i="1"/>
  <c r="AK18" i="1"/>
  <c r="AH18" i="1"/>
  <c r="AG18" i="1"/>
  <c r="AF18" i="1"/>
  <c r="AE18" i="1"/>
  <c r="AD18" i="1"/>
  <c r="Z18" i="1"/>
  <c r="Y18" i="1"/>
  <c r="X18" i="1"/>
  <c r="W18" i="1"/>
  <c r="V18" i="1"/>
  <c r="U18" i="1"/>
  <c r="R18" i="1"/>
  <c r="Q18" i="1"/>
  <c r="P18" i="1"/>
  <c r="O18" i="1"/>
  <c r="N18" i="1"/>
  <c r="AO17" i="1"/>
  <c r="AN17" i="1"/>
  <c r="AM17" i="1"/>
  <c r="AL17" i="1"/>
  <c r="AK17" i="1"/>
  <c r="AH17" i="1"/>
  <c r="AG17" i="1"/>
  <c r="AF17" i="1"/>
  <c r="AE17" i="1"/>
  <c r="AD17" i="1"/>
  <c r="Z17" i="1"/>
  <c r="Y17" i="1"/>
  <c r="X17" i="1"/>
  <c r="W17" i="1"/>
  <c r="V17" i="1"/>
  <c r="U17" i="1"/>
  <c r="R17" i="1"/>
  <c r="Q17" i="1"/>
  <c r="P17" i="1"/>
  <c r="O17" i="1"/>
  <c r="N17" i="1"/>
  <c r="CY18" i="1"/>
  <c r="DP53" i="1" s="1"/>
  <c r="AO16" i="1"/>
  <c r="AN16" i="1"/>
  <c r="AM16" i="1"/>
  <c r="AL16" i="1"/>
  <c r="AK16" i="1"/>
  <c r="AH16" i="1"/>
  <c r="AG16" i="1"/>
  <c r="AF16" i="1"/>
  <c r="AE16" i="1"/>
  <c r="AD16" i="1"/>
  <c r="Z16" i="1"/>
  <c r="Y16" i="1"/>
  <c r="X16" i="1"/>
  <c r="W16" i="1"/>
  <c r="V16" i="1"/>
  <c r="U16" i="1"/>
  <c r="R16" i="1"/>
  <c r="Q16" i="1"/>
  <c r="P16" i="1"/>
  <c r="O16" i="1"/>
  <c r="N16" i="1"/>
  <c r="CY17" i="1"/>
  <c r="DP52" i="1" s="1"/>
  <c r="CX17" i="1"/>
  <c r="AO15" i="1"/>
  <c r="AN15" i="1"/>
  <c r="AM15" i="1"/>
  <c r="AL15" i="1"/>
  <c r="AK15" i="1"/>
  <c r="AH15" i="1"/>
  <c r="AG15" i="1"/>
  <c r="AF15" i="1"/>
  <c r="AE15" i="1"/>
  <c r="AD15" i="1"/>
  <c r="Y15" i="1"/>
  <c r="X15" i="1"/>
  <c r="W15" i="1"/>
  <c r="V15" i="1"/>
  <c r="U15" i="1"/>
  <c r="S15" i="1"/>
  <c r="T15" i="1" s="1"/>
  <c r="R15" i="1"/>
  <c r="Q15" i="1"/>
  <c r="P15" i="1"/>
  <c r="O15" i="1"/>
  <c r="N15" i="1"/>
  <c r="CY16" i="1"/>
  <c r="DP51" i="1" s="1"/>
  <c r="CX16" i="1"/>
  <c r="AO14" i="1"/>
  <c r="AN14" i="1"/>
  <c r="AM14" i="1"/>
  <c r="AL14" i="1"/>
  <c r="AK14" i="1"/>
  <c r="AH14" i="1"/>
  <c r="AG14" i="1"/>
  <c r="AF14" i="1"/>
  <c r="AE14" i="1"/>
  <c r="AD14" i="1"/>
  <c r="Y14" i="1"/>
  <c r="X14" i="1"/>
  <c r="W14" i="1"/>
  <c r="V14" i="1"/>
  <c r="U14" i="1"/>
  <c r="S14" i="1"/>
  <c r="T14" i="1" s="1"/>
  <c r="R14" i="1"/>
  <c r="Q14" i="1"/>
  <c r="P14" i="1"/>
  <c r="O14" i="1"/>
  <c r="N14" i="1"/>
  <c r="CX15" i="1"/>
  <c r="AO13" i="1"/>
  <c r="AN13" i="1"/>
  <c r="AM13" i="1"/>
  <c r="AL13" i="1"/>
  <c r="AK13" i="1"/>
  <c r="AH13" i="1"/>
  <c r="AG13" i="1"/>
  <c r="AF13" i="1"/>
  <c r="AE13" i="1"/>
  <c r="AD13" i="1"/>
  <c r="Y13" i="1"/>
  <c r="X13" i="1"/>
  <c r="W13" i="1"/>
  <c r="V13" i="1"/>
  <c r="U13" i="1"/>
  <c r="S13" i="1"/>
  <c r="T13" i="1" s="1"/>
  <c r="R13" i="1"/>
  <c r="Q13" i="1"/>
  <c r="P13" i="1"/>
  <c r="O13" i="1"/>
  <c r="N13" i="1"/>
  <c r="CX14" i="1"/>
  <c r="CY14" i="1"/>
  <c r="DP49" i="1" s="1"/>
  <c r="AO12" i="1"/>
  <c r="AN12" i="1"/>
  <c r="AM12" i="1"/>
  <c r="AL12" i="1"/>
  <c r="AK12" i="1"/>
  <c r="AH12" i="1"/>
  <c r="AG12" i="1"/>
  <c r="AF12" i="1"/>
  <c r="AE12" i="1"/>
  <c r="AD12" i="1"/>
  <c r="Y12" i="1"/>
  <c r="X12" i="1"/>
  <c r="W12" i="1"/>
  <c r="V12" i="1"/>
  <c r="U12" i="1"/>
  <c r="S12" i="1"/>
  <c r="T12" i="1" s="1"/>
  <c r="R12" i="1"/>
  <c r="Q12" i="1"/>
  <c r="P12" i="1"/>
  <c r="O12" i="1"/>
  <c r="N12" i="1"/>
  <c r="CX13" i="1"/>
  <c r="CY13" i="1"/>
  <c r="DP48" i="1" s="1"/>
  <c r="AO11" i="1"/>
  <c r="AN11" i="1"/>
  <c r="AM11" i="1"/>
  <c r="AL11" i="1"/>
  <c r="AK11" i="1"/>
  <c r="AH11" i="1"/>
  <c r="AG11" i="1"/>
  <c r="AF11" i="1"/>
  <c r="AE11" i="1"/>
  <c r="AD11" i="1"/>
  <c r="Z11" i="1"/>
  <c r="Y11" i="1"/>
  <c r="X11" i="1"/>
  <c r="W11" i="1"/>
  <c r="V11" i="1"/>
  <c r="U11" i="1"/>
  <c r="R11" i="1"/>
  <c r="Q11" i="1"/>
  <c r="P11" i="1"/>
  <c r="O11" i="1"/>
  <c r="N11" i="1"/>
  <c r="CX12" i="1"/>
  <c r="CW12" i="1"/>
  <c r="DD18" i="1"/>
  <c r="DU53" i="1" s="1"/>
  <c r="AO10" i="1"/>
  <c r="AN10" i="1"/>
  <c r="AM10" i="1"/>
  <c r="AL10" i="1"/>
  <c r="AK10" i="1"/>
  <c r="AH10" i="1"/>
  <c r="AG10" i="1"/>
  <c r="AF10" i="1"/>
  <c r="AE10" i="1"/>
  <c r="AD10" i="1"/>
  <c r="Y10" i="1"/>
  <c r="X10" i="1"/>
  <c r="W10" i="1"/>
  <c r="V10" i="1"/>
  <c r="U10" i="1"/>
  <c r="R10" i="1"/>
  <c r="Q10" i="1"/>
  <c r="P10" i="1"/>
  <c r="O10" i="1"/>
  <c r="N10" i="1"/>
  <c r="CY11" i="1"/>
  <c r="DP46" i="1" s="1"/>
  <c r="AO9" i="1"/>
  <c r="AN9" i="1"/>
  <c r="AM9" i="1"/>
  <c r="AL9" i="1"/>
  <c r="AK9" i="1"/>
  <c r="AH9" i="1"/>
  <c r="AG9" i="1"/>
  <c r="AF9" i="1"/>
  <c r="AE9" i="1"/>
  <c r="AD9" i="1"/>
  <c r="Y9" i="1"/>
  <c r="X9" i="1"/>
  <c r="W9" i="1"/>
  <c r="V9" i="1"/>
  <c r="U9" i="1"/>
  <c r="S9" i="1"/>
  <c r="T9" i="1" s="1"/>
  <c r="R9" i="1"/>
  <c r="Q9" i="1"/>
  <c r="P9" i="1"/>
  <c r="O9" i="1"/>
  <c r="N9" i="1"/>
  <c r="CY10" i="1"/>
  <c r="DP45" i="1" s="1"/>
  <c r="CX10" i="1"/>
  <c r="AO8" i="1"/>
  <c r="AN8" i="1"/>
  <c r="AM8" i="1"/>
  <c r="AL8" i="1"/>
  <c r="AK8" i="1"/>
  <c r="AH8" i="1"/>
  <c r="AG8" i="1"/>
  <c r="AF8" i="1"/>
  <c r="AE8" i="1"/>
  <c r="AD8" i="1"/>
  <c r="Y8" i="1"/>
  <c r="X8" i="1"/>
  <c r="W8" i="1"/>
  <c r="V8" i="1"/>
  <c r="U8" i="1"/>
  <c r="S8" i="1"/>
  <c r="T8" i="1" s="1"/>
  <c r="R8" i="1"/>
  <c r="Q8" i="1"/>
  <c r="P8" i="1"/>
  <c r="O8" i="1"/>
  <c r="N8" i="1"/>
  <c r="CY9" i="1"/>
  <c r="DP44" i="1" s="1"/>
  <c r="CX9" i="1"/>
  <c r="AO7" i="1"/>
  <c r="AN7" i="1"/>
  <c r="AM7" i="1"/>
  <c r="AL7" i="1"/>
  <c r="AK7" i="1"/>
  <c r="AH7" i="1"/>
  <c r="AG7" i="1"/>
  <c r="AF7" i="1"/>
  <c r="AE7" i="1"/>
  <c r="AD7" i="1"/>
  <c r="Y7" i="1"/>
  <c r="X7" i="1"/>
  <c r="W7" i="1"/>
  <c r="V7" i="1"/>
  <c r="U7" i="1"/>
  <c r="S7" i="1"/>
  <c r="T7" i="1" s="1"/>
  <c r="R7" i="1"/>
  <c r="Q7" i="1"/>
  <c r="P7" i="1"/>
  <c r="O7" i="1"/>
  <c r="N7" i="1"/>
  <c r="CX8" i="1"/>
  <c r="CY8" i="1"/>
  <c r="DP43" i="1" s="1"/>
  <c r="AO6" i="1"/>
  <c r="AN6" i="1"/>
  <c r="AM6" i="1"/>
  <c r="AL6" i="1"/>
  <c r="AK6" i="1"/>
  <c r="AH6" i="1"/>
  <c r="AG6" i="1"/>
  <c r="AF6" i="1"/>
  <c r="AE6" i="1"/>
  <c r="AD6" i="1"/>
  <c r="Z6" i="1"/>
  <c r="Y6" i="1"/>
  <c r="X6" i="1"/>
  <c r="W6" i="1"/>
  <c r="V6" i="1"/>
  <c r="U6" i="1"/>
  <c r="R6" i="1"/>
  <c r="Q6" i="1"/>
  <c r="P6" i="1"/>
  <c r="O6" i="1"/>
  <c r="N6" i="1"/>
  <c r="CX7" i="1"/>
  <c r="CY7" i="1"/>
  <c r="DP42" i="1" s="1"/>
  <c r="AO5" i="1"/>
  <c r="AN5" i="1"/>
  <c r="AM5" i="1"/>
  <c r="AL5" i="1"/>
  <c r="AK5" i="1"/>
  <c r="AH5" i="1"/>
  <c r="AG5" i="1"/>
  <c r="AF5" i="1"/>
  <c r="AE5" i="1"/>
  <c r="AD5" i="1"/>
  <c r="Z5" i="1"/>
  <c r="Y5" i="1"/>
  <c r="X5" i="1"/>
  <c r="W5" i="1"/>
  <c r="V5" i="1"/>
  <c r="U5" i="1"/>
  <c r="S5" i="1"/>
  <c r="R5" i="1"/>
  <c r="Q5" i="1"/>
  <c r="P5" i="1"/>
  <c r="O5" i="1"/>
  <c r="N5" i="1"/>
  <c r="CX6" i="1"/>
  <c r="CY6" i="1"/>
  <c r="DP41" i="1" s="1"/>
  <c r="BW6" i="1"/>
  <c r="BW7" i="1" s="1"/>
  <c r="BW8" i="1" s="1"/>
  <c r="BW9" i="1" s="1"/>
  <c r="BW10" i="1" s="1"/>
  <c r="BW11" i="1" s="1"/>
  <c r="BW12" i="1" s="1"/>
  <c r="BW13" i="1" s="1"/>
  <c r="BW14" i="1" s="1"/>
  <c r="BW15" i="1" s="1"/>
  <c r="BW16" i="1" s="1"/>
  <c r="BW17" i="1" s="1"/>
  <c r="BW18" i="1" s="1"/>
  <c r="BW19" i="1" s="1"/>
  <c r="BW20" i="1" s="1"/>
  <c r="BW21" i="1" s="1"/>
  <c r="BW22" i="1" s="1"/>
  <c r="BW23" i="1" s="1"/>
  <c r="BW24" i="1" s="1"/>
  <c r="BW25" i="1" s="1"/>
  <c r="BW26" i="1" s="1"/>
  <c r="BW27" i="1" s="1"/>
  <c r="BW28" i="1" s="1"/>
  <c r="BW29" i="1" s="1"/>
  <c r="BW30" i="1" s="1"/>
  <c r="BW31" i="1" s="1"/>
  <c r="BW32" i="1" s="1"/>
  <c r="BW33" i="1" s="1"/>
  <c r="BG6" i="1"/>
  <c r="BG7" i="1" s="1"/>
  <c r="BG8" i="1" s="1"/>
  <c r="BG9" i="1" s="1"/>
  <c r="BG10" i="1" s="1"/>
  <c r="BG11" i="1" s="1"/>
  <c r="BG12" i="1" s="1"/>
  <c r="BG13" i="1" s="1"/>
  <c r="BG14" i="1" s="1"/>
  <c r="BG15" i="1" s="1"/>
  <c r="BG16" i="1" s="1"/>
  <c r="BG17" i="1" s="1"/>
  <c r="BG18" i="1" s="1"/>
  <c r="BG19" i="1" s="1"/>
  <c r="BG20" i="1" s="1"/>
  <c r="BG21" i="1" s="1"/>
  <c r="BG22" i="1" s="1"/>
  <c r="BG23" i="1" s="1"/>
  <c r="BG24" i="1" s="1"/>
  <c r="BG25" i="1" s="1"/>
  <c r="BG26" i="1" s="1"/>
  <c r="BG27" i="1" s="1"/>
  <c r="BG28" i="1" s="1"/>
  <c r="BG29" i="1" s="1"/>
  <c r="BG30" i="1" s="1"/>
  <c r="BG31" i="1" s="1"/>
  <c r="BG32" i="1" s="1"/>
  <c r="BG33" i="1" s="1"/>
  <c r="AS6" i="1"/>
  <c r="AS7" i="1" s="1"/>
  <c r="AS8" i="1" s="1"/>
  <c r="AS9" i="1" s="1"/>
  <c r="AS10" i="1" s="1"/>
  <c r="AS11" i="1" s="1"/>
  <c r="AS12" i="1" s="1"/>
  <c r="AS13" i="1" s="1"/>
  <c r="AS14" i="1" s="1"/>
  <c r="AS15" i="1" s="1"/>
  <c r="AS16" i="1" s="1"/>
  <c r="AS17" i="1" s="1"/>
  <c r="AS18" i="1" s="1"/>
  <c r="AS19" i="1" s="1"/>
  <c r="AS20" i="1" s="1"/>
  <c r="AS21" i="1" s="1"/>
  <c r="AS22" i="1" s="1"/>
  <c r="AS23" i="1" s="1"/>
  <c r="AS24" i="1" s="1"/>
  <c r="AS25" i="1" s="1"/>
  <c r="AS26" i="1" s="1"/>
  <c r="AS27" i="1" s="1"/>
  <c r="AS28" i="1" s="1"/>
  <c r="AS29" i="1" s="1"/>
  <c r="AS30" i="1" s="1"/>
  <c r="AS31" i="1" s="1"/>
  <c r="AS32" i="1" s="1"/>
  <c r="AS33" i="1" s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DD11" i="1"/>
  <c r="DU46" i="1" s="1"/>
  <c r="DE3" i="1"/>
  <c r="DD3" i="1"/>
  <c r="CZ3" i="1"/>
  <c r="CW1" i="1"/>
  <c r="Q34" i="1" l="1"/>
  <c r="CR8" i="1" s="1"/>
  <c r="DB8" i="1" s="1"/>
  <c r="DS43" i="1" s="1"/>
  <c r="AM34" i="1"/>
  <c r="CS14" i="1" s="1"/>
  <c r="DC14" i="1" s="1"/>
  <c r="DT49" i="1" s="1"/>
  <c r="R34" i="1"/>
  <c r="AD34" i="1"/>
  <c r="CS5" i="1" s="1"/>
  <c r="DC5" i="1" s="1"/>
  <c r="DT40" i="1" s="1"/>
  <c r="AN34" i="1"/>
  <c r="CS15" i="1" s="1"/>
  <c r="DC15" i="1" s="1"/>
  <c r="DT50" i="1" s="1"/>
  <c r="T5" i="1"/>
  <c r="AE34" i="1"/>
  <c r="CS6" i="1" s="1"/>
  <c r="DC6" i="1" s="1"/>
  <c r="DT41" i="1" s="1"/>
  <c r="AO34" i="1"/>
  <c r="CS16" i="1" s="1"/>
  <c r="DC16" i="1" s="1"/>
  <c r="DT51" i="1" s="1"/>
  <c r="U34" i="1"/>
  <c r="CR12" i="1" s="1"/>
  <c r="DB12" i="1" s="1"/>
  <c r="DS47" i="1" s="1"/>
  <c r="AF34" i="1"/>
  <c r="CS7" i="1" s="1"/>
  <c r="DC7" i="1" s="1"/>
  <c r="DT42" i="1" s="1"/>
  <c r="V34" i="1"/>
  <c r="AG34" i="1"/>
  <c r="CS8" i="1" s="1"/>
  <c r="DC8" i="1" s="1"/>
  <c r="DT43" i="1" s="1"/>
  <c r="N34" i="1"/>
  <c r="W34" i="1"/>
  <c r="CR14" i="1" s="1"/>
  <c r="DB14" i="1" s="1"/>
  <c r="DS49" i="1" s="1"/>
  <c r="AH34" i="1"/>
  <c r="CS9" i="1" s="1"/>
  <c r="DC9" i="1" s="1"/>
  <c r="DT44" i="1" s="1"/>
  <c r="O34" i="1"/>
  <c r="CR6" i="1" s="1"/>
  <c r="DB6" i="1" s="1"/>
  <c r="DS41" i="1" s="1"/>
  <c r="X34" i="1"/>
  <c r="CR15" i="1" s="1"/>
  <c r="DB15" i="1" s="1"/>
  <c r="DS50" i="1" s="1"/>
  <c r="AK34" i="1"/>
  <c r="CS12" i="1" s="1"/>
  <c r="DC12" i="1" s="1"/>
  <c r="DT47" i="1" s="1"/>
  <c r="P34" i="1"/>
  <c r="CR7" i="1" s="1"/>
  <c r="DB7" i="1" s="1"/>
  <c r="DS42" i="1" s="1"/>
  <c r="Y34" i="1"/>
  <c r="CR16" i="1" s="1"/>
  <c r="DB16" i="1" s="1"/>
  <c r="DS51" i="1" s="1"/>
  <c r="AL34" i="1"/>
  <c r="CS13" i="1" s="1"/>
  <c r="DC13" i="1" s="1"/>
  <c r="DT48" i="1" s="1"/>
  <c r="Z19" i="1"/>
  <c r="AA19" i="1" s="1"/>
  <c r="CR5" i="1"/>
  <c r="AP13" i="1"/>
  <c r="AQ13" i="1" s="1"/>
  <c r="S25" i="1"/>
  <c r="T25" i="1" s="1"/>
  <c r="S28" i="1"/>
  <c r="T28" i="1" s="1"/>
  <c r="Z30" i="1"/>
  <c r="AA30" i="1" s="1"/>
  <c r="S33" i="1"/>
  <c r="T33" i="1" s="1"/>
  <c r="Z27" i="1"/>
  <c r="AA27" i="1" s="1"/>
  <c r="S30" i="1"/>
  <c r="T30" i="1" s="1"/>
  <c r="S27" i="1"/>
  <c r="T27" i="1" s="1"/>
  <c r="Z29" i="1"/>
  <c r="AA29" i="1" s="1"/>
  <c r="Z28" i="1"/>
  <c r="AA28" i="1" s="1"/>
  <c r="Z25" i="1"/>
  <c r="AA25" i="1" s="1"/>
  <c r="S31" i="1"/>
  <c r="T31" i="1" s="1"/>
  <c r="Z33" i="1"/>
  <c r="AA33" i="1" s="1"/>
  <c r="Z24" i="1"/>
  <c r="AA24" i="1" s="1"/>
  <c r="S26" i="1"/>
  <c r="T26" i="1" s="1"/>
  <c r="Z31" i="1"/>
  <c r="AA31" i="1" s="1"/>
  <c r="S24" i="1"/>
  <c r="T24" i="1" s="1"/>
  <c r="S29" i="1"/>
  <c r="T29" i="1" s="1"/>
  <c r="Z32" i="1"/>
  <c r="AA32" i="1" s="1"/>
  <c r="S32" i="1"/>
  <c r="T32" i="1" s="1"/>
  <c r="Z26" i="1"/>
  <c r="AA26" i="1" s="1"/>
  <c r="Z22" i="1"/>
  <c r="AA22" i="1" s="1"/>
  <c r="S23" i="1"/>
  <c r="T23" i="1" s="1"/>
  <c r="S20" i="1"/>
  <c r="T20" i="1" s="1"/>
  <c r="AA17" i="1"/>
  <c r="AX11" i="1"/>
  <c r="AA16" i="1"/>
  <c r="AA11" i="1"/>
  <c r="AA5" i="1"/>
  <c r="AA6" i="1"/>
  <c r="AA18" i="1"/>
  <c r="AV15" i="1"/>
  <c r="AW19" i="1"/>
  <c r="AX21" i="1"/>
  <c r="AX8" i="1"/>
  <c r="AX9" i="1"/>
  <c r="DA16" i="1"/>
  <c r="DR51" i="1" s="1"/>
  <c r="DA15" i="1"/>
  <c r="DR50" i="1" s="1"/>
  <c r="DA17" i="1"/>
  <c r="DR52" i="1" s="1"/>
  <c r="DA18" i="1"/>
  <c r="DR53" i="1" s="1"/>
  <c r="DA13" i="1"/>
  <c r="DR48" i="1" s="1"/>
  <c r="DA14" i="1"/>
  <c r="DR49" i="1" s="1"/>
  <c r="AT18" i="1"/>
  <c r="AU18" i="1"/>
  <c r="AZ20" i="1"/>
  <c r="AZ5" i="1"/>
  <c r="AW7" i="1"/>
  <c r="AZ6" i="1"/>
  <c r="AT17" i="1"/>
  <c r="BC17" i="1"/>
  <c r="BC16" i="1"/>
  <c r="AZ23" i="1"/>
  <c r="BD21" i="1"/>
  <c r="BB23" i="1"/>
  <c r="BC5" i="1"/>
  <c r="AU17" i="1"/>
  <c r="AZ22" i="1"/>
  <c r="AT23" i="1"/>
  <c r="AU5" i="1"/>
  <c r="AV16" i="1"/>
  <c r="AW18" i="1"/>
  <c r="BD23" i="1"/>
  <c r="AT7" i="1"/>
  <c r="BB7" i="1"/>
  <c r="BA10" i="1"/>
  <c r="AX15" i="1"/>
  <c r="BB22" i="1"/>
  <c r="AV23" i="1"/>
  <c r="BD13" i="1"/>
  <c r="AT14" i="1"/>
  <c r="BB14" i="1"/>
  <c r="AZ15" i="1"/>
  <c r="BB19" i="1"/>
  <c r="AZ21" i="1"/>
  <c r="AT22" i="1"/>
  <c r="AW6" i="1"/>
  <c r="AU10" i="1"/>
  <c r="BA15" i="1"/>
  <c r="BA18" i="1"/>
  <c r="AW20" i="1"/>
  <c r="AX13" i="1"/>
  <c r="BA17" i="1"/>
  <c r="BD19" i="1"/>
  <c r="AX20" i="1"/>
  <c r="BA12" i="1"/>
  <c r="BC18" i="1"/>
  <c r="AV19" i="1"/>
  <c r="Z8" i="1"/>
  <c r="Z10" i="1"/>
  <c r="Z12" i="1"/>
  <c r="Z14" i="1"/>
  <c r="S16" i="1"/>
  <c r="T16" i="1" s="1"/>
  <c r="AU19" i="1"/>
  <c r="AW21" i="1"/>
  <c r="Z23" i="1"/>
  <c r="AP9" i="1"/>
  <c r="S10" i="1"/>
  <c r="T10" i="1" s="1"/>
  <c r="S17" i="1"/>
  <c r="T17" i="1" s="1"/>
  <c r="BD17" i="1"/>
  <c r="S18" i="1"/>
  <c r="T18" i="1" s="1"/>
  <c r="BD18" i="1"/>
  <c r="BA22" i="1"/>
  <c r="BC23" i="1"/>
  <c r="AU12" i="1"/>
  <c r="BC14" i="1"/>
  <c r="AW16" i="1"/>
  <c r="AV17" i="1"/>
  <c r="AZ11" i="1"/>
  <c r="AT6" i="1"/>
  <c r="AU8" i="1"/>
  <c r="BC12" i="1"/>
  <c r="AU14" i="1"/>
  <c r="AV10" i="1"/>
  <c r="BA11" i="1"/>
  <c r="AV12" i="1"/>
  <c r="AX5" i="1"/>
  <c r="S6" i="1"/>
  <c r="T6" i="1" s="1"/>
  <c r="AU6" i="1"/>
  <c r="BC6" i="1"/>
  <c r="AZ7" i="1"/>
  <c r="AV8" i="1"/>
  <c r="BD8" i="1"/>
  <c r="Z9" i="1"/>
  <c r="Z13" i="1"/>
  <c r="BA13" i="1"/>
  <c r="AW14" i="1"/>
  <c r="Z15" i="1"/>
  <c r="AX17" i="1"/>
  <c r="Z20" i="1"/>
  <c r="Z21" i="1"/>
  <c r="S22" i="1"/>
  <c r="T22" i="1" s="1"/>
  <c r="BC10" i="1"/>
  <c r="AW5" i="1"/>
  <c r="BB6" i="1"/>
  <c r="BC8" i="1"/>
  <c r="BD10" i="1"/>
  <c r="BD12" i="1"/>
  <c r="Z7" i="1"/>
  <c r="S11" i="1"/>
  <c r="T11" i="1" s="1"/>
  <c r="AU11" i="1"/>
  <c r="BC11" i="1"/>
  <c r="AX12" i="1"/>
  <c r="S21" i="1"/>
  <c r="T21" i="1" s="1"/>
  <c r="AU9" i="1"/>
  <c r="AZ14" i="1"/>
  <c r="AV6" i="1"/>
  <c r="BD6" i="1"/>
  <c r="BA7" i="1"/>
  <c r="AW8" i="1"/>
  <c r="AZ9" i="1"/>
  <c r="AW10" i="1"/>
  <c r="AT11" i="1"/>
  <c r="BB11" i="1"/>
  <c r="AW12" i="1"/>
  <c r="AZ13" i="1"/>
  <c r="AV14" i="1"/>
  <c r="BD14" i="1"/>
  <c r="AX16" i="1"/>
  <c r="AV18" i="1"/>
  <c r="AU23" i="1"/>
  <c r="BA9" i="1"/>
  <c r="AX10" i="1"/>
  <c r="BB15" i="1"/>
  <c r="AZ16" i="1"/>
  <c r="AW17" i="1"/>
  <c r="AX19" i="1"/>
  <c r="BA21" i="1"/>
  <c r="BC22" i="1"/>
  <c r="BA5" i="1"/>
  <c r="AX6" i="1"/>
  <c r="AU7" i="1"/>
  <c r="BC7" i="1"/>
  <c r="AT9" i="1"/>
  <c r="BB9" i="1"/>
  <c r="AV11" i="1"/>
  <c r="BD11" i="1"/>
  <c r="AT13" i="1"/>
  <c r="BB13" i="1"/>
  <c r="AX14" i="1"/>
  <c r="AT15" i="1"/>
  <c r="BC15" i="1"/>
  <c r="BA16" i="1"/>
  <c r="AX18" i="1"/>
  <c r="AZ19" i="1"/>
  <c r="BA20" i="1"/>
  <c r="BB21" i="1"/>
  <c r="AU22" i="1"/>
  <c r="BD22" i="1"/>
  <c r="AW23" i="1"/>
  <c r="AT5" i="1"/>
  <c r="BB5" i="1"/>
  <c r="AV7" i="1"/>
  <c r="BD7" i="1"/>
  <c r="AZ8" i="1"/>
  <c r="BC9" i="1"/>
  <c r="AZ10" i="1"/>
  <c r="AW11" i="1"/>
  <c r="AZ12" i="1"/>
  <c r="AU13" i="1"/>
  <c r="BC13" i="1"/>
  <c r="AU15" i="1"/>
  <c r="BD15" i="1"/>
  <c r="BB16" i="1"/>
  <c r="AZ17" i="1"/>
  <c r="AZ18" i="1"/>
  <c r="BA19" i="1"/>
  <c r="AT20" i="1"/>
  <c r="BB20" i="1"/>
  <c r="AT21" i="1"/>
  <c r="BC21" i="1"/>
  <c r="AV22" i="1"/>
  <c r="AX23" i="1"/>
  <c r="BA8" i="1"/>
  <c r="AV9" i="1"/>
  <c r="BD9" i="1"/>
  <c r="AV13" i="1"/>
  <c r="AT16" i="1"/>
  <c r="AU20" i="1"/>
  <c r="BC20" i="1"/>
  <c r="AU21" i="1"/>
  <c r="AW22" i="1"/>
  <c r="AV5" i="1"/>
  <c r="BD5" i="1"/>
  <c r="BA6" i="1"/>
  <c r="AX7" i="1"/>
  <c r="AT8" i="1"/>
  <c r="BB8" i="1"/>
  <c r="AW9" i="1"/>
  <c r="AT10" i="1"/>
  <c r="BB10" i="1"/>
  <c r="AT12" i="1"/>
  <c r="BB12" i="1"/>
  <c r="AW13" i="1"/>
  <c r="BA14" i="1"/>
  <c r="AW15" i="1"/>
  <c r="AU16" i="1"/>
  <c r="BD16" i="1"/>
  <c r="BB17" i="1"/>
  <c r="BB18" i="1"/>
  <c r="AT19" i="1"/>
  <c r="BC19" i="1"/>
  <c r="AV20" i="1"/>
  <c r="BD20" i="1"/>
  <c r="AV21" i="1"/>
  <c r="AX22" i="1"/>
  <c r="BA23" i="1"/>
  <c r="CY12" i="1"/>
  <c r="DP47" i="1" s="1"/>
  <c r="CR9" i="1"/>
  <c r="DB9" i="1" s="1"/>
  <c r="DS44" i="1" s="1"/>
  <c r="CR13" i="1"/>
  <c r="DB13" i="1" s="1"/>
  <c r="DS48" i="1" s="1"/>
  <c r="CU18" i="1"/>
  <c r="CY53" i="1" s="1"/>
  <c r="EH53" i="1" s="1"/>
  <c r="CZ12" i="1"/>
  <c r="DQ47" i="1" s="1"/>
  <c r="CY15" i="1"/>
  <c r="DP50" i="1" s="1"/>
  <c r="AI21" i="1"/>
  <c r="AI22" i="1" l="1"/>
  <c r="BA34" i="1"/>
  <c r="Z34" i="1"/>
  <c r="CR17" i="1" s="1"/>
  <c r="DB17" i="1" s="1"/>
  <c r="DS52" i="1" s="1"/>
  <c r="BD34" i="1"/>
  <c r="BB34" i="1"/>
  <c r="BC34" i="1"/>
  <c r="AV34" i="1"/>
  <c r="AZ34" i="1"/>
  <c r="S34" i="1"/>
  <c r="CR10" i="1" s="1"/>
  <c r="DB10" i="1" s="1"/>
  <c r="DS45" i="1" s="1"/>
  <c r="AT34" i="1"/>
  <c r="AW34" i="1"/>
  <c r="T34" i="1"/>
  <c r="AX34" i="1"/>
  <c r="AU34" i="1"/>
  <c r="AP7" i="1"/>
  <c r="AQ7" i="1" s="1"/>
  <c r="AP12" i="1"/>
  <c r="AQ12" i="1" s="1"/>
  <c r="AI5" i="1"/>
  <c r="AP10" i="1"/>
  <c r="AI6" i="1"/>
  <c r="AJ6" i="1" s="1"/>
  <c r="AP16" i="1"/>
  <c r="AI18" i="1"/>
  <c r="AJ18" i="1" s="1"/>
  <c r="AP23" i="1"/>
  <c r="AQ23" i="1" s="1"/>
  <c r="AP14" i="1"/>
  <c r="BE14" i="1" s="1"/>
  <c r="AI15" i="1"/>
  <c r="AY15" i="1" s="1"/>
  <c r="BM15" i="1" s="1"/>
  <c r="CC15" i="1" s="1"/>
  <c r="AI17" i="1"/>
  <c r="AY17" i="1" s="1"/>
  <c r="AP22" i="1"/>
  <c r="AP21" i="1"/>
  <c r="AP20" i="1"/>
  <c r="AI19" i="1"/>
  <c r="AY19" i="1" s="1"/>
  <c r="BM19" i="1" s="1"/>
  <c r="CC19" i="1" s="1"/>
  <c r="AP17" i="1"/>
  <c r="AQ17" i="1" s="1"/>
  <c r="AI11" i="1"/>
  <c r="AJ11" i="1" s="1"/>
  <c r="AI16" i="1"/>
  <c r="AJ16" i="1" s="1"/>
  <c r="AP15" i="1"/>
  <c r="AQ15" i="1" s="1"/>
  <c r="AI23" i="1"/>
  <c r="AY23" i="1" s="1"/>
  <c r="AP19" i="1"/>
  <c r="BE19" i="1" s="1"/>
  <c r="AP18" i="1"/>
  <c r="BE13" i="1"/>
  <c r="BT13" i="1" s="1"/>
  <c r="CJ13" i="1" s="1"/>
  <c r="DB5" i="1"/>
  <c r="AI20" i="1"/>
  <c r="AY20" i="1" s="1"/>
  <c r="BM20" i="1" s="1"/>
  <c r="CC20" i="1" s="1"/>
  <c r="BJ21" i="1"/>
  <c r="BZ21" i="1" s="1"/>
  <c r="BH21" i="1"/>
  <c r="BX21" i="1" s="1"/>
  <c r="BS22" i="1"/>
  <c r="CI22" i="1" s="1"/>
  <c r="BJ14" i="1"/>
  <c r="BZ14" i="1" s="1"/>
  <c r="BK8" i="1"/>
  <c r="CA8" i="1" s="1"/>
  <c r="BS12" i="1"/>
  <c r="CI12" i="1" s="1"/>
  <c r="BK21" i="1"/>
  <c r="CA21" i="1" s="1"/>
  <c r="BO15" i="1"/>
  <c r="CE15" i="1" s="1"/>
  <c r="BO22" i="1"/>
  <c r="CE22" i="1" s="1"/>
  <c r="BL21" i="1"/>
  <c r="CB21" i="1" s="1"/>
  <c r="BK15" i="1"/>
  <c r="CA15" i="1" s="1"/>
  <c r="BQ20" i="1"/>
  <c r="CG20" i="1" s="1"/>
  <c r="BL14" i="1"/>
  <c r="CB14" i="1" s="1"/>
  <c r="BQ15" i="1"/>
  <c r="CG15" i="1" s="1"/>
  <c r="BL12" i="1"/>
  <c r="CB12" i="1" s="1"/>
  <c r="BL5" i="1"/>
  <c r="BI19" i="1"/>
  <c r="BY19" i="1" s="1"/>
  <c r="BQ14" i="1"/>
  <c r="CG14" i="1" s="1"/>
  <c r="BL11" i="1"/>
  <c r="CB11" i="1" s="1"/>
  <c r="BH20" i="1"/>
  <c r="BX20" i="1" s="1"/>
  <c r="BQ13" i="1"/>
  <c r="CG13" i="1" s="1"/>
  <c r="BL10" i="1"/>
  <c r="BK16" i="1"/>
  <c r="CA16" i="1" s="1"/>
  <c r="BP15" i="1"/>
  <c r="CF15" i="1" s="1"/>
  <c r="BR19" i="1"/>
  <c r="CH19" i="1" s="1"/>
  <c r="BH8" i="1"/>
  <c r="BX8" i="1" s="1"/>
  <c r="BK22" i="1"/>
  <c r="CA22" i="1" s="1"/>
  <c r="BP8" i="1"/>
  <c r="CF8" i="1" s="1"/>
  <c r="BP19" i="1"/>
  <c r="CF19" i="1" s="1"/>
  <c r="BI13" i="1"/>
  <c r="BY13" i="1" s="1"/>
  <c r="BJ7" i="1"/>
  <c r="BZ7" i="1" s="1"/>
  <c r="BP20" i="1"/>
  <c r="CF20" i="1" s="1"/>
  <c r="BH13" i="1"/>
  <c r="BX13" i="1" s="1"/>
  <c r="BP9" i="1"/>
  <c r="CF9" i="1" s="1"/>
  <c r="BQ11" i="1"/>
  <c r="CG11" i="1" s="1"/>
  <c r="BJ6" i="1"/>
  <c r="BI11" i="1"/>
  <c r="BY11" i="1" s="1"/>
  <c r="BQ6" i="1"/>
  <c r="CG6" i="1" s="1"/>
  <c r="BL17" i="1"/>
  <c r="CB17" i="1" s="1"/>
  <c r="BS8" i="1"/>
  <c r="CI8" i="1" s="1"/>
  <c r="BR12" i="1"/>
  <c r="CH12" i="1" s="1"/>
  <c r="BR14" i="1"/>
  <c r="CH14" i="1" s="1"/>
  <c r="BP12" i="1"/>
  <c r="CF12" i="1" s="1"/>
  <c r="BI10" i="1"/>
  <c r="BY10" i="1" s="1"/>
  <c r="BS13" i="1"/>
  <c r="CI13" i="1" s="1"/>
  <c r="BS23" i="1"/>
  <c r="CI23" i="1" s="1"/>
  <c r="BQ23" i="1"/>
  <c r="CG23" i="1" s="1"/>
  <c r="BK7" i="1"/>
  <c r="CA7" i="1" s="1"/>
  <c r="BI16" i="1"/>
  <c r="BY16" i="1" s="1"/>
  <c r="BR9" i="1"/>
  <c r="BO16" i="1"/>
  <c r="CE16" i="1" s="1"/>
  <c r="BK20" i="1"/>
  <c r="CA20" i="1" s="1"/>
  <c r="BS9" i="1"/>
  <c r="CI9" i="1" s="1"/>
  <c r="BO8" i="1"/>
  <c r="CE8" i="1" s="1"/>
  <c r="BS10" i="1"/>
  <c r="CI10" i="1" s="1"/>
  <c r="BJ17" i="1"/>
  <c r="BZ17" i="1" s="1"/>
  <c r="BP18" i="1"/>
  <c r="CF18" i="1" s="1"/>
  <c r="BH17" i="1"/>
  <c r="BX17" i="1" s="1"/>
  <c r="BQ8" i="1"/>
  <c r="CG8" i="1" s="1"/>
  <c r="BR13" i="1"/>
  <c r="CH13" i="1" s="1"/>
  <c r="BK12" i="1"/>
  <c r="CA12" i="1" s="1"/>
  <c r="BH7" i="1"/>
  <c r="BX7" i="1" s="1"/>
  <c r="BH19" i="1"/>
  <c r="BX19" i="1" s="1"/>
  <c r="BK13" i="1"/>
  <c r="CA13" i="1" s="1"/>
  <c r="BL7" i="1"/>
  <c r="CB7" i="1" s="1"/>
  <c r="BI21" i="1"/>
  <c r="BY21" i="1" s="1"/>
  <c r="BO18" i="1"/>
  <c r="CE18" i="1" s="1"/>
  <c r="BO12" i="1"/>
  <c r="CE12" i="1" s="1"/>
  <c r="BQ5" i="1"/>
  <c r="BO19" i="1"/>
  <c r="CE19" i="1" s="1"/>
  <c r="BR7" i="1"/>
  <c r="CH7" i="1" s="1"/>
  <c r="BR22" i="1"/>
  <c r="CH22" i="1" s="1"/>
  <c r="BI23" i="1"/>
  <c r="BY23" i="1" s="1"/>
  <c r="BH11" i="1"/>
  <c r="BX11" i="1" s="1"/>
  <c r="BK5" i="1"/>
  <c r="BJ8" i="1"/>
  <c r="BZ8" i="1" s="1"/>
  <c r="BJ12" i="1"/>
  <c r="BZ12" i="1" s="1"/>
  <c r="BI8" i="1"/>
  <c r="BY8" i="1" s="1"/>
  <c r="BI12" i="1"/>
  <c r="BY12" i="1" s="1"/>
  <c r="BL20" i="1"/>
  <c r="CB20" i="1" s="1"/>
  <c r="BK6" i="1"/>
  <c r="CA6" i="1" s="1"/>
  <c r="BK18" i="1"/>
  <c r="CA18" i="1" s="1"/>
  <c r="BS21" i="1"/>
  <c r="CI21" i="1" s="1"/>
  <c r="BO5" i="1"/>
  <c r="BP14" i="1"/>
  <c r="CF14" i="1" s="1"/>
  <c r="BS6" i="1"/>
  <c r="CI6" i="1" s="1"/>
  <c r="BQ18" i="1"/>
  <c r="CG18" i="1" s="1"/>
  <c r="BP6" i="1"/>
  <c r="CF6" i="1" s="1"/>
  <c r="BR20" i="1"/>
  <c r="CH20" i="1" s="1"/>
  <c r="BL23" i="1"/>
  <c r="CB23" i="1" s="1"/>
  <c r="BO17" i="1"/>
  <c r="CE17" i="1" s="1"/>
  <c r="BH5" i="1"/>
  <c r="BL18" i="1"/>
  <c r="CB18" i="1" s="1"/>
  <c r="BI7" i="1"/>
  <c r="BY7" i="1" s="1"/>
  <c r="BP21" i="1"/>
  <c r="CF21" i="1" s="1"/>
  <c r="BJ18" i="1"/>
  <c r="BZ18" i="1" s="1"/>
  <c r="BK10" i="1"/>
  <c r="CA10" i="1" s="1"/>
  <c r="BK14" i="1"/>
  <c r="CA14" i="1" s="1"/>
  <c r="BO7" i="1"/>
  <c r="CE7" i="1" s="1"/>
  <c r="BP11" i="1"/>
  <c r="CF11" i="1" s="1"/>
  <c r="BH6" i="1"/>
  <c r="BX6" i="1" s="1"/>
  <c r="BR23" i="1"/>
  <c r="CH23" i="1" s="1"/>
  <c r="BS19" i="1"/>
  <c r="CI19" i="1" s="1"/>
  <c r="BH22" i="1"/>
  <c r="BX22" i="1" s="1"/>
  <c r="BJ23" i="1"/>
  <c r="BZ23" i="1" s="1"/>
  <c r="BJ16" i="1"/>
  <c r="BZ16" i="1" s="1"/>
  <c r="BO23" i="1"/>
  <c r="CE23" i="1" s="1"/>
  <c r="BO20" i="1"/>
  <c r="CE20" i="1" s="1"/>
  <c r="BJ13" i="1"/>
  <c r="BZ13" i="1" s="1"/>
  <c r="BR17" i="1"/>
  <c r="CH17" i="1" s="1"/>
  <c r="BI22" i="1"/>
  <c r="BY22" i="1" s="1"/>
  <c r="BP7" i="1"/>
  <c r="CF7" i="1" s="1"/>
  <c r="BS17" i="1"/>
  <c r="CI17" i="1" s="1"/>
  <c r="BQ7" i="1"/>
  <c r="CG7" i="1" s="1"/>
  <c r="BK19" i="1"/>
  <c r="CA19" i="1" s="1"/>
  <c r="BS7" i="1"/>
  <c r="CI7" i="1" s="1"/>
  <c r="BR11" i="1"/>
  <c r="CH11" i="1" s="1"/>
  <c r="BR5" i="1"/>
  <c r="BP23" i="1"/>
  <c r="CF23" i="1" s="1"/>
  <c r="BQ17" i="1"/>
  <c r="CG17" i="1" s="1"/>
  <c r="BH12" i="1"/>
  <c r="BX12" i="1" s="1"/>
  <c r="BS5" i="1"/>
  <c r="BI20" i="1"/>
  <c r="BY20" i="1" s="1"/>
  <c r="BJ22" i="1"/>
  <c r="BZ22" i="1" s="1"/>
  <c r="BQ16" i="1"/>
  <c r="CG16" i="1" s="1"/>
  <c r="BK11" i="1"/>
  <c r="CA11" i="1" s="1"/>
  <c r="BP16" i="1"/>
  <c r="CF16" i="1" s="1"/>
  <c r="BS11" i="1"/>
  <c r="CI11" i="1" s="1"/>
  <c r="BL6" i="1"/>
  <c r="CB6" i="1" s="1"/>
  <c r="BL19" i="1"/>
  <c r="CB19" i="1" s="1"/>
  <c r="BL16" i="1"/>
  <c r="CB16" i="1" s="1"/>
  <c r="BO9" i="1"/>
  <c r="CE9" i="1" s="1"/>
  <c r="BO14" i="1"/>
  <c r="CE14" i="1" s="1"/>
  <c r="BP13" i="1"/>
  <c r="CF13" i="1" s="1"/>
  <c r="BR6" i="1"/>
  <c r="CH6" i="1" s="1"/>
  <c r="BJ10" i="1"/>
  <c r="BZ10" i="1" s="1"/>
  <c r="BP22" i="1"/>
  <c r="CF22" i="1" s="1"/>
  <c r="BP17" i="1"/>
  <c r="CF17" i="1" s="1"/>
  <c r="BO21" i="1"/>
  <c r="CE21" i="1" s="1"/>
  <c r="BQ22" i="1"/>
  <c r="CG22" i="1" s="1"/>
  <c r="BI5" i="1"/>
  <c r="BR16" i="1"/>
  <c r="CH16" i="1" s="1"/>
  <c r="BI18" i="1"/>
  <c r="BY18" i="1" s="1"/>
  <c r="BL9" i="1"/>
  <c r="CB9" i="1" s="1"/>
  <c r="BH10" i="1"/>
  <c r="BX10" i="1" s="1"/>
  <c r="BI15" i="1"/>
  <c r="BY15" i="1" s="1"/>
  <c r="BH15" i="1"/>
  <c r="BX15" i="1" s="1"/>
  <c r="BP10" i="1"/>
  <c r="CF10" i="1" s="1"/>
  <c r="BS20" i="1"/>
  <c r="CI20" i="1" s="1"/>
  <c r="BK9" i="1"/>
  <c r="CA9" i="1" s="1"/>
  <c r="BQ9" i="1"/>
  <c r="CG9" i="1" s="1"/>
  <c r="BO13" i="1"/>
  <c r="CE13" i="1" s="1"/>
  <c r="BJ19" i="1"/>
  <c r="BZ19" i="1" s="1"/>
  <c r="BI17" i="1"/>
  <c r="BY17" i="1" s="1"/>
  <c r="BJ20" i="1"/>
  <c r="BZ20" i="1" s="1"/>
  <c r="BJ9" i="1"/>
  <c r="BZ9" i="1" s="1"/>
  <c r="BQ21" i="1"/>
  <c r="CG21" i="1" s="1"/>
  <c r="BH9" i="1"/>
  <c r="BX9" i="1" s="1"/>
  <c r="BR8" i="1"/>
  <c r="CH8" i="1" s="1"/>
  <c r="BI14" i="1"/>
  <c r="BY14" i="1" s="1"/>
  <c r="BR18" i="1"/>
  <c r="CH18" i="1" s="1"/>
  <c r="BH14" i="1"/>
  <c r="BX14" i="1" s="1"/>
  <c r="BO6" i="1"/>
  <c r="CE6" i="1" s="1"/>
  <c r="BJ15" i="1"/>
  <c r="BZ15" i="1" s="1"/>
  <c r="BM23" i="1"/>
  <c r="CC23" i="1" s="1"/>
  <c r="BQ12" i="1"/>
  <c r="CG12" i="1" s="1"/>
  <c r="AY22" i="1"/>
  <c r="BL22" i="1"/>
  <c r="CB22" i="1" s="1"/>
  <c r="BS16" i="1"/>
  <c r="CI16" i="1" s="1"/>
  <c r="BQ10" i="1"/>
  <c r="CG10" i="1" s="1"/>
  <c r="BJ5" i="1"/>
  <c r="BH16" i="1"/>
  <c r="BX16" i="1" s="1"/>
  <c r="BR21" i="1"/>
  <c r="CH21" i="1" s="1"/>
  <c r="BS15" i="1"/>
  <c r="CI15" i="1" s="1"/>
  <c r="BO10" i="1"/>
  <c r="CE10" i="1" s="1"/>
  <c r="BK23" i="1"/>
  <c r="CA23" i="1" s="1"/>
  <c r="BR15" i="1"/>
  <c r="CH15" i="1" s="1"/>
  <c r="BJ11" i="1"/>
  <c r="BZ11" i="1" s="1"/>
  <c r="BP5" i="1"/>
  <c r="BK17" i="1"/>
  <c r="CA17" i="1" s="1"/>
  <c r="BS14" i="1"/>
  <c r="CI14" i="1" s="1"/>
  <c r="BI9" i="1"/>
  <c r="BY9" i="1" s="1"/>
  <c r="BR10" i="1"/>
  <c r="CH10" i="1" s="1"/>
  <c r="BI6" i="1"/>
  <c r="BY6" i="1" s="1"/>
  <c r="BO11" i="1"/>
  <c r="CE11" i="1" s="1"/>
  <c r="BS18" i="1"/>
  <c r="CI18" i="1" s="1"/>
  <c r="BL13" i="1"/>
  <c r="CB13" i="1" s="1"/>
  <c r="BQ19" i="1"/>
  <c r="CG19" i="1" s="1"/>
  <c r="BL15" i="1"/>
  <c r="CB15" i="1" s="1"/>
  <c r="BH23" i="1"/>
  <c r="BX23" i="1" s="1"/>
  <c r="BH18" i="1"/>
  <c r="BX18" i="1" s="1"/>
  <c r="BL8" i="1"/>
  <c r="CB8" i="1" s="1"/>
  <c r="AP8" i="1"/>
  <c r="AI30" i="1"/>
  <c r="AP32" i="1"/>
  <c r="AP26" i="1"/>
  <c r="AP29" i="1"/>
  <c r="AP25" i="1"/>
  <c r="AP28" i="1"/>
  <c r="AP31" i="1"/>
  <c r="AP27" i="1"/>
  <c r="AP30" i="1"/>
  <c r="AP33" i="1"/>
  <c r="AI24" i="1"/>
  <c r="AI27" i="1"/>
  <c r="AI33" i="1"/>
  <c r="AP24" i="1"/>
  <c r="AI28" i="1"/>
  <c r="AI25" i="1"/>
  <c r="AI32" i="1"/>
  <c r="AI31" i="1"/>
  <c r="AI26" i="1"/>
  <c r="AI29" i="1"/>
  <c r="AP6" i="1"/>
  <c r="AP5" i="1"/>
  <c r="AI9" i="1"/>
  <c r="AP11" i="1"/>
  <c r="AI7" i="1"/>
  <c r="AI8" i="1"/>
  <c r="AI13" i="1"/>
  <c r="AI12" i="1"/>
  <c r="AI14" i="1"/>
  <c r="AI10" i="1"/>
  <c r="BE22" i="1"/>
  <c r="AA7" i="1"/>
  <c r="AA15" i="1"/>
  <c r="AA14" i="1"/>
  <c r="BE17" i="1"/>
  <c r="AQ9" i="1"/>
  <c r="AA12" i="1"/>
  <c r="BE18" i="1"/>
  <c r="AA13" i="1"/>
  <c r="AA10" i="1"/>
  <c r="BE16" i="1"/>
  <c r="AA23" i="1"/>
  <c r="AA8" i="1"/>
  <c r="AA21" i="1"/>
  <c r="AQ10" i="1"/>
  <c r="AA20" i="1"/>
  <c r="AA9" i="1"/>
  <c r="AY21" i="1"/>
  <c r="DR40" i="1"/>
  <c r="DA9" i="1"/>
  <c r="DR44" i="1" s="1"/>
  <c r="DA10" i="1"/>
  <c r="DR45" i="1" s="1"/>
  <c r="DA11" i="1"/>
  <c r="DR46" i="1" s="1"/>
  <c r="DA8" i="1"/>
  <c r="DR43" i="1" s="1"/>
  <c r="DA6" i="1"/>
  <c r="DR41" i="1" s="1"/>
  <c r="DA7" i="1"/>
  <c r="DR42" i="1" s="1"/>
  <c r="DQ40" i="1"/>
  <c r="CU11" i="1"/>
  <c r="CY46" i="1" s="1"/>
  <c r="DA53" i="1"/>
  <c r="DB53" i="1"/>
  <c r="BE9" i="1"/>
  <c r="BE10" i="1"/>
  <c r="BE21" i="1"/>
  <c r="BE20" i="1"/>
  <c r="AQ19" i="1"/>
  <c r="AJ23" i="1"/>
  <c r="AQ18" i="1"/>
  <c r="AJ21" i="1"/>
  <c r="AQ16" i="1"/>
  <c r="AJ22" i="1"/>
  <c r="AQ21" i="1"/>
  <c r="AQ20" i="1"/>
  <c r="CZ13" i="1"/>
  <c r="DQ48" i="1" s="1"/>
  <c r="AQ22" i="1"/>
  <c r="AY18" i="1" l="1"/>
  <c r="AJ19" i="1"/>
  <c r="AY11" i="1"/>
  <c r="AQ14" i="1"/>
  <c r="BE7" i="1"/>
  <c r="AY6" i="1"/>
  <c r="AY16" i="1"/>
  <c r="AJ15" i="1"/>
  <c r="BE12" i="1"/>
  <c r="AJ17" i="1"/>
  <c r="BE15" i="1"/>
  <c r="AA34" i="1"/>
  <c r="AP34" i="1"/>
  <c r="CS17" i="1" s="1"/>
  <c r="DC17" i="1" s="1"/>
  <c r="DT52" i="1" s="1"/>
  <c r="CA5" i="1"/>
  <c r="CA34" i="1" s="1"/>
  <c r="BK34" i="1"/>
  <c r="CT8" i="1" s="1"/>
  <c r="DD8" i="1" s="1"/>
  <c r="AI34" i="1"/>
  <c r="CS10" i="1" s="1"/>
  <c r="DC10" i="1" s="1"/>
  <c r="DT45" i="1" s="1"/>
  <c r="BY5" i="1"/>
  <c r="BY34" i="1" s="1"/>
  <c r="BI34" i="1"/>
  <c r="CT6" i="1" s="1"/>
  <c r="CU6" i="1" s="1"/>
  <c r="CY41" i="1" s="1"/>
  <c r="EH41" i="1" s="1"/>
  <c r="CH5" i="1"/>
  <c r="BR34" i="1"/>
  <c r="CT15" i="1" s="1"/>
  <c r="DD15" i="1" s="1"/>
  <c r="CF5" i="1"/>
  <c r="CF34" i="1" s="1"/>
  <c r="BP34" i="1"/>
  <c r="CT13" i="1" s="1"/>
  <c r="BZ5" i="1"/>
  <c r="BJ34" i="1"/>
  <c r="BX5" i="1"/>
  <c r="BX34" i="1" s="1"/>
  <c r="BH34" i="1"/>
  <c r="CT5" i="1" s="1"/>
  <c r="CU5" i="1" s="1"/>
  <c r="CY40" i="1" s="1"/>
  <c r="CB5" i="1"/>
  <c r="BL34" i="1"/>
  <c r="CT9" i="1" s="1"/>
  <c r="DD9" i="1" s="1"/>
  <c r="DU44" i="1" s="1"/>
  <c r="AJ20" i="1"/>
  <c r="CI5" i="1"/>
  <c r="CI34" i="1" s="1"/>
  <c r="BS34" i="1"/>
  <c r="CT16" i="1" s="1"/>
  <c r="DD16" i="1" s="1"/>
  <c r="DU51" i="1" s="1"/>
  <c r="CE5" i="1"/>
  <c r="CE34" i="1" s="1"/>
  <c r="BO34" i="1"/>
  <c r="CT12" i="1" s="1"/>
  <c r="CG5" i="1"/>
  <c r="CG34" i="1" s="1"/>
  <c r="BQ34" i="1"/>
  <c r="CT14" i="1" s="1"/>
  <c r="BE23" i="1"/>
  <c r="AY5" i="1"/>
  <c r="AJ5" i="1"/>
  <c r="DS40" i="1"/>
  <c r="BM17" i="1"/>
  <c r="CC17" i="1" s="1"/>
  <c r="AQ32" i="1"/>
  <c r="BE32" i="1"/>
  <c r="BM6" i="1"/>
  <c r="CC6" i="1" s="1"/>
  <c r="BT17" i="1"/>
  <c r="CJ17" i="1" s="1"/>
  <c r="AQ33" i="1"/>
  <c r="BE33" i="1"/>
  <c r="AY9" i="1"/>
  <c r="AJ9" i="1"/>
  <c r="AY25" i="1"/>
  <c r="AJ25" i="1"/>
  <c r="AQ27" i="1"/>
  <c r="BE27" i="1"/>
  <c r="BE8" i="1"/>
  <c r="AQ8" i="1"/>
  <c r="BM22" i="1"/>
  <c r="CC22" i="1" s="1"/>
  <c r="AJ24" i="1"/>
  <c r="AY24" i="1"/>
  <c r="BT18" i="1"/>
  <c r="CJ18" i="1" s="1"/>
  <c r="BT22" i="1"/>
  <c r="CJ22" i="1" s="1"/>
  <c r="AJ10" i="1"/>
  <c r="AY10" i="1"/>
  <c r="AJ28" i="1"/>
  <c r="AY28" i="1"/>
  <c r="AQ31" i="1"/>
  <c r="BE31" i="1"/>
  <c r="AY26" i="1"/>
  <c r="AJ26" i="1"/>
  <c r="AJ31" i="1"/>
  <c r="AY31" i="1"/>
  <c r="BM16" i="1"/>
  <c r="CC16" i="1" s="1"/>
  <c r="BT9" i="1"/>
  <c r="CJ9" i="1" s="1"/>
  <c r="BE11" i="1"/>
  <c r="AQ11" i="1"/>
  <c r="AQ30" i="1"/>
  <c r="BE30" i="1"/>
  <c r="BM11" i="1"/>
  <c r="CC11" i="1" s="1"/>
  <c r="BT20" i="1"/>
  <c r="CJ20" i="1" s="1"/>
  <c r="BT14" i="1"/>
  <c r="CJ14" i="1" s="1"/>
  <c r="AJ14" i="1"/>
  <c r="AY14" i="1"/>
  <c r="AQ5" i="1"/>
  <c r="BE5" i="1"/>
  <c r="BE24" i="1"/>
  <c r="AQ24" i="1"/>
  <c r="BE28" i="1"/>
  <c r="AQ28" i="1"/>
  <c r="BT7" i="1"/>
  <c r="CJ7" i="1" s="1"/>
  <c r="AY8" i="1"/>
  <c r="AJ8" i="1"/>
  <c r="BT23" i="1"/>
  <c r="CJ23" i="1" s="1"/>
  <c r="BT21" i="1"/>
  <c r="CJ21" i="1" s="1"/>
  <c r="BT19" i="1"/>
  <c r="CJ19" i="1" s="1"/>
  <c r="BM18" i="1"/>
  <c r="CC18" i="1" s="1"/>
  <c r="AJ12" i="1"/>
  <c r="AY12" i="1"/>
  <c r="BE6" i="1"/>
  <c r="AQ6" i="1"/>
  <c r="AJ33" i="1"/>
  <c r="AY33" i="1"/>
  <c r="AQ25" i="1"/>
  <c r="BE25" i="1"/>
  <c r="AQ26" i="1"/>
  <c r="BE26" i="1"/>
  <c r="CT7" i="1"/>
  <c r="DD7" i="1" s="1"/>
  <c r="BT10" i="1"/>
  <c r="CJ10" i="1" s="1"/>
  <c r="AY7" i="1"/>
  <c r="AJ7" i="1"/>
  <c r="AJ32" i="1"/>
  <c r="AY32" i="1"/>
  <c r="AJ30" i="1"/>
  <c r="AY30" i="1"/>
  <c r="BT12" i="1"/>
  <c r="CJ12" i="1" s="1"/>
  <c r="BM21" i="1"/>
  <c r="CC21" i="1" s="1"/>
  <c r="BT16" i="1"/>
  <c r="CJ16" i="1" s="1"/>
  <c r="BT15" i="1"/>
  <c r="CJ15" i="1" s="1"/>
  <c r="AY13" i="1"/>
  <c r="AJ13" i="1"/>
  <c r="AJ29" i="1"/>
  <c r="AY29" i="1"/>
  <c r="AJ27" i="1"/>
  <c r="AY27" i="1"/>
  <c r="AQ29" i="1"/>
  <c r="BE29" i="1"/>
  <c r="CH9" i="1"/>
  <c r="BZ6" i="1"/>
  <c r="CB10" i="1"/>
  <c r="CZ6" i="1"/>
  <c r="DQ41" i="1" s="1"/>
  <c r="EH46" i="1"/>
  <c r="DA46" i="1"/>
  <c r="DB46" i="1"/>
  <c r="CZ14" i="1"/>
  <c r="DQ49" i="1" s="1"/>
  <c r="BE34" i="1" l="1"/>
  <c r="AQ34" i="1"/>
  <c r="CB34" i="1"/>
  <c r="CH34" i="1"/>
  <c r="BM5" i="1"/>
  <c r="AY34" i="1"/>
  <c r="BZ34" i="1"/>
  <c r="AJ34" i="1"/>
  <c r="CU16" i="1"/>
  <c r="CY51" i="1" s="1"/>
  <c r="EH51" i="1" s="1"/>
  <c r="DD5" i="1"/>
  <c r="DE5" i="1" s="1"/>
  <c r="DV40" i="1" s="1"/>
  <c r="DX40" i="1" s="1"/>
  <c r="EH40" i="1"/>
  <c r="CU9" i="1"/>
  <c r="CY44" i="1" s="1"/>
  <c r="EH44" i="1" s="1"/>
  <c r="BT32" i="1"/>
  <c r="CJ32" i="1" s="1"/>
  <c r="BM7" i="1"/>
  <c r="CC7" i="1" s="1"/>
  <c r="BM8" i="1"/>
  <c r="CC8" i="1" s="1"/>
  <c r="BT27" i="1"/>
  <c r="CJ27" i="1" s="1"/>
  <c r="BT33" i="1"/>
  <c r="CJ33" i="1" s="1"/>
  <c r="BM29" i="1"/>
  <c r="CC29" i="1" s="1"/>
  <c r="BT8" i="1"/>
  <c r="CJ8" i="1" s="1"/>
  <c r="BM33" i="1"/>
  <c r="CC33" i="1" s="1"/>
  <c r="BT24" i="1"/>
  <c r="CJ24" i="1" s="1"/>
  <c r="BT11" i="1"/>
  <c r="CJ11" i="1" s="1"/>
  <c r="BM26" i="1"/>
  <c r="CC26" i="1" s="1"/>
  <c r="BM24" i="1"/>
  <c r="CC24" i="1" s="1"/>
  <c r="BT28" i="1"/>
  <c r="CJ28" i="1" s="1"/>
  <c r="BM13" i="1"/>
  <c r="CC13" i="1" s="1"/>
  <c r="BT5" i="1"/>
  <c r="BM10" i="1"/>
  <c r="CC10" i="1" s="1"/>
  <c r="BM31" i="1"/>
  <c r="CC31" i="1" s="1"/>
  <c r="BT29" i="1"/>
  <c r="CJ29" i="1" s="1"/>
  <c r="BM30" i="1"/>
  <c r="CC30" i="1" s="1"/>
  <c r="BT31" i="1"/>
  <c r="CJ31" i="1" s="1"/>
  <c r="BM25" i="1"/>
  <c r="CC25" i="1" s="1"/>
  <c r="BT26" i="1"/>
  <c r="CJ26" i="1" s="1"/>
  <c r="BT6" i="1"/>
  <c r="CJ6" i="1" s="1"/>
  <c r="BM14" i="1"/>
  <c r="CC14" i="1" s="1"/>
  <c r="BT30" i="1"/>
  <c r="CJ30" i="1" s="1"/>
  <c r="BT25" i="1"/>
  <c r="CJ25" i="1" s="1"/>
  <c r="BM27" i="1"/>
  <c r="CC27" i="1" s="1"/>
  <c r="BM32" i="1"/>
  <c r="CC32" i="1" s="1"/>
  <c r="BM12" i="1"/>
  <c r="CC12" i="1" s="1"/>
  <c r="BM28" i="1"/>
  <c r="CC28" i="1" s="1"/>
  <c r="BM9" i="1"/>
  <c r="CC9" i="1" s="1"/>
  <c r="CZ7" i="1"/>
  <c r="DQ42" i="1" s="1"/>
  <c r="DA41" i="1"/>
  <c r="DB41" i="1"/>
  <c r="DU43" i="1"/>
  <c r="DU50" i="1"/>
  <c r="DU42" i="1"/>
  <c r="CU7" i="1"/>
  <c r="CY42" i="1" s="1"/>
  <c r="EH42" i="1" s="1"/>
  <c r="CU15" i="1"/>
  <c r="CY50" i="1" s="1"/>
  <c r="EH50" i="1" s="1"/>
  <c r="CU8" i="1"/>
  <c r="CY43" i="1" s="1"/>
  <c r="EH43" i="1" s="1"/>
  <c r="DD14" i="1"/>
  <c r="CU14" i="1"/>
  <c r="CY49" i="1" s="1"/>
  <c r="EH49" i="1" s="1"/>
  <c r="DD6" i="1"/>
  <c r="DD12" i="1"/>
  <c r="CU12" i="1"/>
  <c r="CY47" i="1" s="1"/>
  <c r="EH47" i="1" s="1"/>
  <c r="DD13" i="1"/>
  <c r="CU13" i="1"/>
  <c r="CY48" i="1" s="1"/>
  <c r="EH48" i="1" s="1"/>
  <c r="CZ15" i="1"/>
  <c r="DQ50" i="1" s="1"/>
  <c r="DB51" i="1" l="1"/>
  <c r="CJ5" i="1"/>
  <c r="CJ34" i="1" s="1"/>
  <c r="BT34" i="1"/>
  <c r="CT17" i="1" s="1"/>
  <c r="CC5" i="1"/>
  <c r="CC34" i="1" s="1"/>
  <c r="BM34" i="1"/>
  <c r="CT10" i="1" s="1"/>
  <c r="DU40" i="1"/>
  <c r="EC40" i="1" s="1"/>
  <c r="DA51" i="1"/>
  <c r="DA44" i="1"/>
  <c r="DB44" i="1"/>
  <c r="DE7" i="1"/>
  <c r="DV42" i="1" s="1"/>
  <c r="EA42" i="1" s="1"/>
  <c r="CZ8" i="1"/>
  <c r="DQ43" i="1" s="1"/>
  <c r="DE15" i="1"/>
  <c r="DV50" i="1" s="1"/>
  <c r="DZ50" i="1" s="1"/>
  <c r="ED40" i="1"/>
  <c r="DY40" i="1"/>
  <c r="DZ40" i="1"/>
  <c r="EA40" i="1"/>
  <c r="EB40" i="1"/>
  <c r="DA50" i="1"/>
  <c r="DB50" i="1"/>
  <c r="DA47" i="1"/>
  <c r="DB47" i="1"/>
  <c r="DA48" i="1"/>
  <c r="DB48" i="1"/>
  <c r="DA42" i="1"/>
  <c r="DB42" i="1"/>
  <c r="DA49" i="1"/>
  <c r="DB49" i="1"/>
  <c r="DA43" i="1"/>
  <c r="DB43" i="1"/>
  <c r="DA40" i="1"/>
  <c r="DB40" i="1"/>
  <c r="DE14" i="1"/>
  <c r="DV49" i="1" s="1"/>
  <c r="DU49" i="1"/>
  <c r="DE13" i="1"/>
  <c r="DV48" i="1" s="1"/>
  <c r="DU48" i="1"/>
  <c r="DE12" i="1"/>
  <c r="DV47" i="1" s="1"/>
  <c r="DU47" i="1"/>
  <c r="DE6" i="1"/>
  <c r="DV41" i="1" s="1"/>
  <c r="DU41" i="1"/>
  <c r="CZ16" i="1"/>
  <c r="DX42" i="1" l="1"/>
  <c r="DY42" i="1"/>
  <c r="DE8" i="1"/>
  <c r="DV43" i="1" s="1"/>
  <c r="DZ43" i="1" s="1"/>
  <c r="DZ42" i="1"/>
  <c r="DD10" i="1"/>
  <c r="DU45" i="1" s="1"/>
  <c r="CU10" i="1"/>
  <c r="CY45" i="1" s="1"/>
  <c r="CZ9" i="1"/>
  <c r="DQ44" i="1" s="1"/>
  <c r="ED42" i="1"/>
  <c r="DD17" i="1"/>
  <c r="DU52" i="1" s="1"/>
  <c r="CU17" i="1"/>
  <c r="CY52" i="1" s="1"/>
  <c r="EB42" i="1"/>
  <c r="EC42" i="1"/>
  <c r="DX50" i="1"/>
  <c r="ED50" i="1"/>
  <c r="EA50" i="1"/>
  <c r="EB50" i="1"/>
  <c r="EC50" i="1"/>
  <c r="DY50" i="1"/>
  <c r="DQ51" i="1"/>
  <c r="DE16" i="1"/>
  <c r="DV51" i="1" s="1"/>
  <c r="EC41" i="1"/>
  <c r="DY41" i="1"/>
  <c r="EA41" i="1"/>
  <c r="DZ41" i="1"/>
  <c r="EB41" i="1"/>
  <c r="ED41" i="1"/>
  <c r="DX41" i="1"/>
  <c r="EC49" i="1"/>
  <c r="EC47" i="1"/>
  <c r="EC48" i="1"/>
  <c r="DZ49" i="1"/>
  <c r="EA49" i="1"/>
  <c r="EB49" i="1"/>
  <c r="DY49" i="1"/>
  <c r="ED49" i="1"/>
  <c r="DX49" i="1"/>
  <c r="DY48" i="1"/>
  <c r="DZ48" i="1"/>
  <c r="EA48" i="1"/>
  <c r="EB48" i="1"/>
  <c r="ED48" i="1"/>
  <c r="DX48" i="1"/>
  <c r="DY47" i="1"/>
  <c r="DZ47" i="1"/>
  <c r="EA47" i="1"/>
  <c r="EB47" i="1"/>
  <c r="ED47" i="1"/>
  <c r="DX47" i="1"/>
  <c r="CZ17" i="1"/>
  <c r="CZ10" i="1" l="1"/>
  <c r="CZ11" i="1" s="1"/>
  <c r="DE9" i="1"/>
  <c r="DV44" i="1" s="1"/>
  <c r="DZ44" i="1" s="1"/>
  <c r="EA43" i="1"/>
  <c r="EB43" i="1"/>
  <c r="DY43" i="1"/>
  <c r="ED43" i="1"/>
  <c r="EC43" i="1"/>
  <c r="DX43" i="1"/>
  <c r="EH45" i="1"/>
  <c r="DB45" i="1"/>
  <c r="DA45" i="1"/>
  <c r="EH52" i="1"/>
  <c r="DA52" i="1"/>
  <c r="DB52" i="1"/>
  <c r="DY51" i="1"/>
  <c r="DE10" i="1"/>
  <c r="DV45" i="1" s="1"/>
  <c r="DQ52" i="1"/>
  <c r="DE17" i="1"/>
  <c r="DV52" i="1" s="1"/>
  <c r="EB51" i="1"/>
  <c r="EA51" i="1"/>
  <c r="ED51" i="1"/>
  <c r="EC51" i="1"/>
  <c r="DZ51" i="1"/>
  <c r="DX51" i="1"/>
  <c r="CZ18" i="1"/>
  <c r="DQ45" i="1" l="1"/>
  <c r="DY45" i="1" s="1"/>
  <c r="DY44" i="1"/>
  <c r="ED44" i="1"/>
  <c r="DX44" i="1"/>
  <c r="EA44" i="1"/>
  <c r="EB44" i="1"/>
  <c r="EC44" i="1"/>
  <c r="DZ45" i="1"/>
  <c r="EA45" i="1"/>
  <c r="EB45" i="1"/>
  <c r="DX45" i="1"/>
  <c r="ED45" i="1"/>
  <c r="EC45" i="1"/>
  <c r="DQ46" i="1"/>
  <c r="DE11" i="1"/>
  <c r="DV46" i="1" s="1"/>
  <c r="EC52" i="1"/>
  <c r="EB52" i="1"/>
  <c r="ED52" i="1"/>
  <c r="DZ52" i="1"/>
  <c r="EA52" i="1"/>
  <c r="DX52" i="1"/>
  <c r="DQ53" i="1"/>
  <c r="DE18" i="1"/>
  <c r="DV53" i="1" s="1"/>
  <c r="DY52" i="1"/>
  <c r="DY53" i="1" l="1"/>
  <c r="DY46" i="1"/>
  <c r="ED46" i="1"/>
  <c r="DZ46" i="1"/>
  <c r="EA46" i="1"/>
  <c r="EB46" i="1"/>
  <c r="EC46" i="1"/>
  <c r="DX46" i="1"/>
  <c r="DZ53" i="1"/>
  <c r="EC53" i="1"/>
  <c r="EA53" i="1"/>
  <c r="EB53" i="1"/>
  <c r="ED53" i="1"/>
  <c r="DX53" i="1"/>
</calcChain>
</file>

<file path=xl/sharedStrings.xml><?xml version="1.0" encoding="utf-8"?>
<sst xmlns="http://schemas.openxmlformats.org/spreadsheetml/2006/main" count="394" uniqueCount="153">
  <si>
    <t>Year</t>
  </si>
  <si>
    <t>Infrastructure Costs</t>
  </si>
  <si>
    <t>Commodity Costs</t>
  </si>
  <si>
    <t>Environmental Compliance Costs</t>
  </si>
  <si>
    <r>
      <t>Supply ($/Dth/</t>
    </r>
    <r>
      <rPr>
        <b/>
        <sz val="11"/>
        <color rgb="FFFF0000"/>
        <rFont val="Calibri"/>
        <family val="2"/>
        <scheme val="minor"/>
      </rPr>
      <t>Day</t>
    </r>
    <r>
      <rPr>
        <b/>
        <sz val="11"/>
        <color theme="1"/>
        <rFont val="Calibri"/>
        <family val="2"/>
        <scheme val="minor"/>
      </rPr>
      <t>)</t>
    </r>
  </si>
  <si>
    <r>
      <t>Washington Distribution ($/Dth/</t>
    </r>
    <r>
      <rPr>
        <b/>
        <sz val="11"/>
        <color rgb="FFFF0000"/>
        <rFont val="Calibri"/>
        <family val="2"/>
        <scheme val="minor"/>
      </rPr>
      <t>Hour</t>
    </r>
    <r>
      <rPr>
        <b/>
        <sz val="11"/>
        <color theme="1"/>
        <rFont val="Calibri"/>
        <family val="2"/>
        <scheme val="minor"/>
      </rPr>
      <t>)</t>
    </r>
  </si>
  <si>
    <r>
      <t>Oregon Distribution ($/Dth/</t>
    </r>
    <r>
      <rPr>
        <b/>
        <sz val="11"/>
        <color rgb="FFFF0000"/>
        <rFont val="Calibri"/>
        <family val="2"/>
        <scheme val="minor"/>
      </rPr>
      <t>Hour</t>
    </r>
    <r>
      <rPr>
        <b/>
        <sz val="11"/>
        <color theme="1"/>
        <rFont val="Calibri"/>
        <family val="2"/>
        <scheme val="minor"/>
      </rPr>
      <t>)</t>
    </r>
  </si>
  <si>
    <t>Gas and Transport Costs ($/Dth)</t>
  </si>
  <si>
    <t xml:space="preserve">Residential Space Heating </t>
  </si>
  <si>
    <t>Residential Hearths and Fireplaces</t>
  </si>
  <si>
    <t>Commercial Space Heating</t>
  </si>
  <si>
    <t>Water Heating</t>
  </si>
  <si>
    <t>Cooking</t>
  </si>
  <si>
    <t>Process Load</t>
  </si>
  <si>
    <t>On-System Gas Supply</t>
  </si>
  <si>
    <t>On-system Gas Supply</t>
  </si>
  <si>
    <t>Natural Gas Commodity and Transport Costs</t>
  </si>
  <si>
    <t>Greenhouse Gas Compliance Costs</t>
  </si>
  <si>
    <t>Supply Capacity Costs Avoided</t>
  </si>
  <si>
    <t>Distribution System Resources</t>
  </si>
  <si>
    <t>10% Conservation Credit</t>
  </si>
  <si>
    <t xml:space="preserve">Total Avoided Costs </t>
  </si>
  <si>
    <t>Natural Gas and Transport Costs</t>
  </si>
  <si>
    <t>Supply System Costs</t>
  </si>
  <si>
    <t>Distribution System Costs</t>
  </si>
  <si>
    <t>Oregon</t>
  </si>
  <si>
    <t>Interruptible Loads</t>
  </si>
  <si>
    <t>X</t>
  </si>
  <si>
    <t>Washington</t>
  </si>
  <si>
    <t>Levelized</t>
  </si>
  <si>
    <t>Oregon Discount Rate</t>
  </si>
  <si>
    <t>Washington Discount Rate</t>
  </si>
  <si>
    <t>System Discount Rate</t>
  </si>
  <si>
    <r>
      <t xml:space="preserve">Peak </t>
    </r>
    <r>
      <rPr>
        <b/>
        <sz val="11"/>
        <color rgb="FFFF0000"/>
        <rFont val="Calibri"/>
        <family val="2"/>
        <scheme val="minor"/>
      </rPr>
      <t>DAY</t>
    </r>
    <r>
      <rPr>
        <b/>
        <sz val="11"/>
        <color theme="1"/>
        <rFont val="Calibri"/>
        <family val="2"/>
        <scheme val="minor"/>
      </rPr>
      <t xml:space="preserve"> Usage to Normal Weather Annual Usage Factors for </t>
    </r>
    <r>
      <rPr>
        <b/>
        <sz val="11"/>
        <color rgb="FFFF0000"/>
        <rFont val="Calibri"/>
        <family val="2"/>
        <scheme val="minor"/>
      </rPr>
      <t>SUPPLY</t>
    </r>
    <r>
      <rPr>
        <b/>
        <sz val="11"/>
        <color theme="1"/>
        <rFont val="Calibri"/>
        <family val="2"/>
        <scheme val="minor"/>
      </rPr>
      <t xml:space="preserve"> Costs</t>
    </r>
  </si>
  <si>
    <t>Multiply by Number of Days in Year (365.25)</t>
  </si>
  <si>
    <t>Residential Space Heating (Including Hearths and Fireplaces)</t>
  </si>
  <si>
    <r>
      <t xml:space="preserve">Peak </t>
    </r>
    <r>
      <rPr>
        <b/>
        <sz val="11"/>
        <color rgb="FFFF0000"/>
        <rFont val="Calibri"/>
        <family val="2"/>
        <scheme val="minor"/>
      </rPr>
      <t>HOUR</t>
    </r>
    <r>
      <rPr>
        <b/>
        <sz val="11"/>
        <color theme="1"/>
        <rFont val="Calibri"/>
        <family val="2"/>
        <scheme val="minor"/>
      </rPr>
      <t xml:space="preserve"> Usage to Normal Weather Annual Usage Factors for </t>
    </r>
    <r>
      <rPr>
        <b/>
        <sz val="11"/>
        <color rgb="FFFF0000"/>
        <rFont val="Calibri"/>
        <family val="2"/>
        <scheme val="minor"/>
      </rPr>
      <t>DISTRIBUTION</t>
    </r>
    <r>
      <rPr>
        <b/>
        <sz val="11"/>
        <color theme="1"/>
        <rFont val="Calibri"/>
        <family val="2"/>
        <scheme val="minor"/>
      </rPr>
      <t xml:space="preserve"> System Costs</t>
    </r>
  </si>
  <si>
    <t>Multiply by Number of Hours in Year (8766)</t>
  </si>
  <si>
    <t>Residential Space Heating</t>
  </si>
  <si>
    <t>Hearths and Fireplaces</t>
  </si>
  <si>
    <t>Oregon Carbon Policy Scenarios ($/Dth)</t>
  </si>
  <si>
    <t>Base Case</t>
  </si>
  <si>
    <t>Calendar 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</si>
  <si>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</si>
  <si>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</si>
  <si>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</si>
  <si>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</si>
  <si>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</si>
  <si>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</si>
  <si>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</si>
  <si>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</si>
  <si>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</si>
  <si>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</si>
  <si>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</si>
  <si>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</si>
  <si>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</si>
  <si>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Monthly Commodity and Transport Avoided Costs Monthly Cost Index</t>
  </si>
  <si>
    <t>Monthly Shares of Usage by End Use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</si>
  <si>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</si>
  <si>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</si>
  <si>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</si>
  <si>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</si>
  <si>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</si>
  <si>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</si>
  <si>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</si>
  <si>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</si>
  <si>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</si>
  <si>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</si>
  <si>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</si>
  <si>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</si>
  <si>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Space Heating</t>
  </si>
  <si>
    <t>Process</t>
  </si>
  <si>
    <t xml:space="preserve">Space Heating </t>
  </si>
  <si>
    <t>Levelized-Washington</t>
  </si>
  <si>
    <t>Levelized-System</t>
  </si>
  <si>
    <t>Interruptible Load</t>
  </si>
  <si>
    <t>Risk Reduction (Hedge) Value</t>
  </si>
  <si>
    <t>Washington Carbon Price: Social Cost of Carbon</t>
  </si>
  <si>
    <t>Capacity Costs</t>
  </si>
  <si>
    <t>Hedge Value ($/Dth)</t>
  </si>
  <si>
    <r>
      <t>System Distribution ($/Dth/</t>
    </r>
    <r>
      <rPr>
        <b/>
        <sz val="11"/>
        <color rgb="FFFF0000"/>
        <rFont val="Calibri"/>
        <family val="2"/>
        <scheme val="minor"/>
      </rPr>
      <t>Hour</t>
    </r>
    <r>
      <rPr>
        <b/>
        <sz val="11"/>
        <color theme="1"/>
        <rFont val="Calibri"/>
        <family val="2"/>
        <scheme val="minor"/>
      </rPr>
      <t>)</t>
    </r>
  </si>
  <si>
    <t>Inflation</t>
  </si>
  <si>
    <t>Resrouces Assumed for Avoided Costs Before IRP analysis</t>
  </si>
  <si>
    <t>Commodity Risk Reduction Cost       (Hedge Value)</t>
  </si>
  <si>
    <t>% Change</t>
  </si>
  <si>
    <t>2020 IRP</t>
  </si>
  <si>
    <t>2018 IRP</t>
  </si>
  <si>
    <t>Commodity Risk Reduction Cost</t>
  </si>
  <si>
    <t>Distribution System Capacity</t>
  </si>
  <si>
    <t xml:space="preserve"> Commodity and Transport</t>
  </si>
  <si>
    <t>Greenhouse Gas Compliance</t>
  </si>
  <si>
    <t>Supply Capacity</t>
  </si>
  <si>
    <t>2016 IRP</t>
  </si>
  <si>
    <t>2014 IRP</t>
  </si>
  <si>
    <t>Combustion</t>
  </si>
  <si>
    <t>Production/Extraction</t>
  </si>
  <si>
    <t>Processing</t>
  </si>
  <si>
    <t>Transmission&amp; Storage</t>
  </si>
  <si>
    <t>Total</t>
  </si>
  <si>
    <t>NW Natural System (Distribution &amp; Storage)</t>
  </si>
  <si>
    <t>Total Change</t>
  </si>
  <si>
    <t>Other</t>
  </si>
  <si>
    <t>30 Year Levelized Avoided Costs</t>
  </si>
  <si>
    <t xml:space="preserve">Nominal </t>
  </si>
  <si>
    <t>2022 IRP</t>
  </si>
  <si>
    <t>2018 IRP Update (2019$)</t>
  </si>
  <si>
    <t>Change (2020$)</t>
  </si>
  <si>
    <t>2018 IRP Update</t>
  </si>
  <si>
    <t>Real Commondity and Transport Costs Avoided (2021$)</t>
  </si>
  <si>
    <t>Real (2021$)</t>
  </si>
  <si>
    <t>WA Total</t>
  </si>
  <si>
    <t>OR</t>
  </si>
  <si>
    <t>Price Deflator (2021 Base Year)</t>
  </si>
  <si>
    <t>Total 2018 IRP Update Avoided Costs (2021$)</t>
  </si>
  <si>
    <t>Total Levelized Avoided Costs to 2050 (2021$)</t>
  </si>
  <si>
    <t>2018 IRP Update 20 Year Levelized Avoided Costs (2021$)</t>
  </si>
  <si>
    <t>Change in 20 Year Levelized Avoided Costs: 2022 IRP vs 2018 IRP Update (2021$)</t>
  </si>
  <si>
    <t>Change in 20 Year Levelized Avoided Costs: 2020 vs 2018 IRP (2021$)</t>
  </si>
  <si>
    <t>Total 20-Year Levelized Avoided Costs (2021$)</t>
  </si>
  <si>
    <t>Avoided Commodity and Transport Costs by End Use (2021$)</t>
  </si>
  <si>
    <t>Price Deflator for 2020 (2021 Base Year)</t>
  </si>
  <si>
    <r>
      <t xml:space="preserve">Oregon </t>
    </r>
    <r>
      <rPr>
        <b/>
        <sz val="11"/>
        <color theme="1"/>
        <rFont val="Calibri"/>
        <family val="2"/>
        <scheme val="minor"/>
      </rPr>
      <t>Supply</t>
    </r>
    <r>
      <rPr>
        <sz val="11"/>
        <color theme="1"/>
        <rFont val="Calibri"/>
        <family val="2"/>
        <scheme val="minor"/>
      </rPr>
      <t xml:space="preserve"> Capacity Costs Avoided by End Use (2021$)</t>
    </r>
  </si>
  <si>
    <r>
      <t xml:space="preserve">Washington </t>
    </r>
    <r>
      <rPr>
        <b/>
        <sz val="11"/>
        <color theme="1"/>
        <rFont val="Calibri"/>
        <family val="2"/>
        <scheme val="minor"/>
      </rPr>
      <t>Supply</t>
    </r>
    <r>
      <rPr>
        <sz val="11"/>
        <color theme="1"/>
        <rFont val="Calibri"/>
        <family val="2"/>
        <scheme val="minor"/>
      </rPr>
      <t xml:space="preserve"> Capacity Costs Avoided by End Use (2021$)</t>
    </r>
  </si>
  <si>
    <r>
      <t xml:space="preserve">Oregon End Use </t>
    </r>
    <r>
      <rPr>
        <b/>
        <sz val="11"/>
        <color theme="1"/>
        <rFont val="Calibri"/>
        <family val="2"/>
        <scheme val="minor"/>
      </rPr>
      <t>Distribution System</t>
    </r>
    <r>
      <rPr>
        <sz val="11"/>
        <color theme="1"/>
        <rFont val="Calibri"/>
        <family val="2"/>
        <scheme val="minor"/>
      </rPr>
      <t xml:space="preserve"> Capacity Costs Avoided (2021$)</t>
    </r>
  </si>
  <si>
    <r>
      <t xml:space="preserve">Washington </t>
    </r>
    <r>
      <rPr>
        <b/>
        <sz val="11"/>
        <color theme="1"/>
        <rFont val="Calibri"/>
        <family val="2"/>
        <scheme val="minor"/>
      </rPr>
      <t>Distirbution System</t>
    </r>
    <r>
      <rPr>
        <sz val="11"/>
        <color theme="1"/>
        <rFont val="Calibri"/>
        <family val="2"/>
        <scheme val="minor"/>
      </rPr>
      <t xml:space="preserve"> Capacity Costs Avoided by End Use (2021$)</t>
    </r>
  </si>
  <si>
    <r>
      <t xml:space="preserve">Oregon </t>
    </r>
    <r>
      <rPr>
        <b/>
        <sz val="11"/>
        <color theme="1"/>
        <rFont val="Calibri"/>
        <family val="2"/>
        <scheme val="minor"/>
      </rPr>
      <t>Total Capacity Costs</t>
    </r>
    <r>
      <rPr>
        <sz val="11"/>
        <color theme="1"/>
        <rFont val="Calibri"/>
        <family val="2"/>
        <scheme val="minor"/>
      </rPr>
      <t xml:space="preserve"> Avoided by End Use (2021$)</t>
    </r>
  </si>
  <si>
    <r>
      <t xml:space="preserve">Washington </t>
    </r>
    <r>
      <rPr>
        <b/>
        <sz val="11"/>
        <color theme="1"/>
        <rFont val="Calibri"/>
        <family val="2"/>
        <scheme val="minor"/>
      </rPr>
      <t>Total Capacity Costs</t>
    </r>
    <r>
      <rPr>
        <sz val="11"/>
        <color theme="1"/>
        <rFont val="Calibri"/>
        <family val="2"/>
        <scheme val="minor"/>
      </rPr>
      <t xml:space="preserve"> Avoided by End Use (2021$)</t>
    </r>
  </si>
  <si>
    <r>
      <t xml:space="preserve">Oregon </t>
    </r>
    <r>
      <rPr>
        <b/>
        <sz val="11"/>
        <color theme="1"/>
        <rFont val="Calibri"/>
        <family val="2"/>
        <scheme val="minor"/>
      </rPr>
      <t xml:space="preserve">10% Conservation Credit </t>
    </r>
    <r>
      <rPr>
        <sz val="11"/>
        <color theme="1"/>
        <rFont val="Calibri"/>
        <family val="2"/>
        <scheme val="minor"/>
      </rPr>
      <t>by End Use (2021$)</t>
    </r>
  </si>
  <si>
    <r>
      <t xml:space="preserve">Washington </t>
    </r>
    <r>
      <rPr>
        <b/>
        <sz val="11"/>
        <color theme="1"/>
        <rFont val="Calibri"/>
        <family val="2"/>
        <scheme val="minor"/>
      </rPr>
      <t>10% Conservation Credit</t>
    </r>
    <r>
      <rPr>
        <sz val="11"/>
        <color theme="1"/>
        <rFont val="Calibri"/>
        <family val="2"/>
        <scheme val="minor"/>
      </rPr>
      <t xml:space="preserve"> by End Use (2021$)</t>
    </r>
  </si>
  <si>
    <t>Oregon Total Avoided Costs by End Use (2021$)</t>
  </si>
  <si>
    <t>Washington Total Avoided Costs by End Use (2021$)</t>
  </si>
  <si>
    <t>Oregon 30-year Levelized Avoided Costs by End Use</t>
  </si>
  <si>
    <t>Figure 4.4: Oregon 30-year Levelized Avoided Costs by End Use</t>
  </si>
  <si>
    <t>Washington 30-year Levelized Avoided Costs by End Use</t>
  </si>
  <si>
    <t>Figure 4.5: Washington 30-year Levelized Avoided Costs by End Use</t>
  </si>
  <si>
    <t>Total Avoided Costs by End Use - Oregon</t>
  </si>
  <si>
    <t>Total Avoided Costs by End Use - Washington</t>
  </si>
  <si>
    <t>Oregon Avoided Costs Through Time</t>
  </si>
  <si>
    <t>Washington Avoided Costs by IRP</t>
  </si>
  <si>
    <t>Oregon Change in Levelized Avoided Costs: 2022 IRP vs 2018 IRP Update</t>
  </si>
  <si>
    <t>Washington Change in Levelized Avoided Costs: 2022 IRP vs 2018 IRP Update</t>
  </si>
  <si>
    <t>Figure 4.3: Example Avoided Cost Breakdown Through Time – Oregon Residential Space Heating</t>
  </si>
  <si>
    <t xml:space="preserve">Avoided Cost Breakdown: Oregon Residential Space Heating Example </t>
  </si>
  <si>
    <t>Avoided Cost Breakdown: Residential Space Heating - Oregon</t>
  </si>
  <si>
    <t>Gas and Transport Costs</t>
  </si>
  <si>
    <t>Risk Reduction Value</t>
  </si>
  <si>
    <t>Distribution Capacity</t>
  </si>
  <si>
    <t>Conservation Adder</t>
  </si>
  <si>
    <t>Avoided Cost Breakdown: Residential Space Heating - Washington</t>
  </si>
  <si>
    <t>SCC (2021$)</t>
  </si>
  <si>
    <t>CCIs (2021$)</t>
  </si>
  <si>
    <t>GHG Costs Avoided</t>
  </si>
  <si>
    <t>Figure 4.7: Avoided Costs by Life Cycle of Natural Gas and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</si>
</sst>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&quot;$&quot;#,##0.000"/>
    <numFmt numFmtId="165" formatCode="&quot;$&quot;#,##0.00"/>
    <numFmt numFmtId="166" formatCode="0.0000"/>
    <numFmt numFmtId="167" formatCode="0.000%"/>
    <numFmt numFmtId="168" formatCode="0.00000"/>
    <numFmt numFmtId="169" formatCode="0.0%"/>
    <numFmt numFmtId="170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  <charset val="238"/>
    </font>
    <font>
      <sz val="8"/>
      <color rgb="FF00AB4E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7"/>
      <color theme="1"/>
      <name val="Arial"/>
      <family val="2"/>
      <charset val="238"/>
    </font>
    <font>
      <sz val="10"/>
      <color theme="1"/>
      <name val="Arial"/>
      <family val="2"/>
    </font>
    <font>
      <sz val="10"/>
      <name val="Arial"/>
      <family val="2"/>
      <charset val="238"/>
    </font>
    <font>
      <b/>
      <sz val="20"/>
      <color rgb="FF595959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59595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F8080"/>
        <bgColor indexed="64"/>
      </patternFill>
    </fill>
    <fill>
      <patternFill patternType="solid">
        <fgColor rgb="FFD8DCD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BE3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medium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4" borderId="0">
      <alignment vertical="center"/>
    </xf>
    <xf numFmtId="0" fontId="5" fillId="0" borderId="68">
      <alignment horizontal="left" wrapText="1"/>
    </xf>
    <xf numFmtId="0" fontId="6" fillId="5" borderId="0">
      <alignment horizontal="center" vertical="center"/>
    </xf>
    <xf numFmtId="0" fontId="8" fillId="4" borderId="0" applyNumberFormat="0">
      <alignment horizontal="left" vertical="center"/>
    </xf>
    <xf numFmtId="0" fontId="9" fillId="0" borderId="0">
      <alignment horizontal="left" vertical="top"/>
    </xf>
    <xf numFmtId="3" fontId="10" fillId="0" borderId="0">
      <alignment horizontal="left" vertical="top" wrapText="1"/>
    </xf>
    <xf numFmtId="0" fontId="7" fillId="6" borderId="0">
      <alignment horizontal="left" vertical="center"/>
    </xf>
    <xf numFmtId="0" fontId="9" fillId="0" borderId="0" applyNumberFormat="0">
      <alignment horizontal="left" vertical="center"/>
    </xf>
    <xf numFmtId="3" fontId="7" fillId="0" borderId="0">
      <alignment horizontal="left" vertical="top" wrapText="1"/>
    </xf>
    <xf numFmtId="3" fontId="5" fillId="0" borderId="69">
      <alignment horizontal="left" vertical="center"/>
    </xf>
    <xf numFmtId="0" fontId="11" fillId="0" borderId="0" applyNumberFormat="0">
      <alignment horizontal="left" vertical="top" wrapText="1" indent="1"/>
    </xf>
    <xf numFmtId="3" fontId="5" fillId="0" borderId="70">
      <alignment vertical="center"/>
    </xf>
    <xf numFmtId="0" fontId="7" fillId="0" borderId="0"/>
  </cellStyleXfs>
  <cellXfs count="319"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16" xfId="0" applyFont="1" applyFill="1" applyBorder="1" applyAlignment="1">
      <alignment horizontal="center"/>
    </xf>
    <xf numFmtId="165" fontId="0" fillId="0" borderId="16" xfId="0" applyNumberFormat="1" applyFont="1" applyBorder="1"/>
    <xf numFmtId="165" fontId="0" fillId="0" borderId="13" xfId="0" applyNumberFormat="1" applyFont="1" applyBorder="1"/>
    <xf numFmtId="165" fontId="0" fillId="0" borderId="31" xfId="0" applyNumberFormat="1" applyFont="1" applyBorder="1" applyAlignment="1">
      <alignment horizontal="center" vertical="center"/>
    </xf>
    <xf numFmtId="165" fontId="2" fillId="0" borderId="31" xfId="0" applyNumberFormat="1" applyFont="1" applyBorder="1" applyAlignment="1">
      <alignment horizontal="center" vertical="center"/>
    </xf>
    <xf numFmtId="165" fontId="0" fillId="0" borderId="33" xfId="0" applyNumberFormat="1" applyFont="1" applyBorder="1" applyAlignment="1">
      <alignment horizontal="center" vertical="center"/>
    </xf>
    <xf numFmtId="165" fontId="2" fillId="0" borderId="33" xfId="0" applyNumberFormat="1" applyFont="1" applyBorder="1" applyAlignment="1">
      <alignment horizontal="center" vertical="center"/>
    </xf>
    <xf numFmtId="165" fontId="0" fillId="0" borderId="51" xfId="0" applyNumberFormat="1" applyFont="1" applyBorder="1" applyAlignment="1">
      <alignment horizontal="center" vertical="center"/>
    </xf>
    <xf numFmtId="165" fontId="2" fillId="0" borderId="51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vertical="center" wrapText="1"/>
    </xf>
    <xf numFmtId="165" fontId="0" fillId="0" borderId="51" xfId="0" applyNumberFormat="1" applyFont="1" applyBorder="1" applyAlignment="1">
      <alignment horizontal="center"/>
    </xf>
    <xf numFmtId="165" fontId="0" fillId="0" borderId="50" xfId="0" applyNumberFormat="1" applyFont="1" applyBorder="1" applyAlignment="1">
      <alignment horizontal="center"/>
    </xf>
    <xf numFmtId="165" fontId="2" fillId="0" borderId="51" xfId="0" applyNumberFormat="1" applyFont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0" xfId="0" applyFont="1"/>
    <xf numFmtId="0" fontId="2" fillId="0" borderId="54" xfId="0" applyFont="1" applyBorder="1"/>
    <xf numFmtId="165" fontId="2" fillId="0" borderId="55" xfId="0" applyNumberFormat="1" applyFont="1" applyBorder="1"/>
    <xf numFmtId="0" fontId="0" fillId="0" borderId="0" xfId="0" applyFont="1" applyFill="1"/>
    <xf numFmtId="167" fontId="0" fillId="0" borderId="0" xfId="2" applyNumberFormat="1" applyFont="1"/>
    <xf numFmtId="168" fontId="2" fillId="0" borderId="16" xfId="0" applyNumberFormat="1" applyFont="1" applyBorder="1"/>
    <xf numFmtId="168" fontId="2" fillId="2" borderId="16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 applyBorder="1" applyAlignment="1">
      <alignment vertical="center" wrapText="1"/>
    </xf>
    <xf numFmtId="164" fontId="0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16" xfId="0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166" fontId="0" fillId="0" borderId="16" xfId="0" applyNumberFormat="1" applyBorder="1" applyAlignment="1">
      <alignment horizontal="center"/>
    </xf>
    <xf numFmtId="0" fontId="0" fillId="0" borderId="0" xfId="0" applyFill="1"/>
    <xf numFmtId="0" fontId="0" fillId="0" borderId="16" xfId="0" applyFill="1" applyBorder="1" applyAlignment="1">
      <alignment horizontal="center"/>
    </xf>
    <xf numFmtId="0" fontId="0" fillId="0" borderId="16" xfId="0" applyFill="1" applyBorder="1"/>
    <xf numFmtId="165" fontId="0" fillId="0" borderId="16" xfId="1" applyNumberFormat="1" applyFont="1" applyBorder="1" applyAlignment="1">
      <alignment horizontal="center"/>
    </xf>
    <xf numFmtId="165" fontId="0" fillId="0" borderId="0" xfId="0" applyNumberFormat="1" applyFont="1" applyBorder="1"/>
    <xf numFmtId="165" fontId="2" fillId="0" borderId="0" xfId="0" applyNumberFormat="1" applyFont="1" applyBorder="1"/>
    <xf numFmtId="165" fontId="2" fillId="0" borderId="15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 vertical="center"/>
    </xf>
    <xf numFmtId="0" fontId="2" fillId="0" borderId="37" xfId="0" applyFont="1" applyBorder="1"/>
    <xf numFmtId="164" fontId="2" fillId="0" borderId="38" xfId="0" applyNumberFormat="1" applyFont="1" applyBorder="1" applyAlignment="1">
      <alignment horizontal="center"/>
    </xf>
    <xf numFmtId="164" fontId="2" fillId="0" borderId="39" xfId="0" applyNumberFormat="1" applyFont="1" applyBorder="1" applyAlignment="1">
      <alignment horizontal="center"/>
    </xf>
    <xf numFmtId="165" fontId="0" fillId="0" borderId="59" xfId="0" applyNumberFormat="1" applyFont="1" applyBorder="1" applyAlignment="1">
      <alignment horizontal="center" vertical="center"/>
    </xf>
    <xf numFmtId="165" fontId="0" fillId="0" borderId="14" xfId="0" applyNumberFormat="1" applyFont="1" applyBorder="1" applyAlignment="1">
      <alignment horizontal="center" vertical="center"/>
    </xf>
    <xf numFmtId="165" fontId="0" fillId="0" borderId="60" xfId="0" applyNumberFormat="1" applyFont="1" applyBorder="1" applyAlignment="1">
      <alignment horizontal="center" vertical="center"/>
    </xf>
    <xf numFmtId="165" fontId="0" fillId="0" borderId="60" xfId="0" applyNumberFormat="1" applyFont="1" applyBorder="1" applyAlignment="1">
      <alignment horizontal="center"/>
    </xf>
    <xf numFmtId="165" fontId="0" fillId="0" borderId="44" xfId="0" applyNumberFormat="1" applyFont="1" applyBorder="1" applyAlignment="1">
      <alignment horizontal="center" vertical="center"/>
    </xf>
    <xf numFmtId="165" fontId="0" fillId="0" borderId="48" xfId="0" applyNumberFormat="1" applyFont="1" applyBorder="1" applyAlignment="1">
      <alignment horizontal="center" vertical="center"/>
    </xf>
    <xf numFmtId="165" fontId="0" fillId="0" borderId="52" xfId="0" applyNumberFormat="1" applyFont="1" applyBorder="1" applyAlignment="1">
      <alignment horizontal="center" vertical="center"/>
    </xf>
    <xf numFmtId="165" fontId="0" fillId="0" borderId="52" xfId="0" applyNumberFormat="1" applyFont="1" applyBorder="1" applyAlignment="1">
      <alignment horizontal="center"/>
    </xf>
    <xf numFmtId="0" fontId="0" fillId="0" borderId="32" xfId="0" applyFont="1" applyBorder="1" applyAlignment="1">
      <alignment vertical="center" wrapText="1"/>
    </xf>
    <xf numFmtId="0" fontId="0" fillId="0" borderId="47" xfId="0" applyFont="1" applyBorder="1" applyAlignment="1">
      <alignment vertical="center" wrapText="1"/>
    </xf>
    <xf numFmtId="0" fontId="0" fillId="0" borderId="49" xfId="0" applyFont="1" applyBorder="1" applyAlignment="1">
      <alignment vertical="center" wrapText="1"/>
    </xf>
    <xf numFmtId="0" fontId="0" fillId="0" borderId="43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50" xfId="0" applyFont="1" applyFill="1" applyBorder="1" applyAlignment="1">
      <alignment vertical="center" wrapText="1"/>
    </xf>
    <xf numFmtId="0" fontId="0" fillId="0" borderId="16" xfId="0" applyFont="1" applyBorder="1"/>
    <xf numFmtId="0" fontId="0" fillId="0" borderId="26" xfId="0" applyFont="1" applyBorder="1"/>
    <xf numFmtId="0" fontId="0" fillId="0" borderId="38" xfId="0" applyFont="1" applyBorder="1"/>
    <xf numFmtId="0" fontId="0" fillId="0" borderId="29" xfId="0" applyFont="1" applyBorder="1"/>
    <xf numFmtId="165" fontId="0" fillId="0" borderId="26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165" fontId="2" fillId="0" borderId="31" xfId="0" applyNumberFormat="1" applyFont="1" applyBorder="1" applyAlignment="1">
      <alignment horizontal="center"/>
    </xf>
    <xf numFmtId="165" fontId="0" fillId="0" borderId="16" xfId="0" applyNumberFormat="1" applyFont="1" applyBorder="1" applyAlignment="1">
      <alignment horizontal="center"/>
    </xf>
    <xf numFmtId="165" fontId="0" fillId="0" borderId="13" xfId="0" applyNumberFormat="1" applyFont="1" applyBorder="1" applyAlignment="1">
      <alignment horizontal="center"/>
    </xf>
    <xf numFmtId="165" fontId="2" fillId="0" borderId="33" xfId="0" applyNumberFormat="1" applyFont="1" applyBorder="1" applyAlignment="1">
      <alignment horizontal="center"/>
    </xf>
    <xf numFmtId="165" fontId="0" fillId="0" borderId="38" xfId="0" applyNumberFormat="1" applyFont="1" applyBorder="1" applyAlignment="1">
      <alignment horizontal="center"/>
    </xf>
    <xf numFmtId="165" fontId="0" fillId="0" borderId="29" xfId="0" applyNumberFormat="1" applyFont="1" applyBorder="1" applyAlignment="1">
      <alignment horizontal="center"/>
    </xf>
    <xf numFmtId="165" fontId="0" fillId="0" borderId="30" xfId="0" applyNumberFormat="1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169" fontId="0" fillId="0" borderId="16" xfId="2" applyNumberFormat="1" applyFont="1" applyFill="1" applyBorder="1"/>
    <xf numFmtId="0" fontId="2" fillId="0" borderId="47" xfId="0" applyFont="1" applyFill="1" applyBorder="1" applyAlignment="1">
      <alignment horizontal="center"/>
    </xf>
    <xf numFmtId="0" fontId="2" fillId="0" borderId="64" xfId="0" applyFont="1" applyFill="1" applyBorder="1" applyAlignment="1">
      <alignment horizontal="center"/>
    </xf>
    <xf numFmtId="0" fontId="2" fillId="0" borderId="1" xfId="0" applyFont="1" applyFill="1" applyBorder="1"/>
    <xf numFmtId="165" fontId="0" fillId="0" borderId="16" xfId="0" applyNumberFormat="1" applyFont="1" applyBorder="1" applyAlignment="1">
      <alignment vertical="center"/>
    </xf>
    <xf numFmtId="0" fontId="0" fillId="0" borderId="26" xfId="0" applyFont="1" applyBorder="1" applyAlignment="1">
      <alignment vertical="center" wrapText="1"/>
    </xf>
    <xf numFmtId="0" fontId="0" fillId="0" borderId="38" xfId="0" applyFont="1" applyFill="1" applyBorder="1" applyAlignment="1">
      <alignment vertical="center" wrapText="1"/>
    </xf>
    <xf numFmtId="165" fontId="0" fillId="0" borderId="16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165" fontId="2" fillId="0" borderId="16" xfId="0" applyNumberFormat="1" applyFont="1" applyBorder="1" applyAlignment="1">
      <alignment horizontal="center" vertical="center"/>
    </xf>
    <xf numFmtId="0" fontId="0" fillId="0" borderId="16" xfId="0" applyFont="1" applyFill="1" applyBorder="1" applyAlignment="1">
      <alignment vertical="center" wrapText="1"/>
    </xf>
    <xf numFmtId="165" fontId="2" fillId="0" borderId="16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 vertical="center"/>
    </xf>
    <xf numFmtId="165" fontId="0" fillId="0" borderId="67" xfId="0" applyNumberFormat="1" applyFont="1" applyFill="1" applyBorder="1" applyAlignment="1">
      <alignment horizontal="center" vertical="center"/>
    </xf>
    <xf numFmtId="9" fontId="0" fillId="0" borderId="13" xfId="2" applyNumberFormat="1" applyFont="1" applyBorder="1" applyAlignment="1">
      <alignment horizontal="center"/>
    </xf>
    <xf numFmtId="9" fontId="0" fillId="0" borderId="50" xfId="2" applyNumberFormat="1" applyFont="1" applyBorder="1" applyAlignment="1">
      <alignment horizontal="center"/>
    </xf>
    <xf numFmtId="165" fontId="0" fillId="0" borderId="46" xfId="0" applyNumberFormat="1" applyFont="1" applyBorder="1" applyAlignment="1">
      <alignment horizontal="center"/>
    </xf>
    <xf numFmtId="165" fontId="0" fillId="0" borderId="39" xfId="0" applyNumberFormat="1" applyFont="1" applyBorder="1" applyAlignment="1">
      <alignment horizontal="center"/>
    </xf>
    <xf numFmtId="9" fontId="0" fillId="0" borderId="16" xfId="2" applyFont="1" applyFill="1" applyBorder="1" applyAlignment="1">
      <alignment horizontal="center" vertical="center"/>
    </xf>
    <xf numFmtId="0" fontId="0" fillId="0" borderId="38" xfId="0" applyFont="1" applyBorder="1" applyAlignment="1">
      <alignment vertical="center" wrapText="1"/>
    </xf>
    <xf numFmtId="0" fontId="0" fillId="0" borderId="0" xfId="0" applyAlignment="1">
      <alignment wrapText="1"/>
    </xf>
    <xf numFmtId="165" fontId="0" fillId="0" borderId="0" xfId="0" applyNumberFormat="1"/>
    <xf numFmtId="0" fontId="0" fillId="0" borderId="29" xfId="0" applyFont="1" applyBorder="1" applyAlignment="1">
      <alignment horizontal="center" vertical="center" wrapText="1"/>
    </xf>
    <xf numFmtId="165" fontId="0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165" fontId="0" fillId="0" borderId="26" xfId="0" applyNumberFormat="1" applyFont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/>
    </xf>
    <xf numFmtId="165" fontId="2" fillId="0" borderId="46" xfId="0" applyNumberFormat="1" applyFont="1" applyBorder="1" applyAlignment="1">
      <alignment horizontal="center" vertical="center"/>
    </xf>
    <xf numFmtId="165" fontId="0" fillId="0" borderId="38" xfId="0" applyNumberFormat="1" applyFont="1" applyBorder="1" applyAlignment="1">
      <alignment horizontal="center" vertical="center"/>
    </xf>
    <xf numFmtId="165" fontId="2" fillId="0" borderId="39" xfId="0" applyNumberFormat="1" applyFont="1" applyBorder="1" applyAlignment="1">
      <alignment horizontal="center" vertical="center"/>
    </xf>
    <xf numFmtId="0" fontId="2" fillId="0" borderId="34" xfId="0" applyFont="1" applyBorder="1"/>
    <xf numFmtId="164" fontId="2" fillId="0" borderId="29" xfId="0" applyNumberFormat="1" applyFont="1" applyBorder="1" applyAlignment="1">
      <alignment horizontal="center"/>
    </xf>
    <xf numFmtId="164" fontId="2" fillId="0" borderId="65" xfId="0" applyNumberFormat="1" applyFont="1" applyBorder="1" applyAlignment="1">
      <alignment horizontal="center"/>
    </xf>
    <xf numFmtId="0" fontId="0" fillId="0" borderId="57" xfId="0" applyFont="1" applyBorder="1" applyAlignment="1">
      <alignment vertical="center" wrapText="1"/>
    </xf>
    <xf numFmtId="0" fontId="0" fillId="0" borderId="29" xfId="0" applyBorder="1"/>
    <xf numFmtId="0" fontId="0" fillId="0" borderId="16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2" fillId="0" borderId="35" xfId="0" applyFont="1" applyBorder="1"/>
    <xf numFmtId="164" fontId="2" fillId="0" borderId="18" xfId="0" applyNumberFormat="1" applyFont="1" applyFill="1" applyBorder="1" applyAlignment="1">
      <alignment horizontal="center"/>
    </xf>
    <xf numFmtId="0" fontId="2" fillId="0" borderId="62" xfId="0" applyFont="1" applyBorder="1"/>
    <xf numFmtId="0" fontId="0" fillId="0" borderId="0" xfId="0"/>
    <xf numFmtId="168" fontId="2" fillId="0" borderId="29" xfId="0" applyNumberFormat="1" applyFont="1" applyBorder="1"/>
    <xf numFmtId="0" fontId="2" fillId="0" borderId="7" xfId="0" applyFont="1" applyBorder="1" applyAlignment="1">
      <alignment vertical="center"/>
    </xf>
    <xf numFmtId="0" fontId="2" fillId="0" borderId="71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170" fontId="0" fillId="0" borderId="0" xfId="0" applyNumberFormat="1"/>
    <xf numFmtId="0" fontId="2" fillId="0" borderId="22" xfId="0" applyFont="1" applyFill="1" applyBorder="1" applyAlignment="1">
      <alignment horizontal="center" vertical="center" wrapText="1"/>
    </xf>
    <xf numFmtId="165" fontId="0" fillId="0" borderId="0" xfId="0" applyNumberFormat="1" applyFont="1"/>
    <xf numFmtId="44" fontId="0" fillId="0" borderId="16" xfId="1" applyFont="1" applyBorder="1"/>
    <xf numFmtId="44" fontId="0" fillId="0" borderId="26" xfId="1" applyFont="1" applyBorder="1"/>
    <xf numFmtId="44" fontId="0" fillId="0" borderId="27" xfId="1" applyFont="1" applyBorder="1"/>
    <xf numFmtId="44" fontId="0" fillId="0" borderId="46" xfId="1" applyFont="1" applyBorder="1"/>
    <xf numFmtId="44" fontId="0" fillId="0" borderId="38" xfId="1" applyFont="1" applyBorder="1"/>
    <xf numFmtId="44" fontId="0" fillId="0" borderId="39" xfId="1" applyFont="1" applyBorder="1"/>
    <xf numFmtId="4" fontId="2" fillId="0" borderId="14" xfId="0" applyNumberFormat="1" applyFont="1" applyFill="1" applyBorder="1" applyAlignment="1">
      <alignment horizontal="center"/>
    </xf>
    <xf numFmtId="10" fontId="2" fillId="0" borderId="16" xfId="2" applyNumberFormat="1" applyFont="1" applyFill="1" applyBorder="1" applyAlignment="1">
      <alignment horizontal="center"/>
    </xf>
    <xf numFmtId="4" fontId="2" fillId="0" borderId="16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0" fontId="0" fillId="0" borderId="0" xfId="0" applyFont="1" applyFill="1" applyBorder="1"/>
    <xf numFmtId="10" fontId="2" fillId="0" borderId="53" xfId="0" applyNumberFormat="1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 wrapText="1"/>
    </xf>
    <xf numFmtId="10" fontId="2" fillId="0" borderId="21" xfId="2" applyNumberFormat="1" applyFont="1" applyFill="1" applyBorder="1" applyAlignment="1">
      <alignment horizontal="center" vertical="center"/>
    </xf>
    <xf numFmtId="10" fontId="2" fillId="0" borderId="20" xfId="2" applyNumberFormat="1" applyFont="1" applyFill="1" applyBorder="1" applyAlignment="1">
      <alignment horizontal="center" vertical="center"/>
    </xf>
    <xf numFmtId="10" fontId="2" fillId="0" borderId="53" xfId="2" applyNumberFormat="1" applyFont="1" applyFill="1" applyBorder="1" applyAlignment="1">
      <alignment horizontal="center" vertical="center"/>
    </xf>
    <xf numFmtId="0" fontId="2" fillId="0" borderId="53" xfId="0" applyFont="1" applyFill="1" applyBorder="1"/>
    <xf numFmtId="10" fontId="0" fillId="0" borderId="53" xfId="2" applyNumberFormat="1" applyFont="1" applyFill="1" applyBorder="1" applyAlignment="1">
      <alignment horizontal="center"/>
    </xf>
    <xf numFmtId="10" fontId="0" fillId="0" borderId="0" xfId="0" applyNumberFormat="1" applyFont="1" applyFill="1"/>
    <xf numFmtId="10" fontId="0" fillId="0" borderId="53" xfId="2" applyNumberFormat="1" applyFont="1" applyFill="1" applyBorder="1"/>
    <xf numFmtId="167" fontId="0" fillId="0" borderId="0" xfId="2" applyNumberFormat="1" applyFont="1" applyFill="1"/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/>
    </xf>
    <xf numFmtId="0" fontId="2" fillId="0" borderId="38" xfId="0" applyFont="1" applyFill="1" applyBorder="1" applyAlignment="1">
      <alignment horizontal="center"/>
    </xf>
    <xf numFmtId="0" fontId="14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left" vertical="center" readingOrder="1"/>
    </xf>
    <xf numFmtId="165" fontId="0" fillId="7" borderId="16" xfId="0" applyNumberFormat="1" applyFont="1" applyFill="1" applyBorder="1"/>
    <xf numFmtId="165" fontId="2" fillId="7" borderId="55" xfId="0" applyNumberFormat="1" applyFont="1" applyFill="1" applyBorder="1"/>
    <xf numFmtId="165" fontId="0" fillId="8" borderId="16" xfId="0" applyNumberFormat="1" applyFont="1" applyFill="1" applyBorder="1"/>
    <xf numFmtId="165" fontId="2" fillId="8" borderId="55" xfId="0" applyNumberFormat="1" applyFont="1" applyFill="1" applyBorder="1"/>
    <xf numFmtId="170" fontId="2" fillId="0" borderId="0" xfId="0" applyNumberFormat="1" applyFont="1" applyFill="1"/>
    <xf numFmtId="9" fontId="2" fillId="0" borderId="0" xfId="2" applyFont="1" applyBorder="1" applyAlignment="1">
      <alignment horizontal="center" vertical="center"/>
    </xf>
    <xf numFmtId="164" fontId="0" fillId="9" borderId="23" xfId="0" applyNumberFormat="1" applyFont="1" applyFill="1" applyBorder="1" applyAlignment="1">
      <alignment horizontal="center"/>
    </xf>
    <xf numFmtId="164" fontId="2" fillId="9" borderId="53" xfId="0" applyNumberFormat="1" applyFont="1" applyFill="1" applyBorder="1" applyAlignment="1">
      <alignment horizontal="center"/>
    </xf>
    <xf numFmtId="164" fontId="0" fillId="9" borderId="46" xfId="0" applyNumberFormat="1" applyFont="1" applyFill="1" applyBorder="1" applyAlignment="1">
      <alignment horizontal="center"/>
    </xf>
    <xf numFmtId="164" fontId="1" fillId="9" borderId="15" xfId="1" applyNumberFormat="1" applyFont="1" applyFill="1" applyBorder="1" applyAlignment="1">
      <alignment horizontal="center"/>
    </xf>
    <xf numFmtId="164" fontId="0" fillId="9" borderId="30" xfId="0" applyNumberFormat="1" applyFont="1" applyFill="1" applyBorder="1" applyAlignment="1">
      <alignment horizontal="center"/>
    </xf>
    <xf numFmtId="164" fontId="0" fillId="9" borderId="36" xfId="0" applyNumberFormat="1" applyFont="1" applyFill="1" applyBorder="1" applyAlignment="1">
      <alignment horizontal="center"/>
    </xf>
    <xf numFmtId="164" fontId="0" fillId="10" borderId="15" xfId="0" applyNumberFormat="1" applyFont="1" applyFill="1" applyBorder="1" applyAlignment="1">
      <alignment horizontal="center"/>
    </xf>
    <xf numFmtId="164" fontId="2" fillId="10" borderId="53" xfId="0" applyNumberFormat="1" applyFont="1" applyFill="1" applyBorder="1" applyAlignment="1">
      <alignment horizontal="center"/>
    </xf>
    <xf numFmtId="0" fontId="2" fillId="10" borderId="31" xfId="0" applyFont="1" applyFill="1" applyBorder="1" applyAlignment="1">
      <alignment horizontal="center" vertical="center" wrapText="1"/>
    </xf>
    <xf numFmtId="0" fontId="2" fillId="10" borderId="51" xfId="0" applyFont="1" applyFill="1" applyBorder="1" applyAlignment="1">
      <alignment horizontal="center" vertical="center" wrapText="1"/>
    </xf>
    <xf numFmtId="164" fontId="0" fillId="10" borderId="23" xfId="0" applyNumberFormat="1" applyFont="1" applyFill="1" applyBorder="1" applyAlignment="1">
      <alignment horizontal="center"/>
    </xf>
    <xf numFmtId="164" fontId="0" fillId="7" borderId="30" xfId="0" applyNumberFormat="1" applyFont="1" applyFill="1" applyBorder="1" applyAlignment="1">
      <alignment horizontal="center"/>
    </xf>
    <xf numFmtId="164" fontId="2" fillId="7" borderId="53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54" xfId="0" applyFont="1" applyFill="1" applyBorder="1" applyAlignment="1">
      <alignment horizontal="center" vertical="center" wrapText="1"/>
    </xf>
    <xf numFmtId="164" fontId="0" fillId="7" borderId="34" xfId="0" applyNumberFormat="1" applyFont="1" applyFill="1" applyBorder="1" applyAlignment="1">
      <alignment horizontal="center"/>
    </xf>
    <xf numFmtId="164" fontId="0" fillId="7" borderId="37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10" borderId="16" xfId="0" applyFont="1" applyFill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11" borderId="16" xfId="0" applyFont="1" applyFill="1" applyBorder="1" applyAlignment="1">
      <alignment horizontal="center" vertical="center" wrapText="1"/>
    </xf>
    <xf numFmtId="0" fontId="0" fillId="10" borderId="29" xfId="0" applyFont="1" applyFill="1" applyBorder="1" applyAlignment="1">
      <alignment horizontal="center" vertical="center" wrapText="1"/>
    </xf>
    <xf numFmtId="0" fontId="0" fillId="10" borderId="16" xfId="0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2" fillId="11" borderId="13" xfId="0" applyFont="1" applyFill="1" applyBorder="1" applyAlignment="1">
      <alignment horizontal="center"/>
    </xf>
    <xf numFmtId="0" fontId="2" fillId="11" borderId="14" xfId="0" applyFont="1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0" fillId="0" borderId="28" xfId="0" applyFont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16" fillId="12" borderId="61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/>
    </xf>
    <xf numFmtId="0" fontId="16" fillId="12" borderId="2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15" fillId="12" borderId="12" xfId="0" applyFont="1" applyFill="1" applyBorder="1" applyAlignment="1">
      <alignment horizontal="center" vertical="center" wrapText="1"/>
    </xf>
    <xf numFmtId="0" fontId="15" fillId="12" borderId="61" xfId="0" applyFont="1" applyFill="1" applyBorder="1" applyAlignment="1">
      <alignment horizontal="center" vertical="center" wrapText="1"/>
    </xf>
    <xf numFmtId="0" fontId="15" fillId="12" borderId="21" xfId="0" applyFont="1" applyFill="1" applyBorder="1" applyAlignment="1">
      <alignment horizontal="center" vertical="center" wrapText="1"/>
    </xf>
    <xf numFmtId="0" fontId="16" fillId="12" borderId="24" xfId="0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6" fillId="12" borderId="31" xfId="0" applyFont="1" applyFill="1" applyBorder="1" applyAlignment="1">
      <alignment horizontal="center" vertical="center" wrapText="1"/>
    </xf>
    <xf numFmtId="0" fontId="16" fillId="12" borderId="41" xfId="0" applyFont="1" applyFill="1" applyBorder="1" applyAlignment="1">
      <alignment horizontal="center" vertical="center" wrapText="1"/>
    </xf>
    <xf numFmtId="0" fontId="0" fillId="11" borderId="28" xfId="0" applyFont="1" applyFill="1" applyBorder="1" applyAlignment="1">
      <alignment horizontal="center" vertical="center" wrapText="1"/>
    </xf>
    <xf numFmtId="0" fontId="0" fillId="11" borderId="29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2" fillId="9" borderId="6" xfId="0" applyFont="1" applyFill="1" applyBorder="1" applyAlignment="1">
      <alignment horizontal="center" vertical="center" wrapText="1"/>
    </xf>
    <xf numFmtId="0" fontId="2" fillId="9" borderId="62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0" fillId="2" borderId="29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0" fillId="0" borderId="16" xfId="0" applyFont="1" applyBorder="1" applyAlignment="1">
      <alignment horizontal="center" vertical="center" textRotation="90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9" borderId="27" xfId="0" applyFont="1" applyFill="1" applyBorder="1" applyAlignment="1">
      <alignment horizontal="center" vertical="center" wrapText="1"/>
    </xf>
    <xf numFmtId="0" fontId="2" fillId="9" borderId="3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 wrapText="1"/>
    </xf>
    <xf numFmtId="0" fontId="2" fillId="9" borderId="51" xfId="0" applyFont="1" applyFill="1" applyBorder="1" applyAlignment="1">
      <alignment horizontal="center" vertical="center" wrapText="1"/>
    </xf>
    <xf numFmtId="0" fontId="2" fillId="10" borderId="25" xfId="0" applyFont="1" applyFill="1" applyBorder="1" applyAlignment="1">
      <alignment horizontal="center" vertical="center" wrapText="1"/>
    </xf>
    <xf numFmtId="0" fontId="2" fillId="10" borderId="37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38" xfId="0" applyFont="1" applyFill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0" fillId="0" borderId="16" xfId="0" applyNumberFormat="1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textRotation="90"/>
    </xf>
    <xf numFmtId="0" fontId="2" fillId="0" borderId="47" xfId="0" applyFont="1" applyBorder="1" applyAlignment="1">
      <alignment horizontal="center" vertical="center" textRotation="90"/>
    </xf>
    <xf numFmtId="0" fontId="2" fillId="0" borderId="49" xfId="0" applyFont="1" applyBorder="1" applyAlignment="1">
      <alignment horizontal="center" vertical="center" textRotation="90"/>
    </xf>
    <xf numFmtId="165" fontId="0" fillId="0" borderId="31" xfId="0" applyNumberFormat="1" applyFont="1" applyBorder="1" applyAlignment="1">
      <alignment horizontal="center" vertical="center"/>
    </xf>
    <xf numFmtId="165" fontId="0" fillId="0" borderId="33" xfId="0" applyNumberFormat="1" applyFont="1" applyBorder="1" applyAlignment="1">
      <alignment horizontal="center" vertical="center"/>
    </xf>
    <xf numFmtId="165" fontId="0" fillId="0" borderId="51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textRotation="90"/>
    </xf>
    <xf numFmtId="0" fontId="2" fillId="0" borderId="45" xfId="0" applyFont="1" applyBorder="1" applyAlignment="1">
      <alignment horizontal="center" vertical="center" textRotation="90"/>
    </xf>
    <xf numFmtId="0" fontId="2" fillId="0" borderId="37" xfId="0" applyFont="1" applyBorder="1" applyAlignment="1">
      <alignment horizontal="center" vertical="center" textRotation="90"/>
    </xf>
    <xf numFmtId="0" fontId="2" fillId="0" borderId="34" xfId="0" applyFont="1" applyBorder="1" applyAlignment="1">
      <alignment horizontal="center" vertical="center" textRotation="90"/>
    </xf>
    <xf numFmtId="0" fontId="2" fillId="0" borderId="29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65" fontId="2" fillId="0" borderId="25" xfId="0" applyNumberFormat="1" applyFont="1" applyBorder="1" applyAlignment="1">
      <alignment horizontal="center" vertical="center" textRotation="90"/>
    </xf>
    <xf numFmtId="165" fontId="2" fillId="0" borderId="45" xfId="0" applyNumberFormat="1" applyFont="1" applyBorder="1" applyAlignment="1">
      <alignment horizontal="center" vertical="center" textRotation="90"/>
    </xf>
    <xf numFmtId="165" fontId="2" fillId="0" borderId="37" xfId="0" applyNumberFormat="1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66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6">
    <cellStyle name="Currency" xfId="1" builtinId="4"/>
    <cellStyle name="Hyperlink Style" xfId="9" xr:uid="{00000000-0005-0000-0000-000001000000}"/>
    <cellStyle name="Index Hyperlink" xfId="5" xr:uid="{00000000-0005-0000-0000-000002000000}"/>
    <cellStyle name="Normal" xfId="0" builtinId="0"/>
    <cellStyle name="Normal 2" xfId="8" xr:uid="{00000000-0005-0000-0000-000004000000}"/>
    <cellStyle name="Normal 242" xfId="15" xr:uid="{60739E54-30B8-4CA1-84CA-7203EB9D107C}"/>
    <cellStyle name="Normal 3" xfId="11" xr:uid="{00000000-0005-0000-0000-000005000000}"/>
    <cellStyle name="Percent" xfId="2" builtinId="5"/>
    <cellStyle name="phx-col-head-last" xfId="4" xr:uid="{00000000-0005-0000-0000-000007000000}"/>
    <cellStyle name="phx-header" xfId="6" xr:uid="{00000000-0005-0000-0000-000008000000}"/>
    <cellStyle name="phx-HL-row" xfId="12" xr:uid="{00000000-0005-0000-0000-000009000000}"/>
    <cellStyle name="phx-level1" xfId="13" xr:uid="{00000000-0005-0000-0000-00000A000000}"/>
    <cellStyle name="phx-note" xfId="10" xr:uid="{00000000-0005-0000-0000-00000B000000}"/>
    <cellStyle name="phx-source" xfId="7" xr:uid="{00000000-0005-0000-0000-00000C000000}"/>
    <cellStyle name="phx-subhead" xfId="3" xr:uid="{00000000-0005-0000-0000-00000D000000}"/>
    <cellStyle name="phx-total-row" xfId="14" xr:uid="{00000000-0005-0000-0000-00000E000000}"/>
  </cellStyles>
  <dxfs count="0"/>
  <tableStyles count="0" defaultTableStyle="TableStyleMedium2" defaultPivotStyle="PivotStyleLight16"/>
  <colors>
    <mruColors>
      <color rgb="FF00BBE3"/>
      <color rgb="FFFDB813"/>
      <color rgb="FFF48024"/>
      <color rgb="FF0072AE"/>
      <color rgb="FF7AC142"/>
      <color rgb="FFAEB1B4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5686789151357"/>
          <c:y val="8.0774320722662538E-2"/>
          <c:w val="0.8763309419655877"/>
          <c:h val="0.713547098375363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'Avoided Costs Summary'!$CY$3:$CY$4</c:f>
              <c:strCache>
                <c:ptCount val="2"/>
                <c:pt idx="0">
                  <c:v>Natural Gas and Transport Costs</c:v>
                </c:pt>
              </c:strCache>
            </c:strRef>
          </c:tx>
          <c:spPr>
            <a:solidFill>
              <a:srgbClr val="00BBE3"/>
            </a:solidFill>
            <a:ln>
              <a:solidFill>
                <a:srgbClr val="00BBE3"/>
              </a:solidFill>
            </a:ln>
            <a:effectLst/>
          </c:spPr>
          <c:invertIfNegative val="0"/>
          <c:cat>
            <c:strRef>
              <c:f>'Avoided Costs Summary'!$CX$5:$CX$11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Summary'!$CY$5:$CY$11</c:f>
              <c:numCache>
                <c:formatCode>"$"#,##0.00</c:formatCode>
                <c:ptCount val="7"/>
                <c:pt idx="0">
                  <c:v>3.8299224279091697</c:v>
                </c:pt>
                <c:pt idx="1">
                  <c:v>3.8299224279091697</c:v>
                </c:pt>
                <c:pt idx="2">
                  <c:v>3.8299224279091697</c:v>
                </c:pt>
                <c:pt idx="3">
                  <c:v>3.5794649306708504</c:v>
                </c:pt>
                <c:pt idx="4">
                  <c:v>3.5535991045626965</c:v>
                </c:pt>
                <c:pt idx="5">
                  <c:v>3.5535991045626965</c:v>
                </c:pt>
                <c:pt idx="6">
                  <c:v>3.5535991045626965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4-4B2B-960B-BDC699411C60}"/>
            </c:ext>
          </c:extLst>
        </c:ser>
        <c:ser>
          <c:idx val="1"/>
          <c:order val="1"/>
          <c:tx>
            <c:strRef>
              <c:f>'Avoided Costs Summary'!$CZ$3:$CZ$4</c:f>
              <c:strCache>
                <c:ptCount val="2"/>
                <c:pt idx="0">
                  <c:v>Greenhouse Gas Compliance Costs</c:v>
                </c:pt>
              </c:strCache>
            </c:strRef>
          </c:tx>
          <c:spPr>
            <a:solidFill>
              <a:srgbClr val="7AC142"/>
            </a:solidFill>
            <a:ln>
              <a:solidFill>
                <a:srgbClr val="7AC142"/>
              </a:solidFill>
            </a:ln>
            <a:effectLst/>
          </c:spPr>
          <c:invertIfNegative val="0"/>
          <c:cat>
            <c:strRef>
              <c:f>'Avoided Costs Summary'!$CX$5:$CX$11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Summary'!$CZ$5:$CZ$11</c:f>
              <c:numCache>
                <c:formatCode>"$"#,##0.00</c:formatCode>
                <c:ptCount val="7"/>
                <c:pt idx="0">
                  <c:v>7.6081257875462978</c:v>
                </c:pt>
                <c:pt idx="1">
                  <c:v>7.6081257875462978</c:v>
                </c:pt>
                <c:pt idx="2">
                  <c:v>7.6081257875462978</c:v>
                </c:pt>
                <c:pt idx="3">
                  <c:v>7.6081257875462978</c:v>
                </c:pt>
                <c:pt idx="4">
                  <c:v>7.6081257875462978</c:v>
                </c:pt>
                <c:pt idx="5">
                  <c:v>7.6081257875462978</c:v>
                </c:pt>
                <c:pt idx="6">
                  <c:v>7.6081257875462978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64-4B2B-960B-BDC699411C60}"/>
            </c:ext>
          </c:extLst>
        </c:ser>
        <c:ser>
          <c:idx val="2"/>
          <c:order val="2"/>
          <c:tx>
            <c:strRef>
              <c:f>'Avoided Costs Summary'!$DA$3:$DA$4</c:f>
              <c:strCache>
                <c:ptCount val="2"/>
                <c:pt idx="0">
                  <c:v>Risk Reduction (Hedge) Value</c:v>
                </c:pt>
              </c:strCache>
            </c:strRef>
          </c:tx>
          <c:spPr>
            <a:solidFill>
              <a:srgbClr val="0072AE"/>
            </a:solidFill>
            <a:ln>
              <a:solidFill>
                <a:srgbClr val="0072AE"/>
              </a:solidFill>
            </a:ln>
            <a:effectLst/>
          </c:spPr>
          <c:invertIfNegative val="0"/>
          <c:cat>
            <c:strRef>
              <c:f>'Avoided Costs Summary'!$CX$5:$CX$11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Summary'!$DA$5:$DA$11</c:f>
              <c:numCache>
                <c:formatCode>"$"#,##0.00</c:formatCode>
                <c:ptCount val="7"/>
                <c:pt idx="0">
                  <c:v>0.86193161558388465</c:v>
                </c:pt>
                <c:pt idx="1">
                  <c:v>0.86193161558388465</c:v>
                </c:pt>
                <c:pt idx="2">
                  <c:v>0.86193161558388465</c:v>
                </c:pt>
                <c:pt idx="3">
                  <c:v>0.86193161558388465</c:v>
                </c:pt>
                <c:pt idx="4">
                  <c:v>0.86193161558388465</c:v>
                </c:pt>
                <c:pt idx="5">
                  <c:v>0.86193161558388465</c:v>
                </c:pt>
                <c:pt idx="6">
                  <c:v>0.86193161558388465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64-4B2B-960B-BDC699411C60}"/>
            </c:ext>
          </c:extLst>
        </c:ser>
        <c:ser>
          <c:idx val="3"/>
          <c:order val="3"/>
          <c:tx>
            <c:strRef>
              <c:f>'Avoided Costs Summary'!$DB$3:$DB$4</c:f>
              <c:strCache>
                <c:ptCount val="2"/>
                <c:pt idx="0">
                  <c:v>Supply System Costs</c:v>
                </c:pt>
              </c:strCache>
            </c:strRef>
          </c:tx>
          <c:spPr>
            <a:solidFill>
              <a:srgbClr val="F48024"/>
            </a:solidFill>
            <a:ln>
              <a:solidFill>
                <a:srgbClr val="F48024"/>
              </a:solidFill>
            </a:ln>
            <a:effectLst/>
          </c:spPr>
          <c:invertIfNegative val="0"/>
          <c:cat>
            <c:strRef>
              <c:f>'Avoided Costs Summary'!$CX$5:$CX$11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Summary'!$DB$5:$DB$11</c:f>
              <c:numCache>
                <c:formatCode>"$"#,##0.00</c:formatCode>
                <c:ptCount val="7"/>
                <c:pt idx="0">
                  <c:v>0.64427383382065762</c:v>
                </c:pt>
                <c:pt idx="1">
                  <c:v>0.64427383382065762</c:v>
                </c:pt>
                <c:pt idx="2">
                  <c:v>0.57472154494229122</c:v>
                </c:pt>
                <c:pt idx="3">
                  <c:v>0.10720049999999989</c:v>
                </c:pt>
                <c:pt idx="4">
                  <c:v>0.11569999999999987</c:v>
                </c:pt>
                <c:pt idx="5">
                  <c:v>8.8999999999999913E-2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64-4B2B-960B-BDC699411C60}"/>
            </c:ext>
          </c:extLst>
        </c:ser>
        <c:ser>
          <c:idx val="4"/>
          <c:order val="4"/>
          <c:tx>
            <c:strRef>
              <c:f>'Avoided Costs Summary'!$DC$3:$DC$4</c:f>
              <c:strCache>
                <c:ptCount val="2"/>
                <c:pt idx="0">
                  <c:v>Distribution System Costs</c:v>
                </c:pt>
              </c:strCache>
            </c:strRef>
          </c:tx>
          <c:spPr>
            <a:solidFill>
              <a:srgbClr val="FDB813"/>
            </a:solidFill>
            <a:ln>
              <a:solidFill>
                <a:srgbClr val="FDB813"/>
              </a:solidFill>
            </a:ln>
            <a:effectLst/>
          </c:spPr>
          <c:invertIfNegative val="0"/>
          <c:cat>
            <c:strRef>
              <c:f>'Avoided Costs Summary'!$CX$5:$CX$11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Summary'!$DC$5:$DC$11</c:f>
              <c:numCache>
                <c:formatCode>"$"#,##0.00</c:formatCode>
                <c:ptCount val="7"/>
                <c:pt idx="0">
                  <c:v>4.7177651839826265</c:v>
                </c:pt>
                <c:pt idx="1">
                  <c:v>2.3743001252722999</c:v>
                </c:pt>
                <c:pt idx="2">
                  <c:v>5.6890697806849282</c:v>
                </c:pt>
                <c:pt idx="3">
                  <c:v>1.0661644757207054</c:v>
                </c:pt>
                <c:pt idx="4">
                  <c:v>2.9237597173144843</c:v>
                </c:pt>
                <c:pt idx="5">
                  <c:v>0.46855123674911614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64-4B2B-960B-BDC699411C60}"/>
            </c:ext>
          </c:extLst>
        </c:ser>
        <c:ser>
          <c:idx val="5"/>
          <c:order val="5"/>
          <c:tx>
            <c:strRef>
              <c:f>'Avoided Costs Summary'!$DD$3:$DD$4</c:f>
              <c:strCache>
                <c:ptCount val="2"/>
                <c:pt idx="0">
                  <c:v>10% Conservation Credit</c:v>
                </c:pt>
              </c:strCache>
            </c:strRef>
          </c:tx>
          <c:spPr>
            <a:solidFill>
              <a:srgbClr val="AEB1B4"/>
            </a:solidFill>
            <a:ln>
              <a:solidFill>
                <a:srgbClr val="AEB1B4"/>
              </a:solidFill>
            </a:ln>
            <a:effectLst/>
          </c:spPr>
          <c:invertIfNegative val="0"/>
          <c:cat>
            <c:strRef>
              <c:f>'Avoided Costs Summary'!$CX$5:$CX$11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Summary'!$DD$5:$DD$11</c:f>
              <c:numCache>
                <c:formatCode>"$"#,##0.00</c:formatCode>
                <c:ptCount val="7"/>
                <c:pt idx="0">
                  <c:v>0.91919614457124565</c:v>
                </c:pt>
                <c:pt idx="1">
                  <c:v>0.68484963870021287</c:v>
                </c:pt>
                <c:pt idx="2">
                  <c:v>1.0093713753536389</c:v>
                </c:pt>
                <c:pt idx="3">
                  <c:v>0.47528299063915569</c:v>
                </c:pt>
                <c:pt idx="4">
                  <c:v>0.65930588218771835</c:v>
                </c:pt>
                <c:pt idx="5">
                  <c:v>0.41111503413118122</c:v>
                </c:pt>
                <c:pt idx="6">
                  <c:v>0.35535991045626975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64-4B2B-960B-BDC699411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656731088"/>
        <c:axId val="-1656725648"/>
      </c:barChart>
      <c:catAx>
        <c:axId val="-165673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56725648"/>
        <c:crosses val="autoZero"/>
        <c:auto val="1"/>
        <c:lblAlgn val="ctr"/>
        <c:lblOffset val="100"/>
        <c:noMultiLvlLbl val="0"/>
      </c:catAx>
      <c:valAx>
        <c:axId val="-1656725648"/>
        <c:scaling>
          <c:orientation val="minMax"/>
          <c:max val="2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2021$/Dth</a:t>
                </a:r>
              </a:p>
            </c:rich>
          </c:tx>
          <c:layout>
            <c:manualLayout>
              <c:xMode val="edge"/>
              <c:yMode val="edge"/>
              <c:x val="1.7474015748031497E-2"/>
              <c:y val="0.367954447636644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5673108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984312551856912E-2"/>
          <c:y val="0.91509700392083571"/>
          <c:w val="0.93124725709748701"/>
          <c:h val="8.0513719056962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3658062159706"/>
          <c:y val="9.9503811464782835E-2"/>
          <c:w val="0.8759613327764818"/>
          <c:h val="0.65718452605136468"/>
        </c:manualLayout>
      </c:layout>
      <c:barChart>
        <c:barDir val="col"/>
        <c:grouping val="clustered"/>
        <c:varyColors val="0"/>
        <c:ser>
          <c:idx val="0"/>
          <c:order val="0"/>
          <c:tx>
            <c:v>2022 IRP</c:v>
          </c:tx>
          <c:spPr>
            <a:solidFill>
              <a:srgbClr val="00BBE3"/>
            </a:solidFill>
            <a:ln>
              <a:solidFill>
                <a:srgbClr val="00BBE3"/>
              </a:solidFill>
            </a:ln>
            <a:effectLst/>
          </c:spPr>
          <c:invertIfNegative val="0"/>
          <c:cat>
            <c:strRef>
              <c:f>'Avoided Costs Summary'!$EG$40:$EG$46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Summary'!$EH$40:$EH$46</c:f>
              <c:numCache>
                <c:formatCode>"$"#,##0.00</c:formatCode>
                <c:ptCount val="7"/>
                <c:pt idx="0">
                  <c:v>18.58121499341388</c:v>
                </c:pt>
                <c:pt idx="1">
                  <c:v>16.003403428832524</c:v>
                </c:pt>
                <c:pt idx="2">
                  <c:v>19.573142532020206</c:v>
                </c:pt>
                <c:pt idx="3">
                  <c:v>13.698170300160895</c:v>
                </c:pt>
                <c:pt idx="4">
                  <c:v>15.722422107195081</c:v>
                </c:pt>
                <c:pt idx="5">
                  <c:v>12.992322778573177</c:v>
                </c:pt>
                <c:pt idx="6">
                  <c:v>12.379016418149149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5-455B-BFD8-939FD41C6C86}"/>
            </c:ext>
          </c:extLst>
        </c:ser>
        <c:ser>
          <c:idx val="1"/>
          <c:order val="1"/>
          <c:tx>
            <c:strRef>
              <c:f>'Avoided Costs Summary'!$EI$39</c:f>
              <c:strCache>
                <c:ptCount val="1"/>
                <c:pt idx="0">
                  <c:v>2018 IRP Update</c:v>
                </c:pt>
              </c:strCache>
            </c:strRef>
          </c:tx>
          <c:spPr>
            <a:solidFill>
              <a:srgbClr val="F48024"/>
            </a:solidFill>
            <a:ln>
              <a:solidFill>
                <a:srgbClr val="F48024"/>
              </a:solidFill>
            </a:ln>
            <a:effectLst/>
          </c:spPr>
          <c:invertIfNegative val="0"/>
          <c:cat>
            <c:strRef>
              <c:f>'Avoided Costs Summary'!$EG$40:$EG$46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Summary'!$EI$40:$EI$46</c:f>
              <c:numCache>
                <c:formatCode>"$"#,##0.00</c:formatCode>
                <c:ptCount val="7"/>
                <c:pt idx="0">
                  <c:v>15.030046863105495</c:v>
                </c:pt>
                <c:pt idx="1">
                  <c:v>12.760192987014197</c:v>
                </c:pt>
                <c:pt idx="2">
                  <c:v>15.925369083623265</c:v>
                </c:pt>
                <c:pt idx="3">
                  <c:v>11.078343958400065</c:v>
                </c:pt>
                <c:pt idx="4">
                  <c:v>13.083881684930308</c:v>
                </c:pt>
                <c:pt idx="5">
                  <c:v>10.384408571033624</c:v>
                </c:pt>
                <c:pt idx="6">
                  <c:v>9.8074263846391041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5-455B-BFD8-939FD41C6C86}"/>
            </c:ext>
          </c:extLst>
        </c:ser>
        <c:ser>
          <c:idx val="4"/>
          <c:order val="2"/>
          <c:tx>
            <c:v>2018 IRP</c:v>
          </c:tx>
          <c:spPr>
            <a:solidFill>
              <a:srgbClr val="7AC142"/>
            </a:solidFill>
            <a:ln>
              <a:solidFill>
                <a:srgbClr val="7AC142"/>
              </a:solidFill>
            </a:ln>
            <a:effectLst/>
          </c:spPr>
          <c:invertIfNegative val="0"/>
          <c:val>
            <c:numRef>
              <c:f>'Avoided Costs Summary'!$EJ$40:$EJ$46</c:f>
              <c:numCache>
                <c:formatCode>_("$"* #,##0.00_);_("$"* \(#,##0.00\);_("$"* "-"??_);_(@_)</c:formatCode>
                <c:ptCount val="7"/>
                <c:pt idx="0">
                  <c:v>9.8225061983196973</c:v>
                </c:pt>
                <c:pt idx="1">
                  <c:v>8.456372029124104</c:v>
                </c:pt>
                <c:pt idx="2">
                  <c:v>10.225224608954179</c:v>
                </c:pt>
                <c:pt idx="3">
                  <c:v>6.3510074218093067</c:v>
                </c:pt>
                <c:pt idx="4">
                  <c:v>7.5685175221090981</c:v>
                </c:pt>
                <c:pt idx="5">
                  <c:v>5.8849200794151342</c:v>
                </c:pt>
                <c:pt idx="6">
                  <c:v>5.3638477856593889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9B-4F43-B082-F717AB86A027}"/>
            </c:ext>
          </c:extLst>
        </c:ser>
        <c:ser>
          <c:idx val="2"/>
          <c:order val="3"/>
          <c:tx>
            <c:strRef>
              <c:f>'Avoided Costs Summary'!$EK$39</c:f>
              <c:strCache>
                <c:ptCount val="1"/>
                <c:pt idx="0">
                  <c:v>2016 IRP</c:v>
                </c:pt>
              </c:strCache>
            </c:strRef>
          </c:tx>
          <c:spPr>
            <a:solidFill>
              <a:srgbClr val="FDB813"/>
            </a:solidFill>
            <a:ln>
              <a:solidFill>
                <a:srgbClr val="FDB813"/>
              </a:solidFill>
            </a:ln>
            <a:effectLst/>
          </c:spPr>
          <c:invertIfNegative val="0"/>
          <c:cat>
            <c:strRef>
              <c:f>'Avoided Costs Summary'!$EG$40:$EG$46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Summary'!$EK$40:$EK$46</c:f>
              <c:numCache>
                <c:formatCode>_("$"* #,##0.00_);_("$"* \(#,##0.00\);_("$"* "-"??_);_(@_)</c:formatCode>
                <c:ptCount val="7"/>
                <c:pt idx="0">
                  <c:v>6.5946048624679694</c:v>
                </c:pt>
                <c:pt idx="1">
                  <c:v>6.5946048624679694</c:v>
                </c:pt>
                <c:pt idx="2">
                  <c:v>6.3934292365616319</c:v>
                </c:pt>
                <c:pt idx="3">
                  <c:v>4.951030085402965</c:v>
                </c:pt>
                <c:pt idx="4">
                  <c:v>4.951030085402965</c:v>
                </c:pt>
                <c:pt idx="5">
                  <c:v>4.951030085402965</c:v>
                </c:pt>
                <c:pt idx="6">
                  <c:v>4.6982015999105196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25-455B-BFD8-939FD41C6C86}"/>
            </c:ext>
          </c:extLst>
        </c:ser>
        <c:ser>
          <c:idx val="3"/>
          <c:order val="4"/>
          <c:tx>
            <c:strRef>
              <c:f>'Avoided Costs Summary'!$EL$39</c:f>
              <c:strCache>
                <c:ptCount val="1"/>
                <c:pt idx="0">
                  <c:v>2014 IRP</c:v>
                </c:pt>
              </c:strCache>
            </c:strRef>
          </c:tx>
          <c:spPr>
            <a:solidFill>
              <a:srgbClr val="AEB1B4"/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'Avoided Costs Summary'!$EG$40:$EG$46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Summary'!$EL$40:$EL$46</c:f>
              <c:numCache>
                <c:formatCode>_("$"* #,##0.00_);_("$"* \(#,##0.00\);_("$"* "-"??_);_(@_)</c:formatCode>
                <c:ptCount val="7"/>
                <c:pt idx="0">
                  <c:v>5.004767479508228</c:v>
                </c:pt>
                <c:pt idx="1">
                  <c:v>5.004767479508228</c:v>
                </c:pt>
                <c:pt idx="2">
                  <c:v>5.004767479508228</c:v>
                </c:pt>
                <c:pt idx="3">
                  <c:v>5.004767479508228</c:v>
                </c:pt>
                <c:pt idx="4">
                  <c:v>5.004767479508228</c:v>
                </c:pt>
                <c:pt idx="5">
                  <c:v>5.004767479508228</c:v>
                </c:pt>
                <c:pt idx="6">
                  <c:v>5.004767479508228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5-455B-BFD8-939FD41C6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549314864"/>
        <c:axId val="-1549303984"/>
      </c:barChart>
      <c:catAx>
        <c:axId val="-1549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03984"/>
        <c:crosses val="autoZero"/>
        <c:auto val="1"/>
        <c:lblAlgn val="ctr"/>
        <c:lblOffset val="100"/>
        <c:noMultiLvlLbl val="0"/>
      </c:catAx>
      <c:valAx>
        <c:axId val="-1549303984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Levelized Costs* (2021$)</a:t>
                </a:r>
              </a:p>
            </c:rich>
          </c:tx>
          <c:layout>
            <c:manualLayout>
              <c:xMode val="edge"/>
              <c:yMode val="edge"/>
              <c:x val="1.0338423091680163E-2"/>
              <c:y val="0.252096519896484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1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701161141265109"/>
          <c:y val="0.86681051323658298"/>
          <c:w val="0.73029177178095461"/>
          <c:h val="5.570476019509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7764954348366"/>
          <c:y val="9.9503794512551091E-2"/>
          <c:w val="0.87380523100847829"/>
          <c:h val="0.66014583597443877"/>
        </c:manualLayout>
      </c:layout>
      <c:barChart>
        <c:barDir val="col"/>
        <c:grouping val="clustered"/>
        <c:varyColors val="0"/>
        <c:ser>
          <c:idx val="0"/>
          <c:order val="0"/>
          <c:tx>
            <c:v>2022 IRP</c:v>
          </c:tx>
          <c:spPr>
            <a:solidFill>
              <a:srgbClr val="00BBE3"/>
            </a:solidFill>
            <a:ln>
              <a:solidFill>
                <a:srgbClr val="00BBE3"/>
              </a:solidFill>
            </a:ln>
            <a:effectLst/>
          </c:spPr>
          <c:invertIfNegative val="0"/>
          <c:cat>
            <c:strRef>
              <c:f>'Avoided Costs Summary'!$EG$40:$EG$46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Summary'!$EH$47:$EH$53</c:f>
              <c:numCache>
                <c:formatCode>"$"#,##0.00</c:formatCode>
                <c:ptCount val="7"/>
                <c:pt idx="0">
                  <c:v>20.640583421647115</c:v>
                </c:pt>
                <c:pt idx="1">
                  <c:v>16.371447527363056</c:v>
                </c:pt>
                <c:pt idx="2">
                  <c:v>22.333520386380226</c:v>
                </c:pt>
                <c:pt idx="3">
                  <c:v>13.038563620987254</c:v>
                </c:pt>
                <c:pt idx="4">
                  <c:v>16.40277835841934</c:v>
                </c:pt>
                <c:pt idx="5">
                  <c:v>11.900707298348673</c:v>
                </c:pt>
                <c:pt idx="6">
                  <c:v>10.949238393755033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5-410F-B13F-C0A69E1C9F1D}"/>
            </c:ext>
          </c:extLst>
        </c:ser>
        <c:ser>
          <c:idx val="1"/>
          <c:order val="1"/>
          <c:tx>
            <c:strRef>
              <c:f>'Avoided Costs Summary'!$EI$39</c:f>
              <c:strCache>
                <c:ptCount val="1"/>
                <c:pt idx="0">
                  <c:v>2018 IRP Update</c:v>
                </c:pt>
              </c:strCache>
            </c:strRef>
          </c:tx>
          <c:spPr>
            <a:solidFill>
              <a:srgbClr val="F48024"/>
            </a:solidFill>
            <a:ln>
              <a:solidFill>
                <a:srgbClr val="F48024"/>
              </a:solidFill>
            </a:ln>
            <a:effectLst/>
          </c:spPr>
          <c:invertIfNegative val="0"/>
          <c:cat>
            <c:strRef>
              <c:f>'Avoided Costs Summary'!$EG$40:$EG$46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Summary'!$EI$47:$EI$53</c:f>
              <c:numCache>
                <c:formatCode>"$"#,##0.00</c:formatCode>
                <c:ptCount val="7"/>
                <c:pt idx="0">
                  <c:v>18.728890639208153</c:v>
                </c:pt>
                <c:pt idx="1">
                  <c:v>14.969766120432515</c:v>
                </c:pt>
                <c:pt idx="2">
                  <c:v>20.241476349785874</c:v>
                </c:pt>
                <c:pt idx="3">
                  <c:v>12.548570231661882</c:v>
                </c:pt>
                <c:pt idx="4">
                  <c:v>15.885378287962499</c:v>
                </c:pt>
                <c:pt idx="5">
                  <c:v>11.427663878178574</c:v>
                </c:pt>
                <c:pt idx="6">
                  <c:v>10.515139459744505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55-410F-B13F-C0A69E1C9F1D}"/>
            </c:ext>
          </c:extLst>
        </c:ser>
        <c:ser>
          <c:idx val="4"/>
          <c:order val="2"/>
          <c:tx>
            <c:v>2018 IRP</c:v>
          </c:tx>
          <c:spPr>
            <a:solidFill>
              <a:srgbClr val="7AC142"/>
            </a:solidFill>
            <a:ln>
              <a:solidFill>
                <a:srgbClr val="7AC142"/>
              </a:solidFill>
            </a:ln>
            <a:effectLst/>
          </c:spPr>
          <c:invertIfNegative val="0"/>
          <c:val>
            <c:numRef>
              <c:f>'Avoided Costs Summary'!$EJ$47:$EJ$53</c:f>
              <c:numCache>
                <c:formatCode>_("$"* #,##0.00_);_("$"* \(#,##0.00\);_("$"* "-"??_);_(@_)</c:formatCode>
                <c:ptCount val="7"/>
                <c:pt idx="0">
                  <c:v>12.112336710570297</c:v>
                </c:pt>
                <c:pt idx="1">
                  <c:v>9.6530126954481617</c:v>
                </c:pt>
                <c:pt idx="2">
                  <c:v>12.973222689628834</c:v>
                </c:pt>
                <c:pt idx="3">
                  <c:v>7.2296961078298132</c:v>
                </c:pt>
                <c:pt idx="4">
                  <c:v>9.2319669635242629</c:v>
                </c:pt>
                <c:pt idx="5">
                  <c:v>6.2599362941252448</c:v>
                </c:pt>
                <c:pt idx="6">
                  <c:v>5.5020267638929932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3C-4533-B25F-8251108BF47D}"/>
            </c:ext>
          </c:extLst>
        </c:ser>
        <c:ser>
          <c:idx val="2"/>
          <c:order val="3"/>
          <c:tx>
            <c:strRef>
              <c:f>'Avoided Costs Summary'!$EK$39</c:f>
              <c:strCache>
                <c:ptCount val="1"/>
                <c:pt idx="0">
                  <c:v>2016 IRP</c:v>
                </c:pt>
              </c:strCache>
            </c:strRef>
          </c:tx>
          <c:spPr>
            <a:solidFill>
              <a:srgbClr val="FDB813"/>
            </a:solidFill>
            <a:ln>
              <a:solidFill>
                <a:srgbClr val="FDB813"/>
              </a:solidFill>
            </a:ln>
            <a:effectLst/>
          </c:spPr>
          <c:invertIfNegative val="0"/>
          <c:cat>
            <c:strRef>
              <c:f>'Avoided Costs Summary'!$EG$40:$EG$46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Summary'!$EK$47:$EK$53</c:f>
              <c:numCache>
                <c:formatCode>_("$"* #,##0.00_);_("$"* \(#,##0.00\);_("$"* "-"??_);_(@_)</c:formatCode>
                <c:ptCount val="7"/>
                <c:pt idx="0">
                  <c:v>7.6653213556099695</c:v>
                </c:pt>
                <c:pt idx="1">
                  <c:v>7.6653213556099695</c:v>
                </c:pt>
                <c:pt idx="2">
                  <c:v>7.3969554040735321</c:v>
                </c:pt>
                <c:pt idx="3">
                  <c:v>5.4728116667190614</c:v>
                </c:pt>
                <c:pt idx="4">
                  <c:v>5.4728116667190614</c:v>
                </c:pt>
                <c:pt idx="5">
                  <c:v>5.4728116667190614</c:v>
                </c:pt>
                <c:pt idx="6">
                  <c:v>5.1355413996128174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55-410F-B13F-C0A69E1C9F1D}"/>
            </c:ext>
          </c:extLst>
        </c:ser>
        <c:ser>
          <c:idx val="3"/>
          <c:order val="4"/>
          <c:tx>
            <c:strRef>
              <c:f>'Avoided Costs Summary'!$EL$39</c:f>
              <c:strCache>
                <c:ptCount val="1"/>
                <c:pt idx="0">
                  <c:v>2014 IRP</c:v>
                </c:pt>
              </c:strCache>
            </c:strRef>
          </c:tx>
          <c:spPr>
            <a:solidFill>
              <a:srgbClr val="AEB1B4"/>
            </a:solidFill>
            <a:ln>
              <a:solidFill>
                <a:srgbClr val="AEB1B4"/>
              </a:solidFill>
            </a:ln>
            <a:effectLst/>
          </c:spPr>
          <c:invertIfNegative val="0"/>
          <c:cat>
            <c:strRef>
              <c:f>'Avoided Costs Summary'!$EG$40:$EG$46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Summary'!$EL$47:$EL$53</c:f>
              <c:numCache>
                <c:formatCode>_("$"* #,##0.00_);_("$"* \(#,##0.00\);_("$"* "-"??_);_(@_)</c:formatCode>
                <c:ptCount val="7"/>
                <c:pt idx="0">
                  <c:v>5.0093535647474541</c:v>
                </c:pt>
                <c:pt idx="1">
                  <c:v>5.0093535647474541</c:v>
                </c:pt>
                <c:pt idx="2">
                  <c:v>5.0093535647474541</c:v>
                </c:pt>
                <c:pt idx="3">
                  <c:v>5.0093535647474541</c:v>
                </c:pt>
                <c:pt idx="4">
                  <c:v>5.0093535647474541</c:v>
                </c:pt>
                <c:pt idx="5">
                  <c:v>5.0093535647474541</c:v>
                </c:pt>
                <c:pt idx="6">
                  <c:v>5.0093535647474541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55-410F-B13F-C0A69E1C9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549301264"/>
        <c:axId val="-1549314320"/>
      </c:barChart>
      <c:catAx>
        <c:axId val="-154930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14320"/>
        <c:crosses val="autoZero"/>
        <c:auto val="1"/>
        <c:lblAlgn val="ctr"/>
        <c:lblOffset val="100"/>
        <c:noMultiLvlLbl val="0"/>
      </c:catAx>
      <c:valAx>
        <c:axId val="-1549314320"/>
        <c:scaling>
          <c:orientation val="minMax"/>
          <c:max val="2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Levelized Costs* (2021$)</a:t>
                </a:r>
              </a:p>
            </c:rich>
          </c:tx>
          <c:layout>
            <c:manualLayout>
              <c:xMode val="edge"/>
              <c:yMode val="edge"/>
              <c:x val="1.0338423091680163E-2"/>
              <c:y val="0.252096519896484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0126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57808058966723"/>
          <c:y val="0.88165852032359993"/>
          <c:w val="0.73076475867977642"/>
          <c:h val="5.57296728785467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'Residential Breakdowns'!$B$4</c:f>
              <c:strCache>
                <c:ptCount val="1"/>
                <c:pt idx="0">
                  <c:v>Gas and Transport Costs</c:v>
                </c:pt>
              </c:strCache>
            </c:strRef>
          </c:tx>
          <c:spPr>
            <a:solidFill>
              <a:srgbClr val="00BBE3"/>
            </a:solidFill>
            <a:ln>
              <a:solidFill>
                <a:srgbClr val="00BBE3"/>
              </a:solidFill>
            </a:ln>
            <a:effectLst/>
          </c:spPr>
          <c:cat>
            <c:numRef>
              <c:f>'Residential Breakdowns'!$A$5:$A$33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'Residential Breakdowns'!$B$5:$B$33</c:f>
              <c:numCache>
                <c:formatCode>General</c:formatCode>
                <c:ptCount val="29"/>
                <c:pt idx="0">
                  <c:v>5.1185304336064732</c:v>
                </c:pt>
                <c:pt idx="1">
                  <c:v>4.2534567714265599</c:v>
                </c:pt>
                <c:pt idx="2">
                  <c:v>3.5125039916768053</c:v>
                </c:pt>
                <c:pt idx="3">
                  <c:v>3.6143030779979286</c:v>
                </c:pt>
                <c:pt idx="4">
                  <c:v>3.4074015418175341</c:v>
                </c:pt>
                <c:pt idx="5">
                  <c:v>3.4232604267860922</c:v>
                </c:pt>
                <c:pt idx="6">
                  <c:v>3.5434234029988914</c:v>
                </c:pt>
                <c:pt idx="7">
                  <c:v>3.5874976888439321</c:v>
                </c:pt>
                <c:pt idx="8">
                  <c:v>3.5557612338193301</c:v>
                </c:pt>
                <c:pt idx="9">
                  <c:v>3.5912431715702176</c:v>
                </c:pt>
                <c:pt idx="10">
                  <c:v>3.623699951550909</c:v>
                </c:pt>
                <c:pt idx="11">
                  <c:v>3.6780873124986146</c:v>
                </c:pt>
                <c:pt idx="12">
                  <c:v>3.6728461032876671</c:v>
                </c:pt>
                <c:pt idx="13">
                  <c:v>3.595308547219545</c:v>
                </c:pt>
                <c:pt idx="14">
                  <c:v>3.648615397783681</c:v>
                </c:pt>
                <c:pt idx="15">
                  <c:v>3.6821655231922685</c:v>
                </c:pt>
                <c:pt idx="16">
                  <c:v>3.6736781532736882</c:v>
                </c:pt>
                <c:pt idx="17">
                  <c:v>3.7052969255326995</c:v>
                </c:pt>
                <c:pt idx="18">
                  <c:v>3.750331926860079</c:v>
                </c:pt>
                <c:pt idx="19">
                  <c:v>3.7658494534382312</c:v>
                </c:pt>
                <c:pt idx="20">
                  <c:v>3.8982541475621248</c:v>
                </c:pt>
                <c:pt idx="21">
                  <c:v>3.98511916323173</c:v>
                </c:pt>
                <c:pt idx="22">
                  <c:v>4.0479832953707566</c:v>
                </c:pt>
                <c:pt idx="23">
                  <c:v>4.0870366689802848</c:v>
                </c:pt>
                <c:pt idx="24">
                  <c:v>4.1246031030084334</c:v>
                </c:pt>
                <c:pt idx="25">
                  <c:v>4.2073083414359722</c:v>
                </c:pt>
                <c:pt idx="26">
                  <c:v>4.2781292509793563</c:v>
                </c:pt>
                <c:pt idx="27">
                  <c:v>4.3179624183101417</c:v>
                </c:pt>
                <c:pt idx="28">
                  <c:v>4.4818391418678116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A-4968-9984-458F3E881151}"/>
            </c:ext>
          </c:extLst>
        </c:ser>
        <c:ser>
          <c:idx val="1"/>
          <c:order val="1"/>
          <c:tx>
            <c:strRef>
              <c:f>'Residential Breakdowns'!$C$4</c:f>
              <c:strCache>
                <c:ptCount val="1"/>
                <c:pt idx="0">
                  <c:v>Greenhouse Gas Compliance</c:v>
                </c:pt>
              </c:strCache>
            </c:strRef>
          </c:tx>
          <c:spPr>
            <a:solidFill>
              <a:srgbClr val="7AC142"/>
            </a:solidFill>
            <a:ln>
              <a:solidFill>
                <a:srgbClr val="7AC142"/>
              </a:solidFill>
            </a:ln>
            <a:effectLst/>
          </c:spPr>
          <c:cat>
            <c:numRef>
              <c:f>'Residential Breakdowns'!$A$5:$A$33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'Residential Breakdowns'!$C$5:$C$33</c:f>
              <c:numCache>
                <c:formatCode>General</c:formatCode>
                <c:ptCount val="29"/>
                <c:pt idx="0">
                  <c:v>5.7331799999999999</c:v>
                </c:pt>
                <c:pt idx="1">
                  <c:v>5.7862650000000002</c:v>
                </c:pt>
                <c:pt idx="2">
                  <c:v>5.8393499999999996</c:v>
                </c:pt>
                <c:pt idx="3">
                  <c:v>5.8924349999999999</c:v>
                </c:pt>
                <c:pt idx="4">
                  <c:v>5.9455200000000001</c:v>
                </c:pt>
                <c:pt idx="5">
                  <c:v>5.9986050000000004</c:v>
                </c:pt>
                <c:pt idx="6">
                  <c:v>6.0516899999999998</c:v>
                </c:pt>
                <c:pt idx="7">
                  <c:v>6.1047750000000001</c:v>
                </c:pt>
                <c:pt idx="8">
                  <c:v>6.1578600000000003</c:v>
                </c:pt>
                <c:pt idx="9">
                  <c:v>6.2109449999999997</c:v>
                </c:pt>
                <c:pt idx="10">
                  <c:v>6.26403</c:v>
                </c:pt>
                <c:pt idx="11">
                  <c:v>7.8840000000000003</c:v>
                </c:pt>
                <c:pt idx="12">
                  <c:v>7.601</c:v>
                </c:pt>
                <c:pt idx="13">
                  <c:v>7.3079999999999998</c:v>
                </c:pt>
                <c:pt idx="14">
                  <c:v>12.750999999999999</c:v>
                </c:pt>
                <c:pt idx="15">
                  <c:v>12.308</c:v>
                </c:pt>
                <c:pt idx="16">
                  <c:v>11.874000000000001</c:v>
                </c:pt>
                <c:pt idx="17">
                  <c:v>11.414</c:v>
                </c:pt>
                <c:pt idx="18">
                  <c:v>10.836</c:v>
                </c:pt>
                <c:pt idx="19">
                  <c:v>10.35</c:v>
                </c:pt>
                <c:pt idx="20">
                  <c:v>9.8870000000000005</c:v>
                </c:pt>
                <c:pt idx="21">
                  <c:v>9.3360000000000003</c:v>
                </c:pt>
                <c:pt idx="22">
                  <c:v>8.8710000000000004</c:v>
                </c:pt>
                <c:pt idx="23">
                  <c:v>8.2829999999999995</c:v>
                </c:pt>
                <c:pt idx="24">
                  <c:v>7.7060000000000004</c:v>
                </c:pt>
                <c:pt idx="25">
                  <c:v>7.2619999999999996</c:v>
                </c:pt>
                <c:pt idx="26">
                  <c:v>6.8239999999999998</c:v>
                </c:pt>
                <c:pt idx="27">
                  <c:v>6.3360000000000003</c:v>
                </c:pt>
                <c:pt idx="28">
                  <c:v>5.8319999999999999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AA-4968-9984-458F3E881151}"/>
            </c:ext>
          </c:extLst>
        </c:ser>
        <c:ser>
          <c:idx val="2"/>
          <c:order val="2"/>
          <c:tx>
            <c:strRef>
              <c:f>'Residential Breakdowns'!$D$4</c:f>
              <c:strCache>
                <c:ptCount val="1"/>
                <c:pt idx="0">
                  <c:v>Risk Reduction Value</c:v>
                </c:pt>
              </c:strCache>
            </c:strRef>
          </c:tx>
          <c:spPr>
            <a:solidFill>
              <a:srgbClr val="0072AE"/>
            </a:solidFill>
            <a:ln>
              <a:solidFill>
                <a:srgbClr val="0072AE"/>
              </a:solidFill>
            </a:ln>
            <a:effectLst/>
          </c:spPr>
          <c:cat>
            <c:numRef>
              <c:f>'Residential Breakdowns'!$A$5:$A$33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'Residential Breakdowns'!$D$5:$D$33</c:f>
              <c:numCache>
                <c:formatCode>General</c:formatCode>
                <c:ptCount val="29"/>
                <c:pt idx="0">
                  <c:v>0.14880331133089175</c:v>
                </c:pt>
                <c:pt idx="1">
                  <c:v>0.36270794283562946</c:v>
                </c:pt>
                <c:pt idx="2">
                  <c:v>0.51951102983078057</c:v>
                </c:pt>
                <c:pt idx="3">
                  <c:v>0.60491283279708652</c:v>
                </c:pt>
                <c:pt idx="4">
                  <c:v>0.65921210473504832</c:v>
                </c:pt>
                <c:pt idx="5">
                  <c:v>0.76463111022893226</c:v>
                </c:pt>
                <c:pt idx="6">
                  <c:v>0.72693201129516583</c:v>
                </c:pt>
                <c:pt idx="7">
                  <c:v>0.79815934616104789</c:v>
                </c:pt>
                <c:pt idx="8">
                  <c:v>0.8162917715732223</c:v>
                </c:pt>
                <c:pt idx="9">
                  <c:v>0.80965237034685833</c:v>
                </c:pt>
                <c:pt idx="10">
                  <c:v>0.9081101304517718</c:v>
                </c:pt>
                <c:pt idx="11">
                  <c:v>0.89866906251562728</c:v>
                </c:pt>
                <c:pt idx="12">
                  <c:v>0.96726188116472711</c:v>
                </c:pt>
                <c:pt idx="13">
                  <c:v>1.0387817977358944</c:v>
                </c:pt>
                <c:pt idx="14">
                  <c:v>1.036412651724604</c:v>
                </c:pt>
                <c:pt idx="15">
                  <c:v>0.9529558562929572</c:v>
                </c:pt>
                <c:pt idx="16">
                  <c:v>1.061560020905278</c:v>
                </c:pt>
                <c:pt idx="17">
                  <c:v>1.0430217644868609</c:v>
                </c:pt>
                <c:pt idx="18">
                  <c:v>1.1064120820750554</c:v>
                </c:pt>
                <c:pt idx="19">
                  <c:v>1.1025056164197338</c:v>
                </c:pt>
                <c:pt idx="20">
                  <c:v>1.1189897840548277</c:v>
                </c:pt>
                <c:pt idx="21">
                  <c:v>1.1202723279637365</c:v>
                </c:pt>
                <c:pt idx="22">
                  <c:v>1.1430552130874769</c:v>
                </c:pt>
                <c:pt idx="23">
                  <c:v>1.1541454312745167</c:v>
                </c:pt>
                <c:pt idx="24">
                  <c:v>1.2643753089176268</c:v>
                </c:pt>
                <c:pt idx="25">
                  <c:v>1.207893446635762</c:v>
                </c:pt>
                <c:pt idx="26">
                  <c:v>1.2730401947527064</c:v>
                </c:pt>
                <c:pt idx="27">
                  <c:v>1.2484376301133508</c:v>
                </c:pt>
                <c:pt idx="28">
                  <c:v>1.2821042176259949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AA-4968-9984-458F3E881151}"/>
            </c:ext>
          </c:extLst>
        </c:ser>
        <c:ser>
          <c:idx val="3"/>
          <c:order val="3"/>
          <c:tx>
            <c:strRef>
              <c:f>'Residential Breakdowns'!$E$4</c:f>
              <c:strCache>
                <c:ptCount val="1"/>
                <c:pt idx="0">
                  <c:v>Supply Capacity</c:v>
                </c:pt>
              </c:strCache>
            </c:strRef>
          </c:tx>
          <c:spPr>
            <a:solidFill>
              <a:srgbClr val="F48024"/>
            </a:solidFill>
            <a:ln>
              <a:solidFill>
                <a:srgbClr val="F48024"/>
              </a:solidFill>
            </a:ln>
            <a:effectLst/>
          </c:spPr>
          <c:cat>
            <c:numRef>
              <c:f>'Residential Breakdowns'!$A$5:$A$33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'Residential Breakdowns'!$E$5:$E$33</c:f>
              <c:numCache>
                <c:formatCode>General</c:formatCode>
                <c:ptCount val="29"/>
                <c:pt idx="0">
                  <c:v>0.6442738338206585</c:v>
                </c:pt>
                <c:pt idx="1">
                  <c:v>0.6442738338206585</c:v>
                </c:pt>
                <c:pt idx="2">
                  <c:v>0.6442738338206585</c:v>
                </c:pt>
                <c:pt idx="3">
                  <c:v>0.6442738338206585</c:v>
                </c:pt>
                <c:pt idx="4">
                  <c:v>0.6442738338206585</c:v>
                </c:pt>
                <c:pt idx="5">
                  <c:v>0.6442738338206585</c:v>
                </c:pt>
                <c:pt idx="6">
                  <c:v>0.6442738338206585</c:v>
                </c:pt>
                <c:pt idx="7">
                  <c:v>0.6442738338206585</c:v>
                </c:pt>
                <c:pt idx="8">
                  <c:v>0.6442738338206585</c:v>
                </c:pt>
                <c:pt idx="9">
                  <c:v>0.6442738338206585</c:v>
                </c:pt>
                <c:pt idx="10">
                  <c:v>0.6442738338206585</c:v>
                </c:pt>
                <c:pt idx="11">
                  <c:v>0.6442738338206585</c:v>
                </c:pt>
                <c:pt idx="12">
                  <c:v>0.6442738338206585</c:v>
                </c:pt>
                <c:pt idx="13">
                  <c:v>0.6442738338206585</c:v>
                </c:pt>
                <c:pt idx="14">
                  <c:v>0.6442738338206585</c:v>
                </c:pt>
                <c:pt idx="15">
                  <c:v>0.6442738338206585</c:v>
                </c:pt>
                <c:pt idx="16">
                  <c:v>0.6442738338206585</c:v>
                </c:pt>
                <c:pt idx="17">
                  <c:v>0.6442738338206585</c:v>
                </c:pt>
                <c:pt idx="18">
                  <c:v>0.6442738338206585</c:v>
                </c:pt>
                <c:pt idx="19">
                  <c:v>0.6442738338206585</c:v>
                </c:pt>
                <c:pt idx="20">
                  <c:v>0.6442738338206585</c:v>
                </c:pt>
                <c:pt idx="21">
                  <c:v>0.6442738338206585</c:v>
                </c:pt>
                <c:pt idx="22">
                  <c:v>0.6442738338206585</c:v>
                </c:pt>
                <c:pt idx="23">
                  <c:v>0.6442738338206585</c:v>
                </c:pt>
                <c:pt idx="24">
                  <c:v>0.6442738338206585</c:v>
                </c:pt>
                <c:pt idx="25">
                  <c:v>0.6442738338206585</c:v>
                </c:pt>
                <c:pt idx="26">
                  <c:v>0.6442738338206585</c:v>
                </c:pt>
                <c:pt idx="27">
                  <c:v>0.6442738338206585</c:v>
                </c:pt>
                <c:pt idx="28">
                  <c:v>0.6442738338206585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AA-4968-9984-458F3E881151}"/>
            </c:ext>
          </c:extLst>
        </c:ser>
        <c:ser>
          <c:idx val="4"/>
          <c:order val="4"/>
          <c:tx>
            <c:strRef>
              <c:f>'Residential Breakdowns'!$F$4</c:f>
              <c:strCache>
                <c:ptCount val="1"/>
                <c:pt idx="0">
                  <c:v>Distribution Capacity</c:v>
                </c:pt>
              </c:strCache>
            </c:strRef>
          </c:tx>
          <c:spPr>
            <a:solidFill>
              <a:srgbClr val="FDB813"/>
            </a:solidFill>
            <a:ln>
              <a:solidFill>
                <a:srgbClr val="FDB813"/>
              </a:solidFill>
            </a:ln>
            <a:effectLst/>
          </c:spPr>
          <c:cat>
            <c:numRef>
              <c:f>'Residential Breakdowns'!$A$5:$A$33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'Residential Breakdowns'!$F$5:$F$33</c:f>
              <c:numCache>
                <c:formatCode>General</c:formatCode>
                <c:ptCount val="29"/>
                <c:pt idx="0">
                  <c:v>4.71776518398263</c:v>
                </c:pt>
                <c:pt idx="1">
                  <c:v>4.71776518398263</c:v>
                </c:pt>
                <c:pt idx="2">
                  <c:v>4.71776518398263</c:v>
                </c:pt>
                <c:pt idx="3">
                  <c:v>4.71776518398263</c:v>
                </c:pt>
                <c:pt idx="4">
                  <c:v>4.71776518398263</c:v>
                </c:pt>
                <c:pt idx="5">
                  <c:v>4.71776518398263</c:v>
                </c:pt>
                <c:pt idx="6">
                  <c:v>4.71776518398263</c:v>
                </c:pt>
                <c:pt idx="7">
                  <c:v>4.71776518398263</c:v>
                </c:pt>
                <c:pt idx="8">
                  <c:v>4.71776518398263</c:v>
                </c:pt>
                <c:pt idx="9">
                  <c:v>4.71776518398263</c:v>
                </c:pt>
                <c:pt idx="10">
                  <c:v>4.71776518398263</c:v>
                </c:pt>
                <c:pt idx="11">
                  <c:v>4.71776518398263</c:v>
                </c:pt>
                <c:pt idx="12">
                  <c:v>4.71776518398263</c:v>
                </c:pt>
                <c:pt idx="13">
                  <c:v>4.71776518398263</c:v>
                </c:pt>
                <c:pt idx="14">
                  <c:v>4.71776518398263</c:v>
                </c:pt>
                <c:pt idx="15">
                  <c:v>4.71776518398263</c:v>
                </c:pt>
                <c:pt idx="16">
                  <c:v>4.71776518398263</c:v>
                </c:pt>
                <c:pt idx="17">
                  <c:v>4.71776518398263</c:v>
                </c:pt>
                <c:pt idx="18">
                  <c:v>4.71776518398263</c:v>
                </c:pt>
                <c:pt idx="19">
                  <c:v>4.71776518398263</c:v>
                </c:pt>
                <c:pt idx="20">
                  <c:v>4.71776518398263</c:v>
                </c:pt>
                <c:pt idx="21">
                  <c:v>4.71776518398263</c:v>
                </c:pt>
                <c:pt idx="22">
                  <c:v>4.71776518398263</c:v>
                </c:pt>
                <c:pt idx="23">
                  <c:v>4.71776518398263</c:v>
                </c:pt>
                <c:pt idx="24">
                  <c:v>4.71776518398263</c:v>
                </c:pt>
                <c:pt idx="25">
                  <c:v>4.71776518398263</c:v>
                </c:pt>
                <c:pt idx="26">
                  <c:v>4.71776518398263</c:v>
                </c:pt>
                <c:pt idx="27">
                  <c:v>4.71776518398263</c:v>
                </c:pt>
                <c:pt idx="28">
                  <c:v>4.71776518398263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AA-4968-9984-458F3E881151}"/>
            </c:ext>
          </c:extLst>
        </c:ser>
        <c:ser>
          <c:idx val="5"/>
          <c:order val="5"/>
          <c:tx>
            <c:strRef>
              <c:f>'Residential Breakdowns'!$G$4</c:f>
              <c:strCache>
                <c:ptCount val="1"/>
                <c:pt idx="0">
                  <c:v>Conservation Adder</c:v>
                </c:pt>
              </c:strCache>
            </c:strRef>
          </c:tx>
          <c:spPr>
            <a:solidFill>
              <a:srgbClr val="AEB1B4"/>
            </a:solidFill>
            <a:ln>
              <a:solidFill>
                <a:srgbClr val="AEB1B4"/>
              </a:solidFill>
            </a:ln>
            <a:effectLst/>
          </c:spPr>
          <c:cat>
            <c:numRef>
              <c:f>'Residential Breakdowns'!$A$5:$A$33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'Residential Breakdowns'!$G$5:$G$33</c:f>
              <c:numCache>
                <c:formatCode>General</c:formatCode>
                <c:ptCount val="29"/>
                <c:pt idx="0">
                  <c:v>1.0480569451409762</c:v>
                </c:pt>
                <c:pt idx="1">
                  <c:v>0.96154957892298487</c:v>
                </c:pt>
                <c:pt idx="2">
                  <c:v>0.88745430094800948</c:v>
                </c:pt>
                <c:pt idx="3">
                  <c:v>0.89763420958012186</c:v>
                </c:pt>
                <c:pt idx="4">
                  <c:v>0.87694405596208225</c:v>
                </c:pt>
                <c:pt idx="5">
                  <c:v>0.87852994445893806</c:v>
                </c:pt>
                <c:pt idx="6">
                  <c:v>0.89054624208021815</c:v>
                </c:pt>
                <c:pt idx="7">
                  <c:v>0.89495367066472209</c:v>
                </c:pt>
                <c:pt idx="8">
                  <c:v>0.89178002516226196</c:v>
                </c:pt>
                <c:pt idx="9">
                  <c:v>0.89532821893735071</c:v>
                </c:pt>
                <c:pt idx="10">
                  <c:v>0.89857389693541989</c:v>
                </c:pt>
                <c:pt idx="11">
                  <c:v>0.90401263303019042</c:v>
                </c:pt>
                <c:pt idx="12">
                  <c:v>0.90348851210909553</c:v>
                </c:pt>
                <c:pt idx="13">
                  <c:v>0.89573475650228351</c:v>
                </c:pt>
                <c:pt idx="14">
                  <c:v>0.90106544155869706</c:v>
                </c:pt>
                <c:pt idx="15">
                  <c:v>0.90442045409955585</c:v>
                </c:pt>
                <c:pt idx="16">
                  <c:v>0.90357171710769768</c:v>
                </c:pt>
                <c:pt idx="17">
                  <c:v>0.9067335943335989</c:v>
                </c:pt>
                <c:pt idx="18">
                  <c:v>0.91123709446633683</c:v>
                </c:pt>
                <c:pt idx="19">
                  <c:v>0.91278884712415198</c:v>
                </c:pt>
                <c:pt idx="20">
                  <c:v>0.92602931653654152</c:v>
                </c:pt>
                <c:pt idx="21">
                  <c:v>0.93471581810350191</c:v>
                </c:pt>
                <c:pt idx="22">
                  <c:v>0.94100223131740468</c:v>
                </c:pt>
                <c:pt idx="23">
                  <c:v>0.94490756867835735</c:v>
                </c:pt>
                <c:pt idx="24">
                  <c:v>0.94866421208117235</c:v>
                </c:pt>
                <c:pt idx="25">
                  <c:v>0.95693473592392619</c:v>
                </c:pt>
                <c:pt idx="26">
                  <c:v>0.96401682687826451</c:v>
                </c:pt>
                <c:pt idx="27">
                  <c:v>0.96800014361134312</c:v>
                </c:pt>
                <c:pt idx="28">
                  <c:v>0.98438781596711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AA-4968-9984-458F3E881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4911536"/>
        <c:axId val="1534907376"/>
      </c:areaChart>
      <c:catAx>
        <c:axId val="153491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4907376"/>
        <c:crosses val="autoZero"/>
        <c:auto val="1"/>
        <c:lblAlgn val="ctr"/>
        <c:lblOffset val="100"/>
        <c:noMultiLvlLbl val="0"/>
      </c:catAx>
      <c:valAx>
        <c:axId val="1534907376"/>
        <c:scaling>
          <c:orientation val="minMax"/>
          <c:max val="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Avoided Costs (2021$/Dth)</a:t>
                </a:r>
              </a:p>
            </c:rich>
          </c:tx>
          <c:layout>
            <c:manualLayout>
              <c:xMode val="edge"/>
              <c:yMode val="edge"/>
              <c:x val="1.9269510379258999E-2"/>
              <c:y val="0.188250934246602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4911536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'Residential Breakdowns'!$J$4</c:f>
              <c:strCache>
                <c:ptCount val="1"/>
                <c:pt idx="0">
                  <c:v>Gas and Transport Costs</c:v>
                </c:pt>
              </c:strCache>
            </c:strRef>
          </c:tx>
          <c:spPr>
            <a:solidFill>
              <a:srgbClr val="00BBE3"/>
            </a:solidFill>
            <a:ln w="25400">
              <a:solidFill>
                <a:srgbClr val="00BBE3"/>
              </a:solidFill>
            </a:ln>
            <a:effectLst/>
          </c:spPr>
          <c:cat>
            <c:numRef>
              <c:f>'Residential Breakdowns'!$A$5:$A$33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'Residential Breakdowns'!$J$5:$J$33</c:f>
              <c:numCache>
                <c:formatCode>General</c:formatCode>
                <c:ptCount val="29"/>
                <c:pt idx="0">
                  <c:v>5.1185304336064732</c:v>
                </c:pt>
                <c:pt idx="1">
                  <c:v>4.2534567714265599</c:v>
                </c:pt>
                <c:pt idx="2">
                  <c:v>3.5125039916768053</c:v>
                </c:pt>
                <c:pt idx="3">
                  <c:v>3.6143030779979286</c:v>
                </c:pt>
                <c:pt idx="4">
                  <c:v>3.4074015418175341</c:v>
                </c:pt>
                <c:pt idx="5">
                  <c:v>3.4232604267860922</c:v>
                </c:pt>
                <c:pt idx="6">
                  <c:v>3.5434234029988914</c:v>
                </c:pt>
                <c:pt idx="7">
                  <c:v>3.5874976888439321</c:v>
                </c:pt>
                <c:pt idx="8">
                  <c:v>3.5557612338193301</c:v>
                </c:pt>
                <c:pt idx="9">
                  <c:v>3.5912431715702176</c:v>
                </c:pt>
                <c:pt idx="10">
                  <c:v>3.623699951550909</c:v>
                </c:pt>
                <c:pt idx="11">
                  <c:v>3.6780873124986146</c:v>
                </c:pt>
                <c:pt idx="12">
                  <c:v>3.6728461032876671</c:v>
                </c:pt>
                <c:pt idx="13">
                  <c:v>3.595308547219545</c:v>
                </c:pt>
                <c:pt idx="14">
                  <c:v>3.648615397783681</c:v>
                </c:pt>
                <c:pt idx="15">
                  <c:v>3.6821655231922685</c:v>
                </c:pt>
                <c:pt idx="16">
                  <c:v>3.6736781532736882</c:v>
                </c:pt>
                <c:pt idx="17">
                  <c:v>3.7052969255326995</c:v>
                </c:pt>
                <c:pt idx="18">
                  <c:v>3.750331926860079</c:v>
                </c:pt>
                <c:pt idx="19">
                  <c:v>3.7658494534382312</c:v>
                </c:pt>
                <c:pt idx="20">
                  <c:v>3.8982541475621248</c:v>
                </c:pt>
                <c:pt idx="21">
                  <c:v>3.98511916323173</c:v>
                </c:pt>
                <c:pt idx="22">
                  <c:v>4.0479832953707566</c:v>
                </c:pt>
                <c:pt idx="23">
                  <c:v>4.0870366689802848</c:v>
                </c:pt>
                <c:pt idx="24">
                  <c:v>4.1246031030084334</c:v>
                </c:pt>
                <c:pt idx="25">
                  <c:v>4.2073083414359722</c:v>
                </c:pt>
                <c:pt idx="26">
                  <c:v>4.2781292509793563</c:v>
                </c:pt>
                <c:pt idx="27">
                  <c:v>4.3179624183101417</c:v>
                </c:pt>
                <c:pt idx="28">
                  <c:v>4.4818391418678116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B-449A-935F-9B84A97E08B3}"/>
            </c:ext>
          </c:extLst>
        </c:ser>
        <c:ser>
          <c:idx val="1"/>
          <c:order val="1"/>
          <c:tx>
            <c:strRef>
              <c:f>'Residential Breakdowns'!$K$4</c:f>
              <c:strCache>
                <c:ptCount val="1"/>
                <c:pt idx="0">
                  <c:v>Greenhouse Gas Compliance</c:v>
                </c:pt>
              </c:strCache>
            </c:strRef>
          </c:tx>
          <c:spPr>
            <a:solidFill>
              <a:srgbClr val="7AC142"/>
            </a:solidFill>
            <a:ln w="25400">
              <a:solidFill>
                <a:srgbClr val="7AC142"/>
              </a:solidFill>
            </a:ln>
            <a:effectLst/>
          </c:spPr>
          <c:cat>
            <c:numRef>
              <c:f>'Residential Breakdowns'!$A$5:$A$33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'Residential Breakdowns'!$K$5:$K$33</c:f>
              <c:numCache>
                <c:formatCode>General</c:formatCode>
                <c:ptCount val="29"/>
                <c:pt idx="0">
                  <c:v>5.2094466283790943</c:v>
                </c:pt>
                <c:pt idx="1">
                  <c:v>5.3108470493694417</c:v>
                </c:pt>
                <c:pt idx="2">
                  <c:v>5.41224747035979</c:v>
                </c:pt>
                <c:pt idx="3">
                  <c:v>5.5136478913501366</c:v>
                </c:pt>
                <c:pt idx="4">
                  <c:v>5.6023732597166909</c:v>
                </c:pt>
                <c:pt idx="5">
                  <c:v>5.6910986280832443</c:v>
                </c:pt>
                <c:pt idx="6">
                  <c:v>5.7798239964497986</c:v>
                </c:pt>
                <c:pt idx="7">
                  <c:v>5.868549364816352</c:v>
                </c:pt>
                <c:pt idx="8">
                  <c:v>5.9572747331829063</c:v>
                </c:pt>
                <c:pt idx="9">
                  <c:v>6.0333250489256667</c:v>
                </c:pt>
                <c:pt idx="10">
                  <c:v>6.1093753646684279</c:v>
                </c:pt>
                <c:pt idx="11">
                  <c:v>6.1854256804111873</c:v>
                </c:pt>
                <c:pt idx="12">
                  <c:v>6.2614759961539477</c:v>
                </c:pt>
                <c:pt idx="13">
                  <c:v>6.3375263118967089</c:v>
                </c:pt>
                <c:pt idx="14">
                  <c:v>6.4389267328870554</c:v>
                </c:pt>
                <c:pt idx="15">
                  <c:v>6.5403271538774037</c:v>
                </c:pt>
                <c:pt idx="16">
                  <c:v>6.6417275748677502</c:v>
                </c:pt>
                <c:pt idx="17">
                  <c:v>6.7431279958580985</c:v>
                </c:pt>
                <c:pt idx="18">
                  <c:v>6.844528416848445</c:v>
                </c:pt>
                <c:pt idx="19">
                  <c:v>6.9205787325912063</c:v>
                </c:pt>
                <c:pt idx="20">
                  <c:v>6.9966290483339666</c:v>
                </c:pt>
                <c:pt idx="21">
                  <c:v>7.0726793640767269</c:v>
                </c:pt>
                <c:pt idx="22">
                  <c:v>7.1487296798194873</c:v>
                </c:pt>
                <c:pt idx="23">
                  <c:v>7.2247799955622476</c:v>
                </c:pt>
                <c:pt idx="24">
                  <c:v>7.326180416552595</c:v>
                </c:pt>
                <c:pt idx="25">
                  <c:v>7.4275808375429424</c:v>
                </c:pt>
                <c:pt idx="26">
                  <c:v>7.5289812585332898</c:v>
                </c:pt>
                <c:pt idx="27">
                  <c:v>7.6303816795236381</c:v>
                </c:pt>
                <c:pt idx="28">
                  <c:v>7.7317821005139846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6B-449A-935F-9B84A97E08B3}"/>
            </c:ext>
          </c:extLst>
        </c:ser>
        <c:ser>
          <c:idx val="2"/>
          <c:order val="2"/>
          <c:tx>
            <c:strRef>
              <c:f>'Residential Breakdowns'!$L$4</c:f>
              <c:strCache>
                <c:ptCount val="1"/>
                <c:pt idx="0">
                  <c:v>Risk Reduction Value</c:v>
                </c:pt>
              </c:strCache>
            </c:strRef>
          </c:tx>
          <c:spPr>
            <a:solidFill>
              <a:srgbClr val="0072AE"/>
            </a:solidFill>
            <a:ln w="25400">
              <a:solidFill>
                <a:srgbClr val="0072AE"/>
              </a:solidFill>
            </a:ln>
            <a:effectLst/>
          </c:spPr>
          <c:cat>
            <c:numRef>
              <c:f>'Residential Breakdowns'!$A$5:$A$33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'Residential Breakdowns'!$L$5:$L$33</c:f>
              <c:numCache>
                <c:formatCode>General</c:formatCode>
                <c:ptCount val="29"/>
                <c:pt idx="0">
                  <c:v>0.14880331133089175</c:v>
                </c:pt>
                <c:pt idx="1">
                  <c:v>0.36270794283562946</c:v>
                </c:pt>
                <c:pt idx="2">
                  <c:v>0.51951102983078057</c:v>
                </c:pt>
                <c:pt idx="3">
                  <c:v>0.60491283279708652</c:v>
                </c:pt>
                <c:pt idx="4">
                  <c:v>0.65921210473504832</c:v>
                </c:pt>
                <c:pt idx="5">
                  <c:v>0.76463111022893226</c:v>
                </c:pt>
                <c:pt idx="6">
                  <c:v>0.72693201129516583</c:v>
                </c:pt>
                <c:pt idx="7">
                  <c:v>0.79815934616104789</c:v>
                </c:pt>
                <c:pt idx="8">
                  <c:v>0.8162917715732223</c:v>
                </c:pt>
                <c:pt idx="9">
                  <c:v>0.80965237034685833</c:v>
                </c:pt>
                <c:pt idx="10">
                  <c:v>0.9081101304517718</c:v>
                </c:pt>
                <c:pt idx="11">
                  <c:v>0.89866906251562728</c:v>
                </c:pt>
                <c:pt idx="12">
                  <c:v>0.96726188116472711</c:v>
                </c:pt>
                <c:pt idx="13">
                  <c:v>1.0387817977358944</c:v>
                </c:pt>
                <c:pt idx="14">
                  <c:v>1.036412651724604</c:v>
                </c:pt>
                <c:pt idx="15">
                  <c:v>0.9529558562929572</c:v>
                </c:pt>
                <c:pt idx="16">
                  <c:v>1.061560020905278</c:v>
                </c:pt>
                <c:pt idx="17">
                  <c:v>1.0430217644868609</c:v>
                </c:pt>
                <c:pt idx="18">
                  <c:v>1.1064120820750554</c:v>
                </c:pt>
                <c:pt idx="19">
                  <c:v>1.1025056164197338</c:v>
                </c:pt>
                <c:pt idx="20">
                  <c:v>1.1189897840548277</c:v>
                </c:pt>
                <c:pt idx="21">
                  <c:v>1.1202723279637365</c:v>
                </c:pt>
                <c:pt idx="22">
                  <c:v>1.1430552130874769</c:v>
                </c:pt>
                <c:pt idx="23">
                  <c:v>1.1541454312745167</c:v>
                </c:pt>
                <c:pt idx="24">
                  <c:v>1.2643753089176268</c:v>
                </c:pt>
                <c:pt idx="25">
                  <c:v>1.207893446635762</c:v>
                </c:pt>
                <c:pt idx="26">
                  <c:v>1.2730401947527064</c:v>
                </c:pt>
                <c:pt idx="27">
                  <c:v>1.2484376301133508</c:v>
                </c:pt>
                <c:pt idx="28">
                  <c:v>1.2821042176259949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6B-449A-935F-9B84A97E08B3}"/>
            </c:ext>
          </c:extLst>
        </c:ser>
        <c:ser>
          <c:idx val="3"/>
          <c:order val="3"/>
          <c:tx>
            <c:strRef>
              <c:f>'Residential Breakdowns'!$M$4</c:f>
              <c:strCache>
                <c:ptCount val="1"/>
                <c:pt idx="0">
                  <c:v>Supply Capacity</c:v>
                </c:pt>
              </c:strCache>
            </c:strRef>
          </c:tx>
          <c:spPr>
            <a:solidFill>
              <a:srgbClr val="F68E1E"/>
            </a:solidFill>
            <a:ln w="25400">
              <a:solidFill>
                <a:srgbClr val="F48024"/>
              </a:solidFill>
            </a:ln>
            <a:effectLst/>
          </c:spPr>
          <c:cat>
            <c:numRef>
              <c:f>'Residential Breakdowns'!$A$5:$A$33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'Residential Breakdowns'!$M$5:$M$33</c:f>
              <c:numCache>
                <c:formatCode>General</c:formatCode>
                <c:ptCount val="29"/>
                <c:pt idx="0">
                  <c:v>0.6442738338206585</c:v>
                </c:pt>
                <c:pt idx="1">
                  <c:v>0.6442738338206585</c:v>
                </c:pt>
                <c:pt idx="2">
                  <c:v>0.6442738338206585</c:v>
                </c:pt>
                <c:pt idx="3">
                  <c:v>0.6442738338206585</c:v>
                </c:pt>
                <c:pt idx="4">
                  <c:v>0.6442738338206585</c:v>
                </c:pt>
                <c:pt idx="5">
                  <c:v>0.6442738338206585</c:v>
                </c:pt>
                <c:pt idx="6">
                  <c:v>0.6442738338206585</c:v>
                </c:pt>
                <c:pt idx="7">
                  <c:v>0.6442738338206585</c:v>
                </c:pt>
                <c:pt idx="8">
                  <c:v>0.6442738338206585</c:v>
                </c:pt>
                <c:pt idx="9">
                  <c:v>0.6442738338206585</c:v>
                </c:pt>
                <c:pt idx="10">
                  <c:v>0.6442738338206585</c:v>
                </c:pt>
                <c:pt idx="11">
                  <c:v>0.6442738338206585</c:v>
                </c:pt>
                <c:pt idx="12">
                  <c:v>0.6442738338206585</c:v>
                </c:pt>
                <c:pt idx="13">
                  <c:v>0.6442738338206585</c:v>
                </c:pt>
                <c:pt idx="14">
                  <c:v>0.6442738338206585</c:v>
                </c:pt>
                <c:pt idx="15">
                  <c:v>0.6442738338206585</c:v>
                </c:pt>
                <c:pt idx="16">
                  <c:v>0.6442738338206585</c:v>
                </c:pt>
                <c:pt idx="17">
                  <c:v>0.6442738338206585</c:v>
                </c:pt>
                <c:pt idx="18">
                  <c:v>0.6442738338206585</c:v>
                </c:pt>
                <c:pt idx="19">
                  <c:v>0.6442738338206585</c:v>
                </c:pt>
                <c:pt idx="20">
                  <c:v>0.6442738338206585</c:v>
                </c:pt>
                <c:pt idx="21">
                  <c:v>0.6442738338206585</c:v>
                </c:pt>
                <c:pt idx="22">
                  <c:v>0.6442738338206585</c:v>
                </c:pt>
                <c:pt idx="23">
                  <c:v>0.6442738338206585</c:v>
                </c:pt>
                <c:pt idx="24">
                  <c:v>0.6442738338206585</c:v>
                </c:pt>
                <c:pt idx="25">
                  <c:v>0.6442738338206585</c:v>
                </c:pt>
                <c:pt idx="26">
                  <c:v>0.6442738338206585</c:v>
                </c:pt>
                <c:pt idx="27">
                  <c:v>0.6442738338206585</c:v>
                </c:pt>
                <c:pt idx="28">
                  <c:v>0.6442738338206585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6B-449A-935F-9B84A97E08B3}"/>
            </c:ext>
          </c:extLst>
        </c:ser>
        <c:ser>
          <c:idx val="4"/>
          <c:order val="4"/>
          <c:tx>
            <c:strRef>
              <c:f>'Residential Breakdowns'!$N$4</c:f>
              <c:strCache>
                <c:ptCount val="1"/>
                <c:pt idx="0">
                  <c:v>Distribution Capacity</c:v>
                </c:pt>
              </c:strCache>
            </c:strRef>
          </c:tx>
          <c:spPr>
            <a:solidFill>
              <a:srgbClr val="FDB813"/>
            </a:solidFill>
            <a:ln w="25400">
              <a:solidFill>
                <a:srgbClr val="FDB813"/>
              </a:solidFill>
            </a:ln>
            <a:effectLst/>
          </c:spPr>
          <c:cat>
            <c:numRef>
              <c:f>'Residential Breakdowns'!$A$5:$A$33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'Residential Breakdowns'!$N$5:$N$33</c:f>
              <c:numCache>
                <c:formatCode>General</c:formatCode>
                <c:ptCount val="29"/>
                <c:pt idx="0">
                  <c:v>7.8131314811658026</c:v>
                </c:pt>
                <c:pt idx="1">
                  <c:v>7.8131314811658026</c:v>
                </c:pt>
                <c:pt idx="2">
                  <c:v>7.8131314811658026</c:v>
                </c:pt>
                <c:pt idx="3">
                  <c:v>7.8131314811658026</c:v>
                </c:pt>
                <c:pt idx="4">
                  <c:v>7.8131314811658026</c:v>
                </c:pt>
                <c:pt idx="5">
                  <c:v>7.8131314811658026</c:v>
                </c:pt>
                <c:pt idx="6">
                  <c:v>7.8131314811658026</c:v>
                </c:pt>
                <c:pt idx="7">
                  <c:v>7.8131314811658026</c:v>
                </c:pt>
                <c:pt idx="8">
                  <c:v>7.8131314811658026</c:v>
                </c:pt>
                <c:pt idx="9">
                  <c:v>7.8131314811658026</c:v>
                </c:pt>
                <c:pt idx="10">
                  <c:v>7.8131314811658026</c:v>
                </c:pt>
                <c:pt idx="11">
                  <c:v>7.8131314811658026</c:v>
                </c:pt>
                <c:pt idx="12">
                  <c:v>7.8131314811658026</c:v>
                </c:pt>
                <c:pt idx="13">
                  <c:v>7.8131314811658026</c:v>
                </c:pt>
                <c:pt idx="14">
                  <c:v>7.8131314811658026</c:v>
                </c:pt>
                <c:pt idx="15">
                  <c:v>7.8131314811658026</c:v>
                </c:pt>
                <c:pt idx="16">
                  <c:v>7.8131314811658026</c:v>
                </c:pt>
                <c:pt idx="17">
                  <c:v>7.8131314811658026</c:v>
                </c:pt>
                <c:pt idx="18">
                  <c:v>7.8131314811658026</c:v>
                </c:pt>
                <c:pt idx="19">
                  <c:v>7.8131314811658026</c:v>
                </c:pt>
                <c:pt idx="20">
                  <c:v>7.8131314811658026</c:v>
                </c:pt>
                <c:pt idx="21">
                  <c:v>7.8131314811658026</c:v>
                </c:pt>
                <c:pt idx="22">
                  <c:v>7.8131314811658026</c:v>
                </c:pt>
                <c:pt idx="23">
                  <c:v>7.8131314811658026</c:v>
                </c:pt>
                <c:pt idx="24">
                  <c:v>7.8131314811658026</c:v>
                </c:pt>
                <c:pt idx="25">
                  <c:v>7.8131314811658026</c:v>
                </c:pt>
                <c:pt idx="26">
                  <c:v>7.8131314811658026</c:v>
                </c:pt>
                <c:pt idx="27">
                  <c:v>7.8131314811658026</c:v>
                </c:pt>
                <c:pt idx="28">
                  <c:v>7.8131314811658026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6B-449A-935F-9B84A97E08B3}"/>
            </c:ext>
          </c:extLst>
        </c:ser>
        <c:ser>
          <c:idx val="5"/>
          <c:order val="5"/>
          <c:tx>
            <c:strRef>
              <c:f>'Residential Breakdowns'!$O$4</c:f>
              <c:strCache>
                <c:ptCount val="1"/>
                <c:pt idx="0">
                  <c:v>Conservation Adder</c:v>
                </c:pt>
              </c:strCache>
            </c:strRef>
          </c:tx>
          <c:spPr>
            <a:solidFill>
              <a:srgbClr val="AEB1B4"/>
            </a:solidFill>
            <a:ln w="25400">
              <a:noFill/>
            </a:ln>
            <a:effectLst/>
          </c:spPr>
          <c:cat>
            <c:numRef>
              <c:f>'Residential Breakdowns'!$A$5:$A$33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'Residential Breakdowns'!$O$5:$O$33</c:f>
              <c:numCache>
                <c:formatCode>General</c:formatCode>
                <c:ptCount val="29"/>
                <c:pt idx="0">
                  <c:v>1.3575935748592936</c:v>
                </c:pt>
                <c:pt idx="1">
                  <c:v>1.2710862086413022</c:v>
                </c:pt>
                <c:pt idx="2">
                  <c:v>1.1969909306663267</c:v>
                </c:pt>
                <c:pt idx="3">
                  <c:v>1.2071708392984393</c:v>
                </c:pt>
                <c:pt idx="4">
                  <c:v>1.1864806856803995</c:v>
                </c:pt>
                <c:pt idx="5">
                  <c:v>1.1880665741772554</c:v>
                </c:pt>
                <c:pt idx="6">
                  <c:v>1.2000828717985355</c:v>
                </c:pt>
                <c:pt idx="7">
                  <c:v>1.2044903003830394</c:v>
                </c:pt>
                <c:pt idx="8">
                  <c:v>1.2013166548805794</c:v>
                </c:pt>
                <c:pt idx="9">
                  <c:v>1.2048648486556681</c:v>
                </c:pt>
                <c:pt idx="10">
                  <c:v>1.2081105266537371</c:v>
                </c:pt>
                <c:pt idx="11">
                  <c:v>1.2135492627485078</c:v>
                </c:pt>
                <c:pt idx="12">
                  <c:v>1.2130251418274129</c:v>
                </c:pt>
                <c:pt idx="13">
                  <c:v>1.2052713862206008</c:v>
                </c:pt>
                <c:pt idx="14">
                  <c:v>1.2106020712770142</c:v>
                </c:pt>
                <c:pt idx="15">
                  <c:v>1.2139570838178733</c:v>
                </c:pt>
                <c:pt idx="16">
                  <c:v>1.2131083468260151</c:v>
                </c:pt>
                <c:pt idx="17">
                  <c:v>1.2162702240519163</c:v>
                </c:pt>
                <c:pt idx="18">
                  <c:v>1.2207737241846541</c:v>
                </c:pt>
                <c:pt idx="19">
                  <c:v>1.2223254768424692</c:v>
                </c:pt>
                <c:pt idx="20">
                  <c:v>1.2355659462548587</c:v>
                </c:pt>
                <c:pt idx="21">
                  <c:v>1.2442524478218191</c:v>
                </c:pt>
                <c:pt idx="22">
                  <c:v>1.250538861035722</c:v>
                </c:pt>
                <c:pt idx="23">
                  <c:v>1.2544441983966745</c:v>
                </c:pt>
                <c:pt idx="24">
                  <c:v>1.2582008417994897</c:v>
                </c:pt>
                <c:pt idx="25">
                  <c:v>1.2664713656422435</c:v>
                </c:pt>
                <c:pt idx="26">
                  <c:v>1.2735534565965818</c:v>
                </c:pt>
                <c:pt idx="27">
                  <c:v>1.2775367733296603</c:v>
                </c:pt>
                <c:pt idx="28">
                  <c:v>1.2939244456854273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6B-449A-935F-9B84A97E0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4911536"/>
        <c:axId val="1534907376"/>
      </c:areaChart>
      <c:catAx>
        <c:axId val="153491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4907376"/>
        <c:crosses val="autoZero"/>
        <c:auto val="1"/>
        <c:lblAlgn val="ctr"/>
        <c:lblOffset val="100"/>
        <c:noMultiLvlLbl val="0"/>
      </c:catAx>
      <c:valAx>
        <c:axId val="1534907376"/>
        <c:scaling>
          <c:orientation val="minMax"/>
          <c:max val="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Avoided Costs (2021$/Dth)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4911536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Share of Annual Load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'Commodity Costs Avoided Detail'!$P$3</c:f>
              <c:strCache>
                <c:ptCount val="1"/>
                <c:pt idx="0">
                  <c:v>Space Heating</c:v>
                </c:pt>
              </c:strCache>
            </c:strRef>
          </c:tx>
          <c:spPr>
            <a:ln w="19050" cap="rnd">
              <a:solidFill>
                <a:srgbClr val="F48024"/>
              </a:solidFill>
              <a:round/>
            </a:ln>
            <a:effectLst/>
          </c:spPr>
          <c:marker>
            <c:symbol val="none"/>
          </c:marker>
          <c:xVal>
            <c:strRef>
              <c:f>'Commodity Costs Avoided Detail'!$Q$2:$AB$2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xVal>
          <c:yVal>
            <c:numRef>
              <c:f>'Commodity Costs Avoided Detail'!$Q$3:$AB$3</c:f>
              <c:numCache>
                <c:formatCode>0.0%</c:formatCode>
                <c:ptCount val="12"/>
                <c:pt idx="0">
                  <c:v>0.20357644474883524</c:v>
                </c:pt>
                <c:pt idx="1">
                  <c:v>0.14547860941347318</c:v>
                </c:pt>
                <c:pt idx="2">
                  <c:v>0.12279570006497546</c:v>
                </c:pt>
                <c:pt idx="3">
                  <c:v>7.0390014268996839E-2</c:v>
                </c:pt>
                <c:pt idx="4">
                  <c:v>3.3400491491967242E-2</c:v>
                </c:pt>
                <c:pt idx="5">
                  <c:v>5.9916737644436684E-3</c:v>
                </c:pt>
                <c:pt idx="6">
                  <c:v>2.4068309470860662E-4</c:v>
                </c:pt>
                <c:pt idx="7">
                  <c:v>1.3157560344665095E-3</c:v>
                </c:pt>
                <c:pt idx="8">
                  <c:v>8.1595836194615964E-3</c:v>
                </c:pt>
                <c:pt idx="9">
                  <c:v>6.2406758042658522E-2</c:v>
                </c:pt>
                <c:pt idx="10">
                  <c:v>0.1285372060784663</c:v>
                </c:pt>
                <c:pt idx="11">
                  <c:v>0.21770707937754671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F50-42AC-9858-C8C146A87F40}"/>
            </c:ext>
          </c:extLst>
        </c:ser>
        <c:ser>
          <c:idx val="1"/>
          <c:order val="1"/>
          <c:tx>
            <c:strRef>
              <c:f>'Commodity Costs Avoided Detail'!$P$4</c:f>
              <c:strCache>
                <c:ptCount val="1"/>
                <c:pt idx="0">
                  <c:v>Water Heating</c:v>
                </c:pt>
              </c:strCache>
            </c:strRef>
          </c:tx>
          <c:spPr>
            <a:ln w="19050" cap="rnd">
              <a:solidFill>
                <a:srgbClr val="00BBE3"/>
              </a:solidFill>
              <a:round/>
            </a:ln>
            <a:effectLst/>
          </c:spPr>
          <c:marker>
            <c:symbol val="none"/>
          </c:marker>
          <c:xVal>
            <c:strRef>
              <c:f>'Commodity Costs Avoided Detail'!$Q$2:$AB$2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xVal>
          <c:yVal>
            <c:numRef>
              <c:f>'Commodity Costs Avoided Detail'!$Q$4:$AB$4</c:f>
              <c:numCache>
                <c:formatCode>0.0%</c:formatCode>
                <c:ptCount val="12"/>
                <c:pt idx="0">
                  <c:v>0.10050761421319797</c:v>
                </c:pt>
                <c:pt idx="1">
                  <c:v>9.6446700507614197E-2</c:v>
                </c:pt>
                <c:pt idx="2">
                  <c:v>9.2385786802030453E-2</c:v>
                </c:pt>
                <c:pt idx="3">
                  <c:v>8.8324873096446682E-2</c:v>
                </c:pt>
                <c:pt idx="4">
                  <c:v>8.3248730964466999E-2</c:v>
                </c:pt>
                <c:pt idx="5">
                  <c:v>7.918781725888327E-2</c:v>
                </c:pt>
                <c:pt idx="6">
                  <c:v>7.3096446700507592E-2</c:v>
                </c:pt>
                <c:pt idx="7">
                  <c:v>6.8020304568527937E-2</c:v>
                </c:pt>
                <c:pt idx="8">
                  <c:v>6.9035532994923848E-2</c:v>
                </c:pt>
                <c:pt idx="9">
                  <c:v>7.3096446700507592E-2</c:v>
                </c:pt>
                <c:pt idx="10">
                  <c:v>8.1218274111675121E-2</c:v>
                </c:pt>
                <c:pt idx="11">
                  <c:v>9.5431472081218258E-2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F50-42AC-9858-C8C146A87F40}"/>
            </c:ext>
          </c:extLst>
        </c:ser>
        <c:ser>
          <c:idx val="2"/>
          <c:order val="2"/>
          <c:tx>
            <c:strRef>
              <c:f>'Commodity Costs Avoided Detail'!$P$5</c:f>
              <c:strCache>
                <c:ptCount val="1"/>
                <c:pt idx="0">
                  <c:v>Other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strRef>
              <c:f>'Commodity Costs Avoided Detail'!$Q$2:$AB$2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xVal>
          <c:yVal>
            <c:numRef>
              <c:f>'Commodity Costs Avoided Detail'!$Q$5:$AB$5</c:f>
              <c:numCache>
                <c:formatCode>0.0%</c:formatCode>
                <c:ptCount val="12"/>
                <c:pt idx="0">
                  <c:v>8.3333333333333343E-2</c:v>
                </c:pt>
                <c:pt idx="1">
                  <c:v>8.3333333333333343E-2</c:v>
                </c:pt>
                <c:pt idx="2">
                  <c:v>8.3333333333333343E-2</c:v>
                </c:pt>
                <c:pt idx="3">
                  <c:v>8.3333333333333343E-2</c:v>
                </c:pt>
                <c:pt idx="4">
                  <c:v>8.3333333333333343E-2</c:v>
                </c:pt>
                <c:pt idx="5">
                  <c:v>8.3333333333333343E-2</c:v>
                </c:pt>
                <c:pt idx="6">
                  <c:v>8.3333333333333343E-2</c:v>
                </c:pt>
                <c:pt idx="7">
                  <c:v>8.3333333333333343E-2</c:v>
                </c:pt>
                <c:pt idx="8">
                  <c:v>8.3333333333333343E-2</c:v>
                </c:pt>
                <c:pt idx="9">
                  <c:v>8.3333333333333315E-2</c:v>
                </c:pt>
                <c:pt idx="10">
                  <c:v>8.3333333333333343E-2</c:v>
                </c:pt>
                <c:pt idx="11">
                  <c:v>8.3333333333333343E-2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F50-42AC-9858-C8C146A87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03967"/>
        <c:axId val="1312159551"/>
      </c:scatterChart>
      <c:valAx>
        <c:axId val="65803967"/>
        <c:scaling>
          <c:orientation val="minMax"/>
          <c:max val="1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159551"/>
        <c:crosses val="autoZero"/>
        <c:crossBetween val="midCat"/>
        <c:majorUnit val="1"/>
      </c:valAx>
      <c:valAx>
        <c:axId val="1312159551"/>
        <c:scaling>
          <c:orientation val="minMax"/>
          <c:max val="0.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03967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Marginal Gas and Transport Costs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2021</c:v>
          </c:tx>
          <c:spPr>
            <a:ln w="19050" cap="rnd">
              <a:solidFill>
                <a:srgbClr val="00BBE3"/>
              </a:solidFill>
              <a:round/>
            </a:ln>
            <a:effectLst/>
          </c:spPr>
          <c:marker>
            <c:symbol val="none"/>
          </c:marker>
          <c:xVal>
            <c:strRef>
              <c:f>'Commodity Costs Avoided Detail'!$B$2:$M$2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xVal>
          <c:yVal>
            <c:numRef>
              <c:f>'Commodity Costs Avoided Detail'!$B$3:$M$3</c:f>
              <c:numCache>
                <c:formatCode>"$"#,##0.00</c:formatCode>
                <c:ptCount val="12"/>
                <c:pt idx="0">
                  <c:v>5.200430103527351</c:v>
                </c:pt>
                <c:pt idx="1">
                  <c:v>5.0036921513743806</c:v>
                </c:pt>
                <c:pt idx="2">
                  <c:v>4.7048330822198867</c:v>
                </c:pt>
                <c:pt idx="3">
                  <c:v>5.4251117863036287</c:v>
                </c:pt>
                <c:pt idx="4">
                  <c:v>5.4413800514832387</c:v>
                </c:pt>
                <c:pt idx="5">
                  <c:v>5.4562845687568684</c:v>
                </c:pt>
                <c:pt idx="6">
                  <c:v>5.3542851027133302</c:v>
                </c:pt>
                <c:pt idx="7">
                  <c:v>5.3692684913740809</c:v>
                </c:pt>
                <c:pt idx="8">
                  <c:v>4.9588819253077494</c:v>
                </c:pt>
                <c:pt idx="9">
                  <c:v>5.1144855997494574</c:v>
                </c:pt>
                <c:pt idx="10">
                  <c:v>4.9217990272567302</c:v>
                </c:pt>
                <c:pt idx="11">
                  <c:v>5.3155950171188282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F8-4D23-8FF3-691CC8813678}"/>
            </c:ext>
          </c:extLst>
        </c:ser>
        <c:ser>
          <c:idx val="1"/>
          <c:order val="1"/>
          <c:tx>
            <c:v>2030</c:v>
          </c:tx>
          <c:spPr>
            <a:ln w="19050" cap="rnd">
              <a:solidFill>
                <a:srgbClr val="FDB813"/>
              </a:solidFill>
              <a:round/>
            </a:ln>
            <a:effectLst/>
          </c:spPr>
          <c:marker>
            <c:symbol val="none"/>
          </c:marker>
          <c:xVal>
            <c:strRef>
              <c:f>'Commodity Costs Avoided Detail'!$B$2:$M$2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xVal>
          <c:yVal>
            <c:numRef>
              <c:f>'Commodity Costs Avoided Detail'!$B$12:$M$12</c:f>
              <c:numCache>
                <c:formatCode>"$"#,##0.00</c:formatCode>
                <c:ptCount val="12"/>
                <c:pt idx="0">
                  <c:v>3.8339366320833252</c:v>
                </c:pt>
                <c:pt idx="1">
                  <c:v>3.4649435554293135</c:v>
                </c:pt>
                <c:pt idx="2">
                  <c:v>3.2058428541160349</c:v>
                </c:pt>
                <c:pt idx="3">
                  <c:v>2.9451805809462459</c:v>
                </c:pt>
                <c:pt idx="4">
                  <c:v>2.9157496809491885</c:v>
                </c:pt>
                <c:pt idx="5">
                  <c:v>2.8909458705255502</c:v>
                </c:pt>
                <c:pt idx="6">
                  <c:v>2.9162311153800378</c:v>
                </c:pt>
                <c:pt idx="7">
                  <c:v>2.9195659395646367</c:v>
                </c:pt>
                <c:pt idx="8">
                  <c:v>3.0272395733428143</c:v>
                </c:pt>
                <c:pt idx="9">
                  <c:v>3.3404489517215543</c:v>
                </c:pt>
                <c:pt idx="10">
                  <c:v>3.7745303096820249</c:v>
                </c:pt>
                <c:pt idx="11">
                  <c:v>3.9874964521993475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AF8-4D23-8FF3-691CC8813678}"/>
            </c:ext>
          </c:extLst>
        </c:ser>
        <c:ser>
          <c:idx val="2"/>
          <c:order val="2"/>
          <c:tx>
            <c:v>2040</c:v>
          </c:tx>
          <c:spPr>
            <a:ln w="19050" cap="rnd">
              <a:solidFill>
                <a:srgbClr val="7AC142"/>
              </a:solidFill>
              <a:round/>
            </a:ln>
            <a:effectLst/>
          </c:spPr>
          <c:marker>
            <c:symbol val="none"/>
          </c:marker>
          <c:xVal>
            <c:strRef>
              <c:f>'Commodity Costs Avoided Detail'!$B$2:$M$2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xVal>
          <c:yVal>
            <c:numRef>
              <c:f>'Commodity Costs Avoided Detail'!$B$22:$M$22</c:f>
              <c:numCache>
                <c:formatCode>"$"#,##0.00</c:formatCode>
                <c:ptCount val="12"/>
                <c:pt idx="0">
                  <c:v>3.9490962116238828</c:v>
                </c:pt>
                <c:pt idx="1">
                  <c:v>3.5123409893586546</c:v>
                </c:pt>
                <c:pt idx="2">
                  <c:v>3.3495974047847032</c:v>
                </c:pt>
                <c:pt idx="3">
                  <c:v>3.1371471001952651</c:v>
                </c:pt>
                <c:pt idx="4">
                  <c:v>3.117240548307318</c:v>
                </c:pt>
                <c:pt idx="5">
                  <c:v>3.0947674965974636</c:v>
                </c:pt>
                <c:pt idx="6">
                  <c:v>3.1377153348305495</c:v>
                </c:pt>
                <c:pt idx="7">
                  <c:v>3.1677554993993633</c:v>
                </c:pt>
                <c:pt idx="8">
                  <c:v>3.3068239667521189</c:v>
                </c:pt>
                <c:pt idx="9">
                  <c:v>3.569275737078129</c:v>
                </c:pt>
                <c:pt idx="10">
                  <c:v>4.0171902941324591</c:v>
                </c:pt>
                <c:pt idx="11">
                  <c:v>4.2494023449901253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AF8-4D23-8FF3-691CC8813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874447"/>
        <c:axId val="1312152479"/>
      </c:scatterChart>
      <c:valAx>
        <c:axId val="682874447"/>
        <c:scaling>
          <c:orientation val="minMax"/>
          <c:max val="1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152479"/>
        <c:crosses val="autoZero"/>
        <c:crossBetween val="midCat"/>
        <c:majorUnit val="1"/>
      </c:valAx>
      <c:valAx>
        <c:axId val="1312152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8744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Social</a:t>
            </a:r>
            <a:r>
              <a:rPr lang="en-US" b="1" baseline="0"/>
              <a:t> Cost of Carbon Designated by HB 1257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23419592261874"/>
          <c:y val="0.13467683369644154"/>
          <c:w val="0.83425507258373255"/>
          <c:h val="0.7675984537880477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00BBE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BE3"/>
              </a:solidFill>
              <a:ln w="9525">
                <a:solidFill>
                  <a:srgbClr val="00BBE3"/>
                </a:solidFill>
              </a:ln>
              <a:effectLst/>
            </c:spPr>
          </c:marker>
          <c:xVal>
            <c:numRef>
              <c:f>'Greenhouse Gas Costs Avoided De'!$A$1:$A$30</c:f>
              <c:numCache>
                <c:formatCode>General</c:formatCode>
                <c:ptCount val="30"/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xVal>
          <c:yVal>
            <c:numRef>
              <c:f>'Greenhouse Gas Costs Avoided De'!$B$1:$B$30</c:f>
              <c:numCache>
                <c:formatCode>"$"#,##0</c:formatCode>
                <c:ptCount val="30"/>
                <c:pt idx="0" formatCode="General">
                  <c:v>0</c:v>
                </c:pt>
                <c:pt idx="1">
                  <c:v>82.2</c:v>
                </c:pt>
                <c:pt idx="2">
                  <c:v>83.8</c:v>
                </c:pt>
                <c:pt idx="3">
                  <c:v>85.4</c:v>
                </c:pt>
                <c:pt idx="4">
                  <c:v>87</c:v>
                </c:pt>
                <c:pt idx="5">
                  <c:v>88.4</c:v>
                </c:pt>
                <c:pt idx="6">
                  <c:v>89.8</c:v>
                </c:pt>
                <c:pt idx="7">
                  <c:v>91.2</c:v>
                </c:pt>
                <c:pt idx="8">
                  <c:v>92.6</c:v>
                </c:pt>
                <c:pt idx="9">
                  <c:v>94</c:v>
                </c:pt>
                <c:pt idx="10">
                  <c:v>95.2</c:v>
                </c:pt>
                <c:pt idx="11">
                  <c:v>96.4</c:v>
                </c:pt>
                <c:pt idx="12">
                  <c:v>97.6</c:v>
                </c:pt>
                <c:pt idx="13">
                  <c:v>98.8</c:v>
                </c:pt>
                <c:pt idx="14">
                  <c:v>100</c:v>
                </c:pt>
                <c:pt idx="15">
                  <c:v>101.6</c:v>
                </c:pt>
                <c:pt idx="16">
                  <c:v>103.2</c:v>
                </c:pt>
                <c:pt idx="17">
                  <c:v>104.8</c:v>
                </c:pt>
                <c:pt idx="18">
                  <c:v>106.4</c:v>
                </c:pt>
                <c:pt idx="19">
                  <c:v>108</c:v>
                </c:pt>
                <c:pt idx="20">
                  <c:v>109.2</c:v>
                </c:pt>
                <c:pt idx="21">
                  <c:v>110.4</c:v>
                </c:pt>
                <c:pt idx="22">
                  <c:v>111.6</c:v>
                </c:pt>
                <c:pt idx="23">
                  <c:v>112.8</c:v>
                </c:pt>
                <c:pt idx="24">
                  <c:v>114</c:v>
                </c:pt>
                <c:pt idx="25">
                  <c:v>115.6</c:v>
                </c:pt>
                <c:pt idx="26">
                  <c:v>117.2</c:v>
                </c:pt>
                <c:pt idx="27">
                  <c:v>118.8</c:v>
                </c:pt>
                <c:pt idx="28">
                  <c:v>120.4</c:v>
                </c:pt>
                <c:pt idx="29">
                  <c:v>122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'Greenhouse Gas Planning Costs'!#REF!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332-46BC-9575-E8000A05F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876111"/>
        <c:axId val="1312129183"/>
      </c:scatterChart>
      <c:valAx>
        <c:axId val="152876111"/>
        <c:scaling>
          <c:orientation val="minMax"/>
          <c:max val="2050"/>
          <c:min val="20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129183"/>
        <c:crosses val="autoZero"/>
        <c:crossBetween val="midCat"/>
      </c:valAx>
      <c:valAx>
        <c:axId val="1312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$/Metric Ton CO2</a:t>
                </a:r>
              </a:p>
            </c:rich>
          </c:tx>
          <c:layout>
            <c:manualLayout>
              <c:xMode val="edge"/>
              <c:yMode val="edge"/>
              <c:x val="1.5094795147978384E-2"/>
              <c:y val="0.372978459391922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8761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68915978447063"/>
          <c:y val="0.10557432432432433"/>
          <c:w val="0.83643521832498213"/>
          <c:h val="0.69609424877633541"/>
        </c:manualLayout>
      </c:layout>
      <c:areaChart>
        <c:grouping val="stacked"/>
        <c:varyColors val="0"/>
        <c:ser>
          <c:idx val="0"/>
          <c:order val="0"/>
          <c:tx>
            <c:v>Direct Emissions</c:v>
          </c:tx>
          <c:spPr>
            <a:solidFill>
              <a:srgbClr val="00BBE3"/>
            </a:solidFill>
            <a:ln>
              <a:solidFill>
                <a:srgbClr val="00BBE3"/>
              </a:solidFill>
            </a:ln>
            <a:effectLst/>
          </c:spPr>
          <c:cat>
            <c:numRef>
              <c:f>'Greenhouse Gas Costs Avoided De'!$A$2:$A$31</c:f>
              <c:numCache>
                <c:formatCode>General</c:formatCode>
                <c:ptCount val="3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'Greenhouse Gas Costs Avoided De'!$J$2:$J$30</c:f>
              <c:numCache>
                <c:formatCode>"$"#,##0.00</c:formatCode>
                <c:ptCount val="29"/>
                <c:pt idx="0">
                  <c:v>4.3656420000000002</c:v>
                </c:pt>
                <c:pt idx="1">
                  <c:v>4.4506179999999995</c:v>
                </c:pt>
                <c:pt idx="2">
                  <c:v>4.5355939999999997</c:v>
                </c:pt>
                <c:pt idx="3">
                  <c:v>4.6205699999999998</c:v>
                </c:pt>
                <c:pt idx="4">
                  <c:v>4.6949240000000003</c:v>
                </c:pt>
                <c:pt idx="5">
                  <c:v>4.7692779999999999</c:v>
                </c:pt>
                <c:pt idx="6">
                  <c:v>4.8436319999999995</c:v>
                </c:pt>
                <c:pt idx="7">
                  <c:v>4.9179859999999991</c:v>
                </c:pt>
                <c:pt idx="8">
                  <c:v>4.9923399999999996</c:v>
                </c:pt>
                <c:pt idx="9">
                  <c:v>5.0560720000000003</c:v>
                </c:pt>
                <c:pt idx="10">
                  <c:v>5.1198040000000002</c:v>
                </c:pt>
                <c:pt idx="11">
                  <c:v>5.1835359999999993</c:v>
                </c:pt>
                <c:pt idx="12">
                  <c:v>5.247268</c:v>
                </c:pt>
                <c:pt idx="13">
                  <c:v>5.3109999999999999</c:v>
                </c:pt>
                <c:pt idx="14">
                  <c:v>5.3959759999999992</c:v>
                </c:pt>
                <c:pt idx="15">
                  <c:v>5.4809520000000003</c:v>
                </c:pt>
                <c:pt idx="16">
                  <c:v>5.5659279999999995</c:v>
                </c:pt>
                <c:pt idx="17">
                  <c:v>5.6509039999999997</c:v>
                </c:pt>
                <c:pt idx="18">
                  <c:v>5.7358799999999999</c:v>
                </c:pt>
                <c:pt idx="19">
                  <c:v>5.7996119999999998</c:v>
                </c:pt>
                <c:pt idx="20">
                  <c:v>5.8633439999999997</c:v>
                </c:pt>
                <c:pt idx="21">
                  <c:v>5.9270759999999996</c:v>
                </c:pt>
                <c:pt idx="22">
                  <c:v>5.9908079999999995</c:v>
                </c:pt>
                <c:pt idx="23">
                  <c:v>6.0545399999999994</c:v>
                </c:pt>
                <c:pt idx="24">
                  <c:v>6.1395159999999995</c:v>
                </c:pt>
                <c:pt idx="25">
                  <c:v>6.2244919999999997</c:v>
                </c:pt>
                <c:pt idx="26">
                  <c:v>6.3094679999999999</c:v>
                </c:pt>
                <c:pt idx="27">
                  <c:v>6.394444</c:v>
                </c:pt>
                <c:pt idx="28">
                  <c:v>6.4794199999999993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7-4251-A746-B393BF641BF8}"/>
            </c:ext>
          </c:extLst>
        </c:ser>
        <c:ser>
          <c:idx val="1"/>
          <c:order val="1"/>
          <c:tx>
            <c:strRef>
              <c:f>'Greenhouse Gas Costs Avoided De'!$K$1</c:f>
              <c:strCache>
                <c:ptCount val="1"/>
                <c:pt idx="0">
                  <c:v>Production/Extraction</c:v>
                </c:pt>
              </c:strCache>
            </c:strRef>
          </c:tx>
          <c:spPr>
            <a:solidFill>
              <a:srgbClr val="7AC142"/>
            </a:solidFill>
            <a:ln>
              <a:solidFill>
                <a:srgbClr val="7AC142"/>
              </a:solidFill>
            </a:ln>
            <a:effectLst/>
          </c:spPr>
          <c:cat>
            <c:numRef>
              <c:f>'Greenhouse Gas Costs Avoided De'!$A$2:$A$31</c:f>
              <c:numCache>
                <c:formatCode>General</c:formatCode>
                <c:ptCount val="3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'Greenhouse Gas Costs Avoided De'!$K$2:$K$30</c:f>
              <c:numCache>
                <c:formatCode>"$"#,##0.00</c:formatCode>
                <c:ptCount val="29"/>
                <c:pt idx="0">
                  <c:v>0.35603373017237316</c:v>
                </c:pt>
                <c:pt idx="1">
                  <c:v>0.36296382711003489</c:v>
                </c:pt>
                <c:pt idx="2">
                  <c:v>0.36989392404769672</c:v>
                </c:pt>
                <c:pt idx="3">
                  <c:v>0.37682402098535844</c:v>
                </c:pt>
                <c:pt idx="4">
                  <c:v>0.38288785580581253</c:v>
                </c:pt>
                <c:pt idx="5">
                  <c:v>0.3889516906262665</c:v>
                </c:pt>
                <c:pt idx="6">
                  <c:v>0.39501552544672058</c:v>
                </c:pt>
                <c:pt idx="7">
                  <c:v>0.40107936026717461</c:v>
                </c:pt>
                <c:pt idx="8">
                  <c:v>0.40714319508762864</c:v>
                </c:pt>
                <c:pt idx="9">
                  <c:v>0.41234076779087497</c:v>
                </c:pt>
                <c:pt idx="10">
                  <c:v>0.41753834049412131</c:v>
                </c:pt>
                <c:pt idx="11">
                  <c:v>0.42273591319736759</c:v>
                </c:pt>
                <c:pt idx="12">
                  <c:v>0.42793348590061392</c:v>
                </c:pt>
                <c:pt idx="13">
                  <c:v>0.43313105860386025</c:v>
                </c:pt>
                <c:pt idx="14">
                  <c:v>0.44006115554152203</c:v>
                </c:pt>
                <c:pt idx="15">
                  <c:v>0.44699125247918381</c:v>
                </c:pt>
                <c:pt idx="16">
                  <c:v>0.45392134941684553</c:v>
                </c:pt>
                <c:pt idx="17">
                  <c:v>0.46085144635450737</c:v>
                </c:pt>
                <c:pt idx="18">
                  <c:v>0.46778154329216909</c:v>
                </c:pt>
                <c:pt idx="19">
                  <c:v>0.47297911599541542</c:v>
                </c:pt>
                <c:pt idx="20">
                  <c:v>0.47817668869866176</c:v>
                </c:pt>
                <c:pt idx="21">
                  <c:v>0.48337426140190803</c:v>
                </c:pt>
                <c:pt idx="22">
                  <c:v>0.48857183410515437</c:v>
                </c:pt>
                <c:pt idx="23">
                  <c:v>0.4937694068084007</c:v>
                </c:pt>
                <c:pt idx="24">
                  <c:v>0.50069950374606242</c:v>
                </c:pt>
                <c:pt idx="25">
                  <c:v>0.5076296006837242</c:v>
                </c:pt>
                <c:pt idx="26">
                  <c:v>0.51455969762138598</c:v>
                </c:pt>
                <c:pt idx="27">
                  <c:v>0.52148979455904776</c:v>
                </c:pt>
                <c:pt idx="28">
                  <c:v>0.52841989149670954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7-4251-A746-B393BF641BF8}"/>
            </c:ext>
          </c:extLst>
        </c:ser>
        <c:ser>
          <c:idx val="2"/>
          <c:order val="2"/>
          <c:tx>
            <c:strRef>
              <c:f>'Greenhouse Gas Costs Avoided De'!$L$1</c:f>
              <c:strCache>
                <c:ptCount val="1"/>
                <c:pt idx="0">
                  <c:v>Processing</c:v>
                </c:pt>
              </c:strCache>
            </c:strRef>
          </c:tx>
          <c:spPr>
            <a:solidFill>
              <a:srgbClr val="0072AE"/>
            </a:solidFill>
            <a:ln>
              <a:solidFill>
                <a:srgbClr val="0072AE"/>
              </a:solidFill>
            </a:ln>
            <a:effectLst/>
          </c:spPr>
          <c:cat>
            <c:numRef>
              <c:f>'Greenhouse Gas Costs Avoided De'!$A$2:$A$31</c:f>
              <c:numCache>
                <c:formatCode>General</c:formatCode>
                <c:ptCount val="3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'Greenhouse Gas Costs Avoided De'!$L$2:$L$30</c:f>
              <c:numCache>
                <c:formatCode>"$"#,##0.00</c:formatCode>
                <c:ptCount val="29"/>
                <c:pt idx="0">
                  <c:v>0.25707437771829389</c:v>
                </c:pt>
                <c:pt idx="1">
                  <c:v>0.2620782585497935</c:v>
                </c:pt>
                <c:pt idx="2">
                  <c:v>0.26708213938129316</c:v>
                </c:pt>
                <c:pt idx="3">
                  <c:v>0.27208602021279277</c:v>
                </c:pt>
                <c:pt idx="4">
                  <c:v>0.27646441594035498</c:v>
                </c:pt>
                <c:pt idx="5">
                  <c:v>0.28084281166791714</c:v>
                </c:pt>
                <c:pt idx="6">
                  <c:v>0.28522120739547935</c:v>
                </c:pt>
                <c:pt idx="7">
                  <c:v>0.2895996031230415</c:v>
                </c:pt>
                <c:pt idx="8">
                  <c:v>0.29397799885060372</c:v>
                </c:pt>
                <c:pt idx="9">
                  <c:v>0.29773090947422842</c:v>
                </c:pt>
                <c:pt idx="10">
                  <c:v>0.30148382009785318</c:v>
                </c:pt>
                <c:pt idx="11">
                  <c:v>0.30523673072147783</c:v>
                </c:pt>
                <c:pt idx="12">
                  <c:v>0.30898964134510259</c:v>
                </c:pt>
                <c:pt idx="13">
                  <c:v>0.31274255196872736</c:v>
                </c:pt>
                <c:pt idx="14">
                  <c:v>0.31774643280022696</c:v>
                </c:pt>
                <c:pt idx="15">
                  <c:v>0.32275031363172663</c:v>
                </c:pt>
                <c:pt idx="16">
                  <c:v>0.32775419446322623</c:v>
                </c:pt>
                <c:pt idx="17">
                  <c:v>0.3327580752947259</c:v>
                </c:pt>
                <c:pt idx="18">
                  <c:v>0.3377619561262255</c:v>
                </c:pt>
                <c:pt idx="19">
                  <c:v>0.34151486674985027</c:v>
                </c:pt>
                <c:pt idx="20">
                  <c:v>0.34526777737347497</c:v>
                </c:pt>
                <c:pt idx="21">
                  <c:v>0.34902068799709968</c:v>
                </c:pt>
                <c:pt idx="22">
                  <c:v>0.35277359862072444</c:v>
                </c:pt>
                <c:pt idx="23">
                  <c:v>0.35652650924434914</c:v>
                </c:pt>
                <c:pt idx="24">
                  <c:v>0.36153039007584881</c:v>
                </c:pt>
                <c:pt idx="25">
                  <c:v>0.36653427090734847</c:v>
                </c:pt>
                <c:pt idx="26">
                  <c:v>0.37153815173884808</c:v>
                </c:pt>
                <c:pt idx="27">
                  <c:v>0.37654203257034774</c:v>
                </c:pt>
                <c:pt idx="28">
                  <c:v>0.38154591340184735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7-4251-A746-B393BF641BF8}"/>
            </c:ext>
          </c:extLst>
        </c:ser>
        <c:ser>
          <c:idx val="3"/>
          <c:order val="3"/>
          <c:tx>
            <c:v>Transmission and Storage</c:v>
          </c:tx>
          <c:spPr>
            <a:solidFill>
              <a:srgbClr val="F48024"/>
            </a:solidFill>
            <a:ln>
              <a:solidFill>
                <a:srgbClr val="F48024"/>
              </a:solidFill>
            </a:ln>
            <a:effectLst/>
          </c:spPr>
          <c:cat>
            <c:numRef>
              <c:f>'Greenhouse Gas Costs Avoided De'!$A$2:$A$31</c:f>
              <c:numCache>
                <c:formatCode>General</c:formatCode>
                <c:ptCount val="3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'Greenhouse Gas Costs Avoided De'!$M$2:$M$30</c:f>
              <c:numCache>
                <c:formatCode>"$"#,##0.00</c:formatCode>
                <c:ptCount val="29"/>
                <c:pt idx="0">
                  <c:v>0.17294139725746896</c:v>
                </c:pt>
                <c:pt idx="1">
                  <c:v>0.1763076531651569</c:v>
                </c:pt>
                <c:pt idx="2">
                  <c:v>0.17967390907284489</c:v>
                </c:pt>
                <c:pt idx="3">
                  <c:v>0.18304016498053283</c:v>
                </c:pt>
                <c:pt idx="4">
                  <c:v>0.1859856388997598</c:v>
                </c:pt>
                <c:pt idx="5">
                  <c:v>0.18893111281898675</c:v>
                </c:pt>
                <c:pt idx="6">
                  <c:v>0.19187658673821373</c:v>
                </c:pt>
                <c:pt idx="7">
                  <c:v>0.19482206065744068</c:v>
                </c:pt>
                <c:pt idx="8">
                  <c:v>0.19776753457666765</c:v>
                </c:pt>
                <c:pt idx="9">
                  <c:v>0.20029222650743364</c:v>
                </c:pt>
                <c:pt idx="10">
                  <c:v>0.2028169184381996</c:v>
                </c:pt>
                <c:pt idx="11">
                  <c:v>0.20534161036896556</c:v>
                </c:pt>
                <c:pt idx="12">
                  <c:v>0.20786630229973152</c:v>
                </c:pt>
                <c:pt idx="13">
                  <c:v>0.21039099423049751</c:v>
                </c:pt>
                <c:pt idx="14">
                  <c:v>0.21375725013818545</c:v>
                </c:pt>
                <c:pt idx="15">
                  <c:v>0.21712350604587344</c:v>
                </c:pt>
                <c:pt idx="16">
                  <c:v>0.22048976195356138</c:v>
                </c:pt>
                <c:pt idx="17">
                  <c:v>0.22385601786124937</c:v>
                </c:pt>
                <c:pt idx="18">
                  <c:v>0.22722227376893731</c:v>
                </c:pt>
                <c:pt idx="19">
                  <c:v>0.22974696569970329</c:v>
                </c:pt>
                <c:pt idx="20">
                  <c:v>0.23227165763046925</c:v>
                </c:pt>
                <c:pt idx="21">
                  <c:v>0.23479634956123521</c:v>
                </c:pt>
                <c:pt idx="22">
                  <c:v>0.23732104149200117</c:v>
                </c:pt>
                <c:pt idx="23">
                  <c:v>0.23984573342276716</c:v>
                </c:pt>
                <c:pt idx="24">
                  <c:v>0.2432119893304551</c:v>
                </c:pt>
                <c:pt idx="25">
                  <c:v>0.24657824523814309</c:v>
                </c:pt>
                <c:pt idx="26">
                  <c:v>0.24994450114583103</c:v>
                </c:pt>
                <c:pt idx="27">
                  <c:v>0.25331075705351902</c:v>
                </c:pt>
                <c:pt idx="28">
                  <c:v>0.25667701296120699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7-4251-A746-B393BF641BF8}"/>
            </c:ext>
          </c:extLst>
        </c:ser>
        <c:ser>
          <c:idx val="4"/>
          <c:order val="4"/>
          <c:tx>
            <c:v>On NW Natural System</c:v>
          </c:tx>
          <c:spPr>
            <a:solidFill>
              <a:srgbClr val="FDB813"/>
            </a:solidFill>
            <a:ln w="25400">
              <a:solidFill>
                <a:srgbClr val="FDB813"/>
              </a:solidFill>
            </a:ln>
            <a:effectLst/>
          </c:spPr>
          <c:cat>
            <c:numRef>
              <c:f>'Greenhouse Gas Costs Avoided De'!$A$2:$A$31</c:f>
              <c:numCache>
                <c:formatCode>General</c:formatCode>
                <c:ptCount val="3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'Greenhouse Gas Costs Avoided De'!$N$2:$N$30</c:f>
              <c:numCache>
                <c:formatCode>"$"#,##0.00</c:formatCode>
                <c:ptCount val="29"/>
                <c:pt idx="0">
                  <c:v>5.7755123230958251E-2</c:v>
                </c:pt>
                <c:pt idx="1">
                  <c:v>5.8879310544456213E-2</c:v>
                </c:pt>
                <c:pt idx="2">
                  <c:v>6.000349785795419E-2</c:v>
                </c:pt>
                <c:pt idx="3">
                  <c:v>6.1127685171452159E-2</c:v>
                </c:pt>
                <c:pt idx="4">
                  <c:v>6.2111349070762885E-2</c:v>
                </c:pt>
                <c:pt idx="5">
                  <c:v>6.3095012970073611E-2</c:v>
                </c:pt>
                <c:pt idx="6">
                  <c:v>6.4078676869384329E-2</c:v>
                </c:pt>
                <c:pt idx="7">
                  <c:v>6.5062340768695048E-2</c:v>
                </c:pt>
                <c:pt idx="8">
                  <c:v>6.6046004668005781E-2</c:v>
                </c:pt>
                <c:pt idx="9">
                  <c:v>6.6889145153129256E-2</c:v>
                </c:pt>
                <c:pt idx="10">
                  <c:v>6.7732285638252746E-2</c:v>
                </c:pt>
                <c:pt idx="11">
                  <c:v>6.8575426123376207E-2</c:v>
                </c:pt>
                <c:pt idx="12">
                  <c:v>6.9418566608499696E-2</c:v>
                </c:pt>
                <c:pt idx="13">
                  <c:v>7.0261707093623171E-2</c:v>
                </c:pt>
                <c:pt idx="14">
                  <c:v>7.1385894407121134E-2</c:v>
                </c:pt>
                <c:pt idx="15">
                  <c:v>7.251008172061911E-2</c:v>
                </c:pt>
                <c:pt idx="16">
                  <c:v>7.3634269034117086E-2</c:v>
                </c:pt>
                <c:pt idx="17">
                  <c:v>7.4758456347615063E-2</c:v>
                </c:pt>
                <c:pt idx="18">
                  <c:v>7.5882643661113025E-2</c:v>
                </c:pt>
                <c:pt idx="19">
                  <c:v>7.67257841462365E-2</c:v>
                </c:pt>
                <c:pt idx="20">
                  <c:v>7.7568924631359989E-2</c:v>
                </c:pt>
                <c:pt idx="21">
                  <c:v>7.8412065116483451E-2</c:v>
                </c:pt>
                <c:pt idx="22">
                  <c:v>7.925520560160694E-2</c:v>
                </c:pt>
                <c:pt idx="23">
                  <c:v>8.0098346086730415E-2</c:v>
                </c:pt>
                <c:pt idx="24">
                  <c:v>8.1222533400228378E-2</c:v>
                </c:pt>
                <c:pt idx="25">
                  <c:v>8.2346720713726354E-2</c:v>
                </c:pt>
                <c:pt idx="26">
                  <c:v>8.347090802722433E-2</c:v>
                </c:pt>
                <c:pt idx="27">
                  <c:v>8.4595095340722307E-2</c:v>
                </c:pt>
                <c:pt idx="28">
                  <c:v>8.5719282654220269E-2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67-4251-A746-B393BF641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0267855"/>
        <c:axId val="2024389119"/>
      </c:areaChart>
      <c:catAx>
        <c:axId val="11802678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4389119"/>
        <c:crosses val="autoZero"/>
        <c:auto val="1"/>
        <c:lblAlgn val="ctr"/>
        <c:lblOffset val="100"/>
        <c:tickMarkSkip val="2"/>
        <c:noMultiLvlLbl val="0"/>
      </c:catAx>
      <c:valAx>
        <c:axId val="2024389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2021$/Dth</a:t>
                </a:r>
              </a:p>
            </c:rich>
          </c:tx>
          <c:layout>
            <c:manualLayout>
              <c:xMode val="edge"/>
              <c:yMode val="edge"/>
              <c:x val="1.3364993215739487E-2"/>
              <c:y val="0.408147123501454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02678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592940807772162E-2"/>
          <c:y val="0.90674168262750943"/>
          <c:w val="0.96421258061873882"/>
          <c:h val="7.63664254805987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54333850258945"/>
          <c:y val="8.0774320722662538E-2"/>
          <c:w val="0.88577186233564953"/>
          <c:h val="0.713547098375363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'Avoided Costs Summary'!$CY$3:$CY$4</c:f>
              <c:strCache>
                <c:ptCount val="2"/>
                <c:pt idx="0">
                  <c:v>Natural Gas and Transport Costs</c:v>
                </c:pt>
              </c:strCache>
            </c:strRef>
          </c:tx>
          <c:spPr>
            <a:solidFill>
              <a:srgbClr val="00BBE3"/>
            </a:solidFill>
            <a:ln>
              <a:solidFill>
                <a:srgbClr val="00BBE3"/>
              </a:solidFill>
            </a:ln>
            <a:effectLst/>
          </c:spPr>
          <c:invertIfNegative val="0"/>
          <c:cat>
            <c:strRef>
              <c:f>'Avoided Costs Summary'!$CX$5:$CX$11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Summary'!$CY$12:$CY$18</c:f>
              <c:numCache>
                <c:formatCode>"$"#,##0.00</c:formatCode>
                <c:ptCount val="7"/>
                <c:pt idx="0">
                  <c:v>3.8299785955724128</c:v>
                </c:pt>
                <c:pt idx="1">
                  <c:v>3.8299785955724128</c:v>
                </c:pt>
                <c:pt idx="2">
                  <c:v>3.8299785955724128</c:v>
                </c:pt>
                <c:pt idx="3">
                  <c:v>3.4959772713243975</c:v>
                </c:pt>
                <c:pt idx="4">
                  <c:v>3.4694117465000756</c:v>
                </c:pt>
                <c:pt idx="5">
                  <c:v>3.4694117465000756</c:v>
                </c:pt>
                <c:pt idx="6">
                  <c:v>3.4694117465000756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3-4D03-BF25-F78713B47E5D}"/>
            </c:ext>
          </c:extLst>
        </c:ser>
        <c:ser>
          <c:idx val="1"/>
          <c:order val="1"/>
          <c:tx>
            <c:strRef>
              <c:f>'Avoided Costs Summary'!$CZ$3:$CZ$4</c:f>
              <c:strCache>
                <c:ptCount val="2"/>
                <c:pt idx="0">
                  <c:v>Greenhouse Gas Compliance Costs</c:v>
                </c:pt>
              </c:strCache>
            </c:strRef>
          </c:tx>
          <c:spPr>
            <a:solidFill>
              <a:srgbClr val="7AC142"/>
            </a:solidFill>
            <a:ln>
              <a:solidFill>
                <a:srgbClr val="7AC142"/>
              </a:solidFill>
            </a:ln>
            <a:effectLst/>
          </c:spPr>
          <c:invertIfNegative val="0"/>
          <c:cat>
            <c:strRef>
              <c:f>'Avoided Costs Summary'!$CX$5:$CX$11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Summary'!$CZ$12:$CZ$18</c:f>
              <c:numCache>
                <c:formatCode>"$"#,##0.00</c:formatCode>
                <c:ptCount val="7"/>
                <c:pt idx="0">
                  <c:v>6.2625351212148033</c:v>
                </c:pt>
                <c:pt idx="1">
                  <c:v>6.2625351212148033</c:v>
                </c:pt>
                <c:pt idx="2">
                  <c:v>6.2625351212148033</c:v>
                </c:pt>
                <c:pt idx="3">
                  <c:v>6.2625351212148033</c:v>
                </c:pt>
                <c:pt idx="4">
                  <c:v>6.2625351212148033</c:v>
                </c:pt>
                <c:pt idx="5">
                  <c:v>6.2625351212148033</c:v>
                </c:pt>
                <c:pt idx="6">
                  <c:v>6.2625351212148033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C3-4D03-BF25-F78713B47E5D}"/>
            </c:ext>
          </c:extLst>
        </c:ser>
        <c:ser>
          <c:idx val="2"/>
          <c:order val="2"/>
          <c:tx>
            <c:strRef>
              <c:f>'Avoided Costs Summary'!$DA$3:$DA$4</c:f>
              <c:strCache>
                <c:ptCount val="2"/>
                <c:pt idx="0">
                  <c:v>Risk Reduction (Hedge) Value</c:v>
                </c:pt>
              </c:strCache>
            </c:strRef>
          </c:tx>
          <c:spPr>
            <a:solidFill>
              <a:srgbClr val="0072AE"/>
            </a:solidFill>
            <a:ln>
              <a:solidFill>
                <a:srgbClr val="0072AE"/>
              </a:solidFill>
            </a:ln>
            <a:effectLst/>
          </c:spPr>
          <c:invertIfNegative val="0"/>
          <c:cat>
            <c:strRef>
              <c:f>'Avoided Costs Summary'!$CX$5:$CX$11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Summary'!$DA$12:$DA$18</c:f>
              <c:numCache>
                <c:formatCode>"$"#,##0.00</c:formatCode>
                <c:ptCount val="7"/>
                <c:pt idx="0">
                  <c:v>0.86193161558388465</c:v>
                </c:pt>
                <c:pt idx="1">
                  <c:v>0.86193161558388465</c:v>
                </c:pt>
                <c:pt idx="2">
                  <c:v>0.86193161558388465</c:v>
                </c:pt>
                <c:pt idx="3">
                  <c:v>0.86193161558388465</c:v>
                </c:pt>
                <c:pt idx="4">
                  <c:v>0.86193161558388465</c:v>
                </c:pt>
                <c:pt idx="5">
                  <c:v>0.86193161558388465</c:v>
                </c:pt>
                <c:pt idx="6">
                  <c:v>0.86193161558388465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C3-4D03-BF25-F78713B47E5D}"/>
            </c:ext>
          </c:extLst>
        </c:ser>
        <c:ser>
          <c:idx val="3"/>
          <c:order val="3"/>
          <c:tx>
            <c:strRef>
              <c:f>'Avoided Costs Summary'!$DB$3:$DB$4</c:f>
              <c:strCache>
                <c:ptCount val="2"/>
                <c:pt idx="0">
                  <c:v>Supply System Costs</c:v>
                </c:pt>
              </c:strCache>
            </c:strRef>
          </c:tx>
          <c:spPr>
            <a:solidFill>
              <a:srgbClr val="F48024"/>
            </a:solidFill>
            <a:ln>
              <a:solidFill>
                <a:srgbClr val="F48024"/>
              </a:solidFill>
            </a:ln>
            <a:effectLst/>
          </c:spPr>
          <c:invertIfNegative val="0"/>
          <c:cat>
            <c:strRef>
              <c:f>'Avoided Costs Summary'!$CX$5:$CX$11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Summary'!$DB$12:$DB$18</c:f>
              <c:numCache>
                <c:formatCode>"$"#,##0.00</c:formatCode>
                <c:ptCount val="7"/>
                <c:pt idx="0">
                  <c:v>0.64427383382065762</c:v>
                </c:pt>
                <c:pt idx="1">
                  <c:v>0.64427383382065762</c:v>
                </c:pt>
                <c:pt idx="2">
                  <c:v>0.57472154494229122</c:v>
                </c:pt>
                <c:pt idx="3">
                  <c:v>0.10720049999999989</c:v>
                </c:pt>
                <c:pt idx="4">
                  <c:v>0.11569999999999987</c:v>
                </c:pt>
                <c:pt idx="5">
                  <c:v>8.8999999999999913E-2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C3-4D03-BF25-F78713B47E5D}"/>
            </c:ext>
          </c:extLst>
        </c:ser>
        <c:ser>
          <c:idx val="4"/>
          <c:order val="4"/>
          <c:tx>
            <c:strRef>
              <c:f>'Avoided Costs Summary'!$DC$3:$DC$4</c:f>
              <c:strCache>
                <c:ptCount val="2"/>
                <c:pt idx="0">
                  <c:v>Distribution System Costs</c:v>
                </c:pt>
              </c:strCache>
            </c:strRef>
          </c:tx>
          <c:spPr>
            <a:solidFill>
              <a:srgbClr val="FDB813"/>
            </a:solidFill>
            <a:ln>
              <a:solidFill>
                <a:srgbClr val="FDB813"/>
              </a:solidFill>
            </a:ln>
            <a:effectLst/>
          </c:spPr>
          <c:invertIfNegative val="0"/>
          <c:cat>
            <c:strRef>
              <c:f>'Avoided Costs Summary'!$CX$5:$CX$11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Summary'!$DC$12:$DC$18</c:f>
              <c:numCache>
                <c:formatCode>"$"#,##0.00</c:formatCode>
                <c:ptCount val="7"/>
                <c:pt idx="0">
                  <c:v>7.8131314811657946</c:v>
                </c:pt>
                <c:pt idx="1">
                  <c:v>3.9320988499984701</c:v>
                </c:pt>
                <c:pt idx="2">
                  <c:v>9.4217173743469882</c:v>
                </c:pt>
                <c:pt idx="3">
                  <c:v>1.7656841543609871</c:v>
                </c:pt>
                <c:pt idx="4">
                  <c:v>4.8420636042402787</c:v>
                </c:pt>
                <c:pt idx="5">
                  <c:v>0.77597173144876241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C3-4D03-BF25-F78713B47E5D}"/>
            </c:ext>
          </c:extLst>
        </c:ser>
        <c:ser>
          <c:idx val="5"/>
          <c:order val="5"/>
          <c:tx>
            <c:strRef>
              <c:f>'Avoided Costs Summary'!$DD$3:$DD$4</c:f>
              <c:strCache>
                <c:ptCount val="2"/>
                <c:pt idx="0">
                  <c:v>10% Conservation Credit</c:v>
                </c:pt>
              </c:strCache>
            </c:strRef>
          </c:tx>
          <c:spPr>
            <a:solidFill>
              <a:srgbClr val="AEB1B4"/>
            </a:solidFill>
            <a:ln>
              <a:solidFill>
                <a:srgbClr val="AEB1B4"/>
              </a:solidFill>
            </a:ln>
            <a:effectLst/>
          </c:spPr>
          <c:invertIfNegative val="0"/>
          <c:cat>
            <c:strRef>
              <c:f>'Avoided Costs Summary'!$CX$5:$CX$11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f>'Avoided Costs Summary'!$DD$12:$DD$18</c:f>
              <c:numCache>
                <c:formatCode>"$"#,##0.00</c:formatCode>
                <c:ptCount val="7"/>
                <c:pt idx="0">
                  <c:v>1.2287327742895617</c:v>
                </c:pt>
                <c:pt idx="1">
                  <c:v>0.84062951117282991</c:v>
                </c:pt>
                <c:pt idx="2">
                  <c:v>1.3826361347198446</c:v>
                </c:pt>
                <c:pt idx="3">
                  <c:v>0.54523495850318393</c:v>
                </c:pt>
                <c:pt idx="4">
                  <c:v>0.85113627088029742</c:v>
                </c:pt>
                <c:pt idx="5">
                  <c:v>0.44185708360114589</c:v>
                </c:pt>
                <c:pt idx="6">
                  <c:v>0.35535991045626975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C3-4D03-BF25-F78713B47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661354784"/>
        <c:axId val="-1661353152"/>
      </c:barChart>
      <c:catAx>
        <c:axId val="-166135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61353152"/>
        <c:crosses val="autoZero"/>
        <c:auto val="1"/>
        <c:lblAlgn val="ctr"/>
        <c:lblOffset val="100"/>
        <c:noMultiLvlLbl val="0"/>
      </c:catAx>
      <c:valAx>
        <c:axId val="-1661353152"/>
        <c:scaling>
          <c:orientation val="minMax"/>
          <c:max val="2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2021$/Dth</a:t>
                </a:r>
              </a:p>
            </c:rich>
          </c:tx>
          <c:layout>
            <c:manualLayout>
              <c:xMode val="edge"/>
              <c:yMode val="edge"/>
              <c:x val="1.294133722465866E-2"/>
              <c:y val="0.342188476701722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6135478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277913620061177E-2"/>
          <c:y val="0.91720705116957457"/>
          <c:w val="0.89501177995400383"/>
          <c:h val="8.0513719056962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7159704795374"/>
          <c:y val="9.154986781965567E-2"/>
          <c:w val="0.84182398444137185"/>
          <c:h val="0.796508873269568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'Avoided Costs Summary'!$BX$3:$BX$4</c:f>
              <c:strCache>
                <c:ptCount val="2"/>
                <c:pt idx="0">
                  <c:v>Residential Space Heating </c:v>
                </c:pt>
              </c:strCache>
            </c:strRef>
          </c:tx>
          <c:spPr>
            <a:ln w="19050" cap="rnd">
              <a:solidFill>
                <a:srgbClr val="0072AE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Summary'!$BW$5:$BW$33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xVal>
          <c:yVal>
            <c:numRef>
              <c:f>'Avoided Costs Summary'!$BX$5:$BX$33</c:f>
              <c:numCache>
                <c:formatCode>"$"#,##0.00</c:formatCode>
                <c:ptCount val="29"/>
                <c:pt idx="0">
                  <c:v>17.41060970788163</c:v>
                </c:pt>
                <c:pt idx="1">
                  <c:v>16.726018310988465</c:v>
                </c:pt>
                <c:pt idx="2">
                  <c:v>16.120858340258884</c:v>
                </c:pt>
                <c:pt idx="3">
                  <c:v>16.371324138178426</c:v>
                </c:pt>
                <c:pt idx="4">
                  <c:v>16.251116720317953</c:v>
                </c:pt>
                <c:pt idx="5">
                  <c:v>16.427065499277251</c:v>
                </c:pt>
                <c:pt idx="6">
                  <c:v>16.574630674177566</c:v>
                </c:pt>
                <c:pt idx="7">
                  <c:v>16.747424723472989</c:v>
                </c:pt>
                <c:pt idx="8">
                  <c:v>16.783732048358104</c:v>
                </c:pt>
                <c:pt idx="9">
                  <c:v>16.869207778657714</c:v>
                </c:pt>
                <c:pt idx="10">
                  <c:v>17.056452996741388</c:v>
                </c:pt>
                <c:pt idx="11">
                  <c:v>18.726808025847721</c:v>
                </c:pt>
                <c:pt idx="12">
                  <c:v>18.506635514364778</c:v>
                </c:pt>
                <c:pt idx="13">
                  <c:v>18.199864119261012</c:v>
                </c:pt>
                <c:pt idx="14">
                  <c:v>23.699132508870267</c:v>
                </c:pt>
                <c:pt idx="15">
                  <c:v>23.209580851388068</c:v>
                </c:pt>
                <c:pt idx="16">
                  <c:v>22.874848909089955</c:v>
                </c:pt>
                <c:pt idx="17">
                  <c:v>22.431091302156446</c:v>
                </c:pt>
                <c:pt idx="18">
                  <c:v>21.96602012120476</c:v>
                </c:pt>
                <c:pt idx="19">
                  <c:v>21.493182934785406</c:v>
                </c:pt>
                <c:pt idx="20">
                  <c:v>21.192312265956787</c:v>
                </c:pt>
                <c:pt idx="21">
                  <c:v>20.738146327102257</c:v>
                </c:pt>
                <c:pt idx="22">
                  <c:v>20.365079757578933</c:v>
                </c:pt>
                <c:pt idx="23">
                  <c:v>19.831128686736449</c:v>
                </c:pt>
                <c:pt idx="24">
                  <c:v>19.405681641810524</c:v>
                </c:pt>
                <c:pt idx="25">
                  <c:v>18.996175541798948</c:v>
                </c:pt>
                <c:pt idx="26">
                  <c:v>18.701225290413614</c:v>
                </c:pt>
                <c:pt idx="27">
                  <c:v>18.232439209838123</c:v>
                </c:pt>
                <c:pt idx="28">
                  <c:v>17.942370193264207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CE-470D-B00F-584431A4DF03}"/>
            </c:ext>
          </c:extLst>
        </c:ser>
        <c:ser>
          <c:idx val="1"/>
          <c:order val="1"/>
          <c:tx>
            <c:strRef>
              <c:f>'Avoided Costs Summary'!$BY$3:$BY$4</c:f>
              <c:strCache>
                <c:ptCount val="2"/>
                <c:pt idx="0">
                  <c:v>Residential Hearths and Fireplaces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Summary'!$BW$5:$BW$33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xVal>
          <c:yVal>
            <c:numRef>
              <c:f>'Avoided Costs Summary'!$BY$5:$BY$33</c:f>
              <c:numCache>
                <c:formatCode>"$"#,##0.00</c:formatCode>
                <c:ptCount val="29"/>
                <c:pt idx="0">
                  <c:v>14.83279814330027</c:v>
                </c:pt>
                <c:pt idx="1">
                  <c:v>14.148206746407102</c:v>
                </c:pt>
                <c:pt idx="2">
                  <c:v>13.543046775677524</c:v>
                </c:pt>
                <c:pt idx="3">
                  <c:v>13.793512573597067</c:v>
                </c:pt>
                <c:pt idx="4">
                  <c:v>13.673305155736593</c:v>
                </c:pt>
                <c:pt idx="5">
                  <c:v>13.849253934695891</c:v>
                </c:pt>
                <c:pt idx="6">
                  <c:v>13.996819109596203</c:v>
                </c:pt>
                <c:pt idx="7">
                  <c:v>14.169613158891631</c:v>
                </c:pt>
                <c:pt idx="8">
                  <c:v>14.205920483776746</c:v>
                </c:pt>
                <c:pt idx="9">
                  <c:v>14.291396214076357</c:v>
                </c:pt>
                <c:pt idx="10">
                  <c:v>14.478641432160028</c:v>
                </c:pt>
                <c:pt idx="11">
                  <c:v>16.148996461266361</c:v>
                </c:pt>
                <c:pt idx="12">
                  <c:v>15.928823949783419</c:v>
                </c:pt>
                <c:pt idx="13">
                  <c:v>15.622052554679652</c:v>
                </c:pt>
                <c:pt idx="14">
                  <c:v>21.121320944288911</c:v>
                </c:pt>
                <c:pt idx="15">
                  <c:v>20.631769286806708</c:v>
                </c:pt>
                <c:pt idx="16">
                  <c:v>20.297037344508592</c:v>
                </c:pt>
                <c:pt idx="17">
                  <c:v>19.853279737575093</c:v>
                </c:pt>
                <c:pt idx="18">
                  <c:v>19.3882085566234</c:v>
                </c:pt>
                <c:pt idx="19">
                  <c:v>18.915371370204046</c:v>
                </c:pt>
                <c:pt idx="20">
                  <c:v>18.614500701375423</c:v>
                </c:pt>
                <c:pt idx="21">
                  <c:v>18.160334762520893</c:v>
                </c:pt>
                <c:pt idx="22">
                  <c:v>17.787268192997566</c:v>
                </c:pt>
                <c:pt idx="23">
                  <c:v>17.253317122155089</c:v>
                </c:pt>
                <c:pt idx="24">
                  <c:v>16.827870077229164</c:v>
                </c:pt>
                <c:pt idx="25">
                  <c:v>16.418363977217592</c:v>
                </c:pt>
                <c:pt idx="26">
                  <c:v>16.123413725832258</c:v>
                </c:pt>
                <c:pt idx="27">
                  <c:v>15.654627645256765</c:v>
                </c:pt>
                <c:pt idx="28">
                  <c:v>15.364558628682847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CE-470D-B00F-584431A4DF03}"/>
            </c:ext>
          </c:extLst>
        </c:ser>
        <c:ser>
          <c:idx val="2"/>
          <c:order val="2"/>
          <c:tx>
            <c:strRef>
              <c:f>'Avoided Costs Summary'!$BZ$3:$BZ$4</c:f>
              <c:strCache>
                <c:ptCount val="2"/>
                <c:pt idx="0">
                  <c:v>Commercial Space Heating</c:v>
                </c:pt>
              </c:strCache>
            </c:strRef>
          </c:tx>
          <c:spPr>
            <a:ln w="19050" cap="rnd">
              <a:solidFill>
                <a:srgbClr val="00BBE3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Summary'!$BW$5:$BW$33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xVal>
          <c:yVal>
            <c:numRef>
              <c:f>'Avoided Costs Summary'!$BZ$5:$BZ$33</c:f>
              <c:numCache>
                <c:formatCode>"$"#,##0.00</c:formatCode>
                <c:ptCount val="29"/>
                <c:pt idx="0">
                  <c:v>18.402537246487963</c:v>
                </c:pt>
                <c:pt idx="1">
                  <c:v>17.717945849594798</c:v>
                </c:pt>
                <c:pt idx="2">
                  <c:v>17.112785878865218</c:v>
                </c:pt>
                <c:pt idx="3">
                  <c:v>17.363251676784756</c:v>
                </c:pt>
                <c:pt idx="4">
                  <c:v>17.243044258924286</c:v>
                </c:pt>
                <c:pt idx="5">
                  <c:v>17.418993037883585</c:v>
                </c:pt>
                <c:pt idx="6">
                  <c:v>17.566558212783896</c:v>
                </c:pt>
                <c:pt idx="7">
                  <c:v>17.739352262079322</c:v>
                </c:pt>
                <c:pt idx="8">
                  <c:v>17.775659586964434</c:v>
                </c:pt>
                <c:pt idx="9">
                  <c:v>17.861135317264043</c:v>
                </c:pt>
                <c:pt idx="10">
                  <c:v>18.048380535347718</c:v>
                </c:pt>
                <c:pt idx="11">
                  <c:v>19.718735564454054</c:v>
                </c:pt>
                <c:pt idx="12">
                  <c:v>19.498563052971111</c:v>
                </c:pt>
                <c:pt idx="13">
                  <c:v>19.191791657867341</c:v>
                </c:pt>
                <c:pt idx="14">
                  <c:v>24.691060047476604</c:v>
                </c:pt>
                <c:pt idx="15">
                  <c:v>24.201508389994402</c:v>
                </c:pt>
                <c:pt idx="16">
                  <c:v>23.866776447696289</c:v>
                </c:pt>
                <c:pt idx="17">
                  <c:v>23.423018840762779</c:v>
                </c:pt>
                <c:pt idx="18">
                  <c:v>22.957947659811094</c:v>
                </c:pt>
                <c:pt idx="19">
                  <c:v>22.485110473391739</c:v>
                </c:pt>
                <c:pt idx="20">
                  <c:v>22.184239804563116</c:v>
                </c:pt>
                <c:pt idx="21">
                  <c:v>21.73007386570859</c:v>
                </c:pt>
                <c:pt idx="22">
                  <c:v>21.357007296185259</c:v>
                </c:pt>
                <c:pt idx="23">
                  <c:v>20.823056225342782</c:v>
                </c:pt>
                <c:pt idx="24">
                  <c:v>20.39760918041685</c:v>
                </c:pt>
                <c:pt idx="25">
                  <c:v>19.988103080405281</c:v>
                </c:pt>
                <c:pt idx="26">
                  <c:v>19.693152829019947</c:v>
                </c:pt>
                <c:pt idx="27">
                  <c:v>19.224366748444456</c:v>
                </c:pt>
                <c:pt idx="28">
                  <c:v>18.934297731870537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CE-470D-B00F-584431A4DF03}"/>
            </c:ext>
          </c:extLst>
        </c:ser>
        <c:ser>
          <c:idx val="3"/>
          <c:order val="3"/>
          <c:tx>
            <c:strRef>
              <c:f>'Avoided Costs Summary'!$CA$3:$CA$4</c:f>
              <c:strCache>
                <c:ptCount val="2"/>
                <c:pt idx="0">
                  <c:v>Water Heating</c:v>
                </c:pt>
              </c:strCache>
            </c:strRef>
          </c:tx>
          <c:spPr>
            <a:ln w="19050" cap="rnd">
              <a:solidFill>
                <a:srgbClr val="FDB813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Summary'!$BW$5:$BW$33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xVal>
          <c:yVal>
            <c:numRef>
              <c:f>'Avoided Costs Summary'!$CA$5:$CA$33</c:f>
              <c:numCache>
                <c:formatCode>"$"#,##0.00</c:formatCode>
                <c:ptCount val="29"/>
                <c:pt idx="0">
                  <c:v>12.875048529645362</c:v>
                </c:pt>
                <c:pt idx="1">
                  <c:v>11.936299182502758</c:v>
                </c:pt>
                <c:pt idx="2">
                  <c:v>11.149788643293368</c:v>
                </c:pt>
                <c:pt idx="3">
                  <c:v>11.494476195693194</c:v>
                </c:pt>
                <c:pt idx="4">
                  <c:v>11.34257335509264</c:v>
                </c:pt>
                <c:pt idx="5">
                  <c:v>11.501499661384404</c:v>
                </c:pt>
                <c:pt idx="6">
                  <c:v>11.614376131455751</c:v>
                </c:pt>
                <c:pt idx="7">
                  <c:v>11.815676139062674</c:v>
                </c:pt>
                <c:pt idx="8">
                  <c:v>11.854986215083205</c:v>
                </c:pt>
                <c:pt idx="9">
                  <c:v>11.940749727434916</c:v>
                </c:pt>
                <c:pt idx="10">
                  <c:v>12.138497202098637</c:v>
                </c:pt>
                <c:pt idx="11">
                  <c:v>13.815471345086404</c:v>
                </c:pt>
                <c:pt idx="12">
                  <c:v>13.618842855490676</c:v>
                </c:pt>
                <c:pt idx="13">
                  <c:v>13.3067646066587</c:v>
                </c:pt>
                <c:pt idx="14">
                  <c:v>18.77381963732125</c:v>
                </c:pt>
                <c:pt idx="15">
                  <c:v>18.327747918365016</c:v>
                </c:pt>
                <c:pt idx="16">
                  <c:v>17.997427577708496</c:v>
                </c:pt>
                <c:pt idx="17">
                  <c:v>17.53087426718249</c:v>
                </c:pt>
                <c:pt idx="18">
                  <c:v>17.095776916441977</c:v>
                </c:pt>
                <c:pt idx="19">
                  <c:v>16.585065659739346</c:v>
                </c:pt>
                <c:pt idx="20">
                  <c:v>16.289791163236341</c:v>
                </c:pt>
                <c:pt idx="21">
                  <c:v>15.87038302072426</c:v>
                </c:pt>
                <c:pt idx="22">
                  <c:v>15.468279486324031</c:v>
                </c:pt>
                <c:pt idx="23">
                  <c:v>14.969782806254724</c:v>
                </c:pt>
                <c:pt idx="24">
                  <c:v>14.509829039784702</c:v>
                </c:pt>
                <c:pt idx="25">
                  <c:v>14.105035982820478</c:v>
                </c:pt>
                <c:pt idx="26">
                  <c:v>13.829837548944225</c:v>
                </c:pt>
                <c:pt idx="27">
                  <c:v>13.35327116182598</c:v>
                </c:pt>
                <c:pt idx="28">
                  <c:v>12.962343083501914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CE-470D-B00F-584431A4DF03}"/>
            </c:ext>
          </c:extLst>
        </c:ser>
        <c:ser>
          <c:idx val="4"/>
          <c:order val="4"/>
          <c:tx>
            <c:strRef>
              <c:f>'Avoided Costs Summary'!$CB$3:$CB$4</c:f>
              <c:strCache>
                <c:ptCount val="2"/>
                <c:pt idx="0">
                  <c:v>Cooking</c:v>
                </c:pt>
              </c:strCache>
            </c:strRef>
          </c:tx>
          <c:spPr>
            <a:ln w="19050" cap="rnd">
              <a:solidFill>
                <a:srgbClr val="F48024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Summary'!$BW$5:$BW$33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xVal>
          <c:yVal>
            <c:numRef>
              <c:f>'Avoided Costs Summary'!$CB$5:$CB$33</c:f>
              <c:numCache>
                <c:formatCode>"$"#,##0.00</c:formatCode>
                <c:ptCount val="29"/>
                <c:pt idx="0">
                  <c:v>14.933109966868837</c:v>
                </c:pt>
                <c:pt idx="1">
                  <c:v>13.953621734867024</c:v>
                </c:pt>
                <c:pt idx="2">
                  <c:v>13.166242678948372</c:v>
                </c:pt>
                <c:pt idx="3">
                  <c:v>13.515050352543872</c:v>
                </c:pt>
                <c:pt idx="4">
                  <c:v>13.362069454249511</c:v>
                </c:pt>
                <c:pt idx="5">
                  <c:v>13.52229407195442</c:v>
                </c:pt>
                <c:pt idx="6">
                  <c:v>13.62988251660753</c:v>
                </c:pt>
                <c:pt idx="7">
                  <c:v>13.832564627725423</c:v>
                </c:pt>
                <c:pt idx="8">
                  <c:v>13.875238152890123</c:v>
                </c:pt>
                <c:pt idx="9">
                  <c:v>13.959363281687303</c:v>
                </c:pt>
                <c:pt idx="10">
                  <c:v>14.160496453346241</c:v>
                </c:pt>
                <c:pt idx="11">
                  <c:v>15.838232845497025</c:v>
                </c:pt>
                <c:pt idx="12">
                  <c:v>15.640576318336805</c:v>
                </c:pt>
                <c:pt idx="13">
                  <c:v>15.333368837341418</c:v>
                </c:pt>
                <c:pt idx="14">
                  <c:v>20.794081064068855</c:v>
                </c:pt>
                <c:pt idx="15">
                  <c:v>20.35325281859328</c:v>
                </c:pt>
                <c:pt idx="16">
                  <c:v>20.024045508135853</c:v>
                </c:pt>
                <c:pt idx="17">
                  <c:v>19.552957685901234</c:v>
                </c:pt>
                <c:pt idx="18">
                  <c:v>19.126294689507013</c:v>
                </c:pt>
                <c:pt idx="19">
                  <c:v>18.610010323870256</c:v>
                </c:pt>
                <c:pt idx="20">
                  <c:v>18.314265151626302</c:v>
                </c:pt>
                <c:pt idx="21">
                  <c:v>17.900940102213724</c:v>
                </c:pt>
                <c:pt idx="22">
                  <c:v>17.494076853627476</c:v>
                </c:pt>
                <c:pt idx="23">
                  <c:v>16.999771820013486</c:v>
                </c:pt>
                <c:pt idx="24">
                  <c:v>16.535066891500335</c:v>
                </c:pt>
                <c:pt idx="25">
                  <c:v>16.132861394092014</c:v>
                </c:pt>
                <c:pt idx="26">
                  <c:v>15.861639338115779</c:v>
                </c:pt>
                <c:pt idx="27">
                  <c:v>15.380745239846791</c:v>
                </c:pt>
                <c:pt idx="28">
                  <c:v>14.982268716118977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CE-470D-B00F-584431A4DF03}"/>
            </c:ext>
          </c:extLst>
        </c:ser>
        <c:ser>
          <c:idx val="5"/>
          <c:order val="5"/>
          <c:tx>
            <c:strRef>
              <c:f>'Avoided Costs Summary'!$CC$3:$CC$4</c:f>
              <c:strCache>
                <c:ptCount val="2"/>
                <c:pt idx="0">
                  <c:v>Process Load</c:v>
                </c:pt>
              </c:strCache>
            </c:strRef>
          </c:tx>
          <c:spPr>
            <a:ln w="19050" cap="rnd">
              <a:solidFill>
                <a:srgbClr val="7AC142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Summary'!$BW$5:$BW$33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xVal>
          <c:yVal>
            <c:numRef>
              <c:f>'Avoided Costs Summary'!$CC$5:$CC$33</c:f>
              <c:numCache>
                <c:formatCode>"$"#,##0.00</c:formatCode>
                <c:ptCount val="29"/>
                <c:pt idx="0">
                  <c:v>12.203010638246926</c:v>
                </c:pt>
                <c:pt idx="1">
                  <c:v>11.223522406245117</c:v>
                </c:pt>
                <c:pt idx="2">
                  <c:v>10.436143350326464</c:v>
                </c:pt>
                <c:pt idx="3">
                  <c:v>10.784951023921963</c:v>
                </c:pt>
                <c:pt idx="4">
                  <c:v>10.6319701256276</c:v>
                </c:pt>
                <c:pt idx="5">
                  <c:v>10.792194743332512</c:v>
                </c:pt>
                <c:pt idx="6">
                  <c:v>10.899783187985621</c:v>
                </c:pt>
                <c:pt idx="7">
                  <c:v>11.102465299103514</c:v>
                </c:pt>
                <c:pt idx="8">
                  <c:v>11.145138824268216</c:v>
                </c:pt>
                <c:pt idx="9">
                  <c:v>11.229263953065391</c:v>
                </c:pt>
                <c:pt idx="10">
                  <c:v>11.430397124724333</c:v>
                </c:pt>
                <c:pt idx="11">
                  <c:v>13.108133516875117</c:v>
                </c:pt>
                <c:pt idx="12">
                  <c:v>12.910476989714898</c:v>
                </c:pt>
                <c:pt idx="13">
                  <c:v>12.60326950871951</c:v>
                </c:pt>
                <c:pt idx="14">
                  <c:v>18.063981735446951</c:v>
                </c:pt>
                <c:pt idx="15">
                  <c:v>17.623153489971372</c:v>
                </c:pt>
                <c:pt idx="16">
                  <c:v>17.293946179513942</c:v>
                </c:pt>
                <c:pt idx="17">
                  <c:v>16.822858357279323</c:v>
                </c:pt>
                <c:pt idx="18">
                  <c:v>16.396195360885102</c:v>
                </c:pt>
                <c:pt idx="19">
                  <c:v>15.879910995248348</c:v>
                </c:pt>
                <c:pt idx="20">
                  <c:v>15.584165823004389</c:v>
                </c:pt>
                <c:pt idx="21">
                  <c:v>15.170840773591813</c:v>
                </c:pt>
                <c:pt idx="22">
                  <c:v>14.763977525005572</c:v>
                </c:pt>
                <c:pt idx="23">
                  <c:v>14.269672491391578</c:v>
                </c:pt>
                <c:pt idx="24">
                  <c:v>13.804967562878426</c:v>
                </c:pt>
                <c:pt idx="25">
                  <c:v>13.402762065470107</c:v>
                </c:pt>
                <c:pt idx="26">
                  <c:v>13.131540009493873</c:v>
                </c:pt>
                <c:pt idx="27">
                  <c:v>12.650645911224879</c:v>
                </c:pt>
                <c:pt idx="28">
                  <c:v>12.252169387497066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CE-470D-B00F-584431A4DF03}"/>
            </c:ext>
          </c:extLst>
        </c:ser>
        <c:ser>
          <c:idx val="6"/>
          <c:order val="6"/>
          <c:tx>
            <c:strRef>
              <c:f>'Avoided Costs Summary'!$CD$3:$CD$4</c:f>
              <c:strCache>
                <c:ptCount val="2"/>
                <c:pt idx="0">
                  <c:v>Interruptible Load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Summary'!$BW$5:$BW$33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xVal>
          <c:yVal>
            <c:numRef>
              <c:f>'Avoided Costs Summary'!$CD$5:$CD$33</c:f>
              <c:numCache>
                <c:formatCode>"$"#,##0.00</c:formatCode>
                <c:ptCount val="29"/>
                <c:pt idx="0">
                  <c:v>11.5897042778229</c:v>
                </c:pt>
                <c:pt idx="1">
                  <c:v>10.610216045821087</c:v>
                </c:pt>
                <c:pt idx="2">
                  <c:v>9.8228369899024361</c:v>
                </c:pt>
                <c:pt idx="3">
                  <c:v>10.171644663497935</c:v>
                </c:pt>
                <c:pt idx="4">
                  <c:v>10.018663765203573</c:v>
                </c:pt>
                <c:pt idx="5">
                  <c:v>10.178888382908486</c:v>
                </c:pt>
                <c:pt idx="6">
                  <c:v>10.286476827561593</c:v>
                </c:pt>
                <c:pt idx="7">
                  <c:v>10.489158938679486</c:v>
                </c:pt>
                <c:pt idx="8">
                  <c:v>10.531832463844188</c:v>
                </c:pt>
                <c:pt idx="9">
                  <c:v>10.615957592641363</c:v>
                </c:pt>
                <c:pt idx="10">
                  <c:v>10.817090764300307</c:v>
                </c:pt>
                <c:pt idx="11">
                  <c:v>12.494827156451091</c:v>
                </c:pt>
                <c:pt idx="12">
                  <c:v>12.29717062929087</c:v>
                </c:pt>
                <c:pt idx="13">
                  <c:v>11.98996314829548</c:v>
                </c:pt>
                <c:pt idx="14">
                  <c:v>17.450675375022922</c:v>
                </c:pt>
                <c:pt idx="15">
                  <c:v>17.009847129547346</c:v>
                </c:pt>
                <c:pt idx="16">
                  <c:v>16.680639819089915</c:v>
                </c:pt>
                <c:pt idx="17">
                  <c:v>16.209551996855293</c:v>
                </c:pt>
                <c:pt idx="18">
                  <c:v>15.782889000461072</c:v>
                </c:pt>
                <c:pt idx="19">
                  <c:v>15.26660463482432</c:v>
                </c:pt>
                <c:pt idx="20">
                  <c:v>14.970859462580361</c:v>
                </c:pt>
                <c:pt idx="21">
                  <c:v>14.557534413167785</c:v>
                </c:pt>
                <c:pt idx="22">
                  <c:v>14.150671164581544</c:v>
                </c:pt>
                <c:pt idx="23">
                  <c:v>13.65636613096755</c:v>
                </c:pt>
                <c:pt idx="24">
                  <c:v>13.191661202454398</c:v>
                </c:pt>
                <c:pt idx="25">
                  <c:v>12.789455705046077</c:v>
                </c:pt>
                <c:pt idx="26">
                  <c:v>12.518233649069845</c:v>
                </c:pt>
                <c:pt idx="27">
                  <c:v>12.037339550800851</c:v>
                </c:pt>
                <c:pt idx="28">
                  <c:v>11.63886302707304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CE-470D-B00F-584431A4D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61358048"/>
        <c:axId val="-1900299504"/>
      </c:scatterChart>
      <c:valAx>
        <c:axId val="-1661358048"/>
        <c:scaling>
          <c:orientation val="minMax"/>
          <c:max val="2050"/>
          <c:min val="202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00299504"/>
        <c:crossesAt val="0"/>
        <c:crossBetween val="midCat"/>
        <c:majorUnit val="2"/>
      </c:valAx>
      <c:valAx>
        <c:axId val="-1900299504"/>
        <c:scaling>
          <c:orientation val="minMax"/>
          <c:max val="2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Avoided</a:t>
                </a:r>
                <a:r>
                  <a:rPr lang="en-US" sz="1100" b="1" baseline="0"/>
                  <a:t> Costs (2021$/Dth)</a:t>
                </a:r>
                <a:endParaRPr lang="en-US" sz="1100" b="1"/>
              </a:p>
            </c:rich>
          </c:tx>
          <c:layout>
            <c:manualLayout>
              <c:xMode val="edge"/>
              <c:yMode val="edge"/>
              <c:x val="2.2639727871065347E-2"/>
              <c:y val="0.317421291638282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61358048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9986335955951527"/>
          <c:y val="0.5905478922858205"/>
          <c:w val="0.36204142539393547"/>
          <c:h val="0.248924301957285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57765605386284"/>
          <c:y val="0.10144120943741654"/>
          <c:w val="0.82585745622376916"/>
          <c:h val="0.80364094451374501"/>
        </c:manualLayout>
      </c:layout>
      <c:scatterChart>
        <c:scatterStyle val="lineMarker"/>
        <c:varyColors val="0"/>
        <c:ser>
          <c:idx val="2"/>
          <c:order val="0"/>
          <c:tx>
            <c:strRef>
              <c:f>'Avoided Costs Summary'!$CG$3:$CG$4</c:f>
              <c:strCache>
                <c:ptCount val="2"/>
                <c:pt idx="0">
                  <c:v>Commercial Space Heating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Summary'!$BW$5:$BW$33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xVal>
          <c:yVal>
            <c:numRef>
              <c:f>'Avoided Costs Summary'!$CG$5:$CG$33</c:f>
              <c:numCache>
                <c:formatCode>"$"#,##0.00</c:formatCode>
                <c:ptCount val="29"/>
                <c:pt idx="0">
                  <c:v>21.984716227895323</c:v>
                </c:pt>
                <c:pt idx="1">
                  <c:v>21.348440251992507</c:v>
                </c:pt>
                <c:pt idx="2">
                  <c:v>20.791595702253275</c:v>
                </c:pt>
                <c:pt idx="3">
                  <c:v>21.090376921163163</c:v>
                </c:pt>
                <c:pt idx="4">
                  <c:v>21.005809871669246</c:v>
                </c:pt>
                <c:pt idx="5">
                  <c:v>21.217399018995096</c:v>
                </c:pt>
                <c:pt idx="6">
                  <c:v>21.400604562261965</c:v>
                </c:pt>
                <c:pt idx="7">
                  <c:v>21.609038979923945</c:v>
                </c:pt>
                <c:pt idx="8">
                  <c:v>21.680986673175614</c:v>
                </c:pt>
                <c:pt idx="9">
                  <c:v>21.789427719217983</c:v>
                </c:pt>
                <c:pt idx="10">
                  <c:v>21.99963825304442</c:v>
                </c:pt>
                <c:pt idx="11">
                  <c:v>22.126073597893512</c:v>
                </c:pt>
                <c:pt idx="12">
                  <c:v>22.264951402153329</c:v>
                </c:pt>
                <c:pt idx="13">
                  <c:v>22.327230322792321</c:v>
                </c:pt>
                <c:pt idx="14">
                  <c:v>22.484899133391927</c:v>
                </c:pt>
                <c:pt idx="15">
                  <c:v>22.539747896900071</c:v>
                </c:pt>
                <c:pt idx="16">
                  <c:v>22.740416375592307</c:v>
                </c:pt>
                <c:pt idx="17">
                  <c:v>22.858059189649147</c:v>
                </c:pt>
                <c:pt idx="18">
                  <c:v>23.072388429687809</c:v>
                </c:pt>
                <c:pt idx="19">
                  <c:v>23.161601559011213</c:v>
                </c:pt>
                <c:pt idx="20">
                  <c:v>23.399781205925354</c:v>
                </c:pt>
                <c:pt idx="21">
                  <c:v>23.572665582813585</c:v>
                </c:pt>
                <c:pt idx="22">
                  <c:v>23.740649329033019</c:v>
                </c:pt>
                <c:pt idx="23">
                  <c:v>23.870748573933298</c:v>
                </c:pt>
                <c:pt idx="24">
                  <c:v>24.123701949997717</c:v>
                </c:pt>
                <c:pt idx="25">
                  <c:v>24.259596270976495</c:v>
                </c:pt>
                <c:pt idx="26">
                  <c:v>24.504046440581508</c:v>
                </c:pt>
                <c:pt idx="27">
                  <c:v>24.624660780996361</c:v>
                </c:pt>
                <c:pt idx="28">
                  <c:v>24.939992185412795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7C-47FC-865F-7102911E2C4E}"/>
            </c:ext>
          </c:extLst>
        </c:ser>
        <c:ser>
          <c:idx val="0"/>
          <c:order val="1"/>
          <c:tx>
            <c:strRef>
              <c:f>'Avoided Costs Summary'!$CE$3:$CE$4</c:f>
              <c:strCache>
                <c:ptCount val="2"/>
                <c:pt idx="0">
                  <c:v>Residential Space Heating 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Summary'!$BW$5:$BW$33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xVal>
          <c:yVal>
            <c:numRef>
              <c:f>'Avoided Costs Summary'!$CE$5:$CE$33</c:f>
              <c:numCache>
                <c:formatCode>"$"#,##0.00</c:formatCode>
                <c:ptCount val="29"/>
                <c:pt idx="0">
                  <c:v>20.291779263162216</c:v>
                </c:pt>
                <c:pt idx="1">
                  <c:v>19.655503287259396</c:v>
                </c:pt>
                <c:pt idx="2">
                  <c:v>19.098658737520164</c:v>
                </c:pt>
                <c:pt idx="3">
                  <c:v>19.397439956430052</c:v>
                </c:pt>
                <c:pt idx="4">
                  <c:v>19.312872906936136</c:v>
                </c:pt>
                <c:pt idx="5">
                  <c:v>19.524462054261988</c:v>
                </c:pt>
                <c:pt idx="6">
                  <c:v>19.707667597528854</c:v>
                </c:pt>
                <c:pt idx="7">
                  <c:v>19.91610201519083</c:v>
                </c:pt>
                <c:pt idx="8">
                  <c:v>19.9880497084425</c:v>
                </c:pt>
                <c:pt idx="9">
                  <c:v>20.096490754484872</c:v>
                </c:pt>
                <c:pt idx="10">
                  <c:v>20.306701288311306</c:v>
                </c:pt>
                <c:pt idx="11">
                  <c:v>20.433136633160398</c:v>
                </c:pt>
                <c:pt idx="12">
                  <c:v>20.572014437420215</c:v>
                </c:pt>
                <c:pt idx="13">
                  <c:v>20.63429335805921</c:v>
                </c:pt>
                <c:pt idx="14">
                  <c:v>20.791962168658813</c:v>
                </c:pt>
                <c:pt idx="15">
                  <c:v>20.846810932166964</c:v>
                </c:pt>
                <c:pt idx="16">
                  <c:v>21.047479410859193</c:v>
                </c:pt>
                <c:pt idx="17">
                  <c:v>21.165122224916033</c:v>
                </c:pt>
                <c:pt idx="18">
                  <c:v>21.379451464954695</c:v>
                </c:pt>
                <c:pt idx="19">
                  <c:v>21.468664594278103</c:v>
                </c:pt>
                <c:pt idx="20">
                  <c:v>21.70684424119224</c:v>
                </c:pt>
                <c:pt idx="21">
                  <c:v>21.87972861808047</c:v>
                </c:pt>
                <c:pt idx="22">
                  <c:v>22.047712364299905</c:v>
                </c:pt>
                <c:pt idx="23">
                  <c:v>22.177811609200187</c:v>
                </c:pt>
                <c:pt idx="24">
                  <c:v>22.430764985264609</c:v>
                </c:pt>
                <c:pt idx="25">
                  <c:v>22.56665930624338</c:v>
                </c:pt>
                <c:pt idx="26">
                  <c:v>22.811109475848394</c:v>
                </c:pt>
                <c:pt idx="27">
                  <c:v>22.931723816263254</c:v>
                </c:pt>
                <c:pt idx="28">
                  <c:v>23.24705522067968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7C-47FC-865F-7102911E2C4E}"/>
            </c:ext>
          </c:extLst>
        </c:ser>
        <c:ser>
          <c:idx val="1"/>
          <c:order val="2"/>
          <c:tx>
            <c:strRef>
              <c:f>'Avoided Costs Summary'!$CF$3:$CF$4</c:f>
              <c:strCache>
                <c:ptCount val="2"/>
                <c:pt idx="0">
                  <c:v>Residential Hearths and Fireplaces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Summary'!$BW$5:$BW$33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xVal>
          <c:yVal>
            <c:numRef>
              <c:f>'Avoided Costs Summary'!$CF$5:$CF$33</c:f>
              <c:numCache>
                <c:formatCode>"$"#,##0.00</c:formatCode>
                <c:ptCount val="29"/>
                <c:pt idx="0">
                  <c:v>16.022643368878153</c:v>
                </c:pt>
                <c:pt idx="1">
                  <c:v>15.386367392975334</c:v>
                </c:pt>
                <c:pt idx="2">
                  <c:v>14.829522843236106</c:v>
                </c:pt>
                <c:pt idx="3">
                  <c:v>15.12830406214599</c:v>
                </c:pt>
                <c:pt idx="4">
                  <c:v>15.043737012652073</c:v>
                </c:pt>
                <c:pt idx="5">
                  <c:v>15.255326159977926</c:v>
                </c:pt>
                <c:pt idx="6">
                  <c:v>15.438531703244792</c:v>
                </c:pt>
                <c:pt idx="7">
                  <c:v>15.646966120906773</c:v>
                </c:pt>
                <c:pt idx="8">
                  <c:v>15.718913814158441</c:v>
                </c:pt>
                <c:pt idx="9">
                  <c:v>15.827354860200812</c:v>
                </c:pt>
                <c:pt idx="10">
                  <c:v>16.037565394027247</c:v>
                </c:pt>
                <c:pt idx="11">
                  <c:v>16.164000738876339</c:v>
                </c:pt>
                <c:pt idx="12">
                  <c:v>16.302878543136156</c:v>
                </c:pt>
                <c:pt idx="13">
                  <c:v>16.365157463775152</c:v>
                </c:pt>
                <c:pt idx="14">
                  <c:v>16.522826274374758</c:v>
                </c:pt>
                <c:pt idx="15">
                  <c:v>16.577675037882901</c:v>
                </c:pt>
                <c:pt idx="16">
                  <c:v>16.778343516575134</c:v>
                </c:pt>
                <c:pt idx="17">
                  <c:v>16.895986330631978</c:v>
                </c:pt>
                <c:pt idx="18">
                  <c:v>17.110315570670636</c:v>
                </c:pt>
                <c:pt idx="19">
                  <c:v>17.199528699994044</c:v>
                </c:pt>
                <c:pt idx="20">
                  <c:v>17.437708346908178</c:v>
                </c:pt>
                <c:pt idx="21">
                  <c:v>17.610592723796412</c:v>
                </c:pt>
                <c:pt idx="22">
                  <c:v>17.778576470015842</c:v>
                </c:pt>
                <c:pt idx="23">
                  <c:v>17.908675714916129</c:v>
                </c:pt>
                <c:pt idx="24">
                  <c:v>18.161629090980547</c:v>
                </c:pt>
                <c:pt idx="25">
                  <c:v>18.297523411959318</c:v>
                </c:pt>
                <c:pt idx="26">
                  <c:v>18.541973581564335</c:v>
                </c:pt>
                <c:pt idx="27">
                  <c:v>18.662587921979192</c:v>
                </c:pt>
                <c:pt idx="28">
                  <c:v>18.977919326395622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7C-47FC-865F-7102911E2C4E}"/>
            </c:ext>
          </c:extLst>
        </c:ser>
        <c:ser>
          <c:idx val="3"/>
          <c:order val="3"/>
          <c:tx>
            <c:strRef>
              <c:f>'Avoided Costs Summary'!$CH$3:$CH$4</c:f>
              <c:strCache>
                <c:ptCount val="2"/>
                <c:pt idx="0">
                  <c:v>Water Heating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Summary'!$BW$5:$BW$33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xVal>
          <c:yVal>
            <c:numRef>
              <c:f>'Avoided Costs Summary'!$CH$5:$CH$33</c:f>
              <c:numCache>
                <c:formatCode>"$"#,##0.00</c:formatCode>
                <c:ptCount val="29"/>
                <c:pt idx="0">
                  <c:v>13.120786804528766</c:v>
                </c:pt>
                <c:pt idx="1">
                  <c:v>12.230352878376511</c:v>
                </c:pt>
                <c:pt idx="2">
                  <c:v>11.49215776015747</c:v>
                </c:pt>
                <c:pt idx="3">
                  <c:v>11.885160733547643</c:v>
                </c:pt>
                <c:pt idx="4">
                  <c:v>11.768898261313641</c:v>
                </c:pt>
                <c:pt idx="5">
                  <c:v>11.963464935971956</c:v>
                </c:pt>
                <c:pt idx="6">
                  <c:v>12.111981774409861</c:v>
                </c:pt>
                <c:pt idx="7">
                  <c:v>12.348922150383338</c:v>
                </c:pt>
                <c:pt idx="8">
                  <c:v>12.423872594770419</c:v>
                </c:pt>
                <c:pt idx="9">
                  <c:v>12.532601422864893</c:v>
                </c:pt>
                <c:pt idx="10">
                  <c:v>12.753314213271373</c:v>
                </c:pt>
                <c:pt idx="11">
                  <c:v>12.8863686720019</c:v>
                </c:pt>
                <c:pt idx="12">
                  <c:v>13.048790498148934</c:v>
                </c:pt>
                <c:pt idx="13">
                  <c:v>13.10576256505972</c:v>
                </c:pt>
                <c:pt idx="14">
                  <c:v>13.231218016712615</c:v>
                </c:pt>
                <c:pt idx="15">
                  <c:v>13.32954671874673</c:v>
                </c:pt>
                <c:pt idx="16">
                  <c:v>13.534626799080556</c:v>
                </c:pt>
                <c:pt idx="17">
                  <c:v>13.629473909544899</c:v>
                </c:pt>
                <c:pt idx="18">
                  <c:v>13.87377697979473</c:v>
                </c:pt>
                <c:pt idx="19">
                  <c:v>13.925116038834863</c:v>
                </c:pt>
                <c:pt idx="20">
                  <c:v>14.168891858074618</c:v>
                </c:pt>
                <c:pt idx="21">
                  <c:v>14.376534031305297</c:v>
                </c:pt>
                <c:pt idx="22">
                  <c:v>14.515480812647828</c:v>
                </c:pt>
                <c:pt idx="23">
                  <c:v>14.681034448321283</c:v>
                </c:pt>
                <c:pt idx="24">
                  <c:v>14.899481102841603</c:v>
                </c:pt>
                <c:pt idx="25">
                  <c:v>15.040088466867731</c:v>
                </c:pt>
                <c:pt idx="26">
                  <c:v>15.304290453981823</c:v>
                </c:pt>
                <c:pt idx="27">
                  <c:v>15.417124487853929</c:v>
                </c:pt>
                <c:pt idx="28">
                  <c:v>15.631596830520209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7C-47FC-865F-7102911E2C4E}"/>
            </c:ext>
          </c:extLst>
        </c:ser>
        <c:ser>
          <c:idx val="4"/>
          <c:order val="4"/>
          <c:tx>
            <c:strRef>
              <c:f>'Avoided Costs Summary'!$CI$3:$CI$4</c:f>
              <c:strCache>
                <c:ptCount val="2"/>
                <c:pt idx="0">
                  <c:v>Cooking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Summary'!$BW$5:$BW$33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xVal>
          <c:yVal>
            <c:numRef>
              <c:f>'Avoided Costs Summary'!$CI$5:$CI$33</c:f>
              <c:numCache>
                <c:formatCode>"$"#,##0.00</c:formatCode>
                <c:ptCount val="29"/>
                <c:pt idx="0">
                  <c:v>16.519510870866306</c:v>
                </c:pt>
                <c:pt idx="1">
                  <c:v>15.588338059854841</c:v>
                </c:pt>
                <c:pt idx="2">
                  <c:v>14.849274424926536</c:v>
                </c:pt>
                <c:pt idx="3">
                  <c:v>15.246397519512383</c:v>
                </c:pt>
                <c:pt idx="4">
                  <c:v>15.129056989584576</c:v>
                </c:pt>
                <c:pt idx="5">
                  <c:v>15.324921975656039</c:v>
                </c:pt>
                <c:pt idx="6">
                  <c:v>15.468150788675704</c:v>
                </c:pt>
                <c:pt idx="7">
                  <c:v>15.706473268160151</c:v>
                </c:pt>
                <c:pt idx="8">
                  <c:v>15.784787161691405</c:v>
                </c:pt>
                <c:pt idx="9">
                  <c:v>15.891877606231345</c:v>
                </c:pt>
                <c:pt idx="10">
                  <c:v>16.115976093633044</c:v>
                </c:pt>
                <c:pt idx="11">
                  <c:v>16.249792801526588</c:v>
                </c:pt>
                <c:pt idx="12">
                  <c:v>16.411186590109129</c:v>
                </c:pt>
                <c:pt idx="13">
                  <c:v>16.473029424856502</c:v>
                </c:pt>
                <c:pt idx="14">
                  <c:v>16.592142072574294</c:v>
                </c:pt>
                <c:pt idx="15">
                  <c:v>16.695714248089061</c:v>
                </c:pt>
                <c:pt idx="16">
                  <c:v>16.901907358621976</c:v>
                </c:pt>
                <c:pt idx="17">
                  <c:v>16.992219957377703</c:v>
                </c:pt>
                <c:pt idx="18">
                  <c:v>17.244957381973833</c:v>
                </c:pt>
                <c:pt idx="19">
                  <c:v>17.290723332079839</c:v>
                </c:pt>
                <c:pt idx="20">
                  <c:v>17.534028475578641</c:v>
                </c:pt>
                <c:pt idx="21">
                  <c:v>17.747753741908824</c:v>
                </c:pt>
                <c:pt idx="22">
                  <c:v>17.881940809065341</c:v>
                </c:pt>
                <c:pt idx="23">
                  <c:v>18.05168609119411</c:v>
                </c:pt>
                <c:pt idx="24">
                  <c:v>18.265381583671306</c:v>
                </c:pt>
                <c:pt idx="25">
                  <c:v>18.408576507253333</c:v>
                </c:pt>
                <c:pt idx="26">
                  <c:v>18.676754872267445</c:v>
                </c:pt>
                <c:pt idx="27">
                  <c:v>18.785261194988802</c:v>
                </c:pt>
                <c:pt idx="28">
                  <c:v>18.992185092251336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7C-47FC-865F-7102911E2C4E}"/>
            </c:ext>
          </c:extLst>
        </c:ser>
        <c:ser>
          <c:idx val="5"/>
          <c:order val="5"/>
          <c:tx>
            <c:strRef>
              <c:f>'Avoided Costs Summary'!$CJ$3:$CJ$4</c:f>
              <c:strCache>
                <c:ptCount val="2"/>
                <c:pt idx="0">
                  <c:v>Process Load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Summary'!$BW$5:$BW$33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xVal>
          <c:yVal>
            <c:numRef>
              <c:f>'Avoided Costs Summary'!$CJ$5:$CJ$33</c:f>
              <c:numCache>
                <c:formatCode>"$"#,##0.00</c:formatCode>
                <c:ptCount val="29"/>
                <c:pt idx="0">
                  <c:v>12.017439810795633</c:v>
                </c:pt>
                <c:pt idx="1">
                  <c:v>11.086266999784169</c:v>
                </c:pt>
                <c:pt idx="2">
                  <c:v>10.347203364855865</c:v>
                </c:pt>
                <c:pt idx="3">
                  <c:v>10.744326459441712</c:v>
                </c:pt>
                <c:pt idx="4">
                  <c:v>10.626985929513904</c:v>
                </c:pt>
                <c:pt idx="5">
                  <c:v>10.822850915585366</c:v>
                </c:pt>
                <c:pt idx="6">
                  <c:v>10.966079728605031</c:v>
                </c:pt>
                <c:pt idx="7">
                  <c:v>11.20440220808948</c:v>
                </c:pt>
                <c:pt idx="8">
                  <c:v>11.282716101620734</c:v>
                </c:pt>
                <c:pt idx="9">
                  <c:v>11.389806546160672</c:v>
                </c:pt>
                <c:pt idx="10">
                  <c:v>11.613905033562371</c:v>
                </c:pt>
                <c:pt idx="11">
                  <c:v>11.747721741455916</c:v>
                </c:pt>
                <c:pt idx="12">
                  <c:v>11.909115530038456</c:v>
                </c:pt>
                <c:pt idx="13">
                  <c:v>11.970958364785833</c:v>
                </c:pt>
                <c:pt idx="14">
                  <c:v>12.090071012503618</c:v>
                </c:pt>
                <c:pt idx="15">
                  <c:v>12.19364318801839</c:v>
                </c:pt>
                <c:pt idx="16">
                  <c:v>12.399836298551302</c:v>
                </c:pt>
                <c:pt idx="17">
                  <c:v>12.49014889730703</c:v>
                </c:pt>
                <c:pt idx="18">
                  <c:v>12.742886321903155</c:v>
                </c:pt>
                <c:pt idx="19">
                  <c:v>12.788652272009164</c:v>
                </c:pt>
                <c:pt idx="20">
                  <c:v>13.031957415507968</c:v>
                </c:pt>
                <c:pt idx="21">
                  <c:v>13.245682681838153</c:v>
                </c:pt>
                <c:pt idx="22">
                  <c:v>13.379869748994668</c:v>
                </c:pt>
                <c:pt idx="23">
                  <c:v>13.549615031123436</c:v>
                </c:pt>
                <c:pt idx="24">
                  <c:v>13.763310523600632</c:v>
                </c:pt>
                <c:pt idx="25">
                  <c:v>13.906505447182662</c:v>
                </c:pt>
                <c:pt idx="26">
                  <c:v>14.174683812196774</c:v>
                </c:pt>
                <c:pt idx="27">
                  <c:v>14.283190134918129</c:v>
                </c:pt>
                <c:pt idx="28">
                  <c:v>14.490114032180664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7C-47FC-865F-7102911E2C4E}"/>
            </c:ext>
          </c:extLst>
        </c:ser>
        <c:ser>
          <c:idx val="6"/>
          <c:order val="6"/>
          <c:tx>
            <c:strRef>
              <c:f>'Avoided Costs Summary'!$CK$3:$CK$4</c:f>
              <c:strCache>
                <c:ptCount val="2"/>
                <c:pt idx="0">
                  <c:v>Interruptible Load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'Avoided Costs Summary'!$BW$5:$BW$33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xVal>
          <c:yVal>
            <c:numRef>
              <c:f>'Avoided Costs Summary'!$CK$5:$CK$33</c:f>
              <c:numCache>
                <c:formatCode>"$"#,##0.00</c:formatCode>
                <c:ptCount val="29"/>
                <c:pt idx="0">
                  <c:v>11.065970906201994</c:v>
                </c:pt>
                <c:pt idx="1">
                  <c:v>10.134798095190529</c:v>
                </c:pt>
                <c:pt idx="2">
                  <c:v>9.3957344602622257</c:v>
                </c:pt>
                <c:pt idx="3">
                  <c:v>9.7928575548480712</c:v>
                </c:pt>
                <c:pt idx="4">
                  <c:v>9.6755170249202642</c:v>
                </c:pt>
                <c:pt idx="5">
                  <c:v>9.8713820109917272</c:v>
                </c:pt>
                <c:pt idx="6">
                  <c:v>10.014610824011392</c:v>
                </c:pt>
                <c:pt idx="7">
                  <c:v>10.252933303495837</c:v>
                </c:pt>
                <c:pt idx="8">
                  <c:v>10.331247197027093</c:v>
                </c:pt>
                <c:pt idx="9">
                  <c:v>10.438337641567031</c:v>
                </c:pt>
                <c:pt idx="10">
                  <c:v>10.662436128968732</c:v>
                </c:pt>
                <c:pt idx="11">
                  <c:v>10.796252836862276</c:v>
                </c:pt>
                <c:pt idx="12">
                  <c:v>10.957646625444816</c:v>
                </c:pt>
                <c:pt idx="13">
                  <c:v>11.01948946019219</c:v>
                </c:pt>
                <c:pt idx="14">
                  <c:v>11.138602107909978</c:v>
                </c:pt>
                <c:pt idx="15">
                  <c:v>11.242174283424751</c:v>
                </c:pt>
                <c:pt idx="16">
                  <c:v>11.448367393957664</c:v>
                </c:pt>
                <c:pt idx="17">
                  <c:v>11.538679992713391</c:v>
                </c:pt>
                <c:pt idx="18">
                  <c:v>11.791417417309518</c:v>
                </c:pt>
                <c:pt idx="19">
                  <c:v>11.837183367415527</c:v>
                </c:pt>
                <c:pt idx="20">
                  <c:v>12.080488510914329</c:v>
                </c:pt>
                <c:pt idx="21">
                  <c:v>12.294213777244511</c:v>
                </c:pt>
                <c:pt idx="22">
                  <c:v>12.428400844401031</c:v>
                </c:pt>
                <c:pt idx="23">
                  <c:v>12.598146126529796</c:v>
                </c:pt>
                <c:pt idx="24">
                  <c:v>12.811841619006993</c:v>
                </c:pt>
                <c:pt idx="25">
                  <c:v>12.955036542589021</c:v>
                </c:pt>
                <c:pt idx="26">
                  <c:v>13.223214907603134</c:v>
                </c:pt>
                <c:pt idx="27">
                  <c:v>13.33172123032449</c:v>
                </c:pt>
                <c:pt idx="28">
                  <c:v>13.538645127587024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7C-47FC-865F-7102911E2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00302224"/>
        <c:axId val="-1978123792"/>
      </c:scatterChart>
      <c:valAx>
        <c:axId val="-1900302224"/>
        <c:scaling>
          <c:orientation val="minMax"/>
          <c:max val="2050"/>
          <c:min val="202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78123792"/>
        <c:crosses val="autoZero"/>
        <c:crossBetween val="midCat"/>
        <c:majorUnit val="2"/>
      </c:valAx>
      <c:valAx>
        <c:axId val="-1978123792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Avoided Costs (2021$/Dth)</a:t>
                </a:r>
              </a:p>
            </c:rich>
          </c:tx>
          <c:layout>
            <c:manualLayout>
              <c:xMode val="edge"/>
              <c:yMode val="edge"/>
              <c:x val="1.7393196844511218E-2"/>
              <c:y val="0.259885242636250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0030222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15922058655712"/>
          <c:y val="0.61895138356214419"/>
          <c:w val="0.40726444520521893"/>
          <c:h val="0.2650777748208909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Oregon Levelized Avoided Costs: 2020 vs 2018 IRP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97314424094778"/>
          <c:y val="0.10883215962441314"/>
          <c:w val="0.87522766491205173"/>
          <c:h val="0.674745619385604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'Avoided Costs Summary'!$CY$37:$CY$39</c:f>
              <c:strCache>
                <c:ptCount val="3"/>
                <c:pt idx="0">
                  <c:v>2022 IRP</c:v>
                </c:pt>
              </c:strCache>
            </c:strRef>
          </c:tx>
          <c:spPr>
            <a:solidFill>
              <a:srgbClr val="00BBE3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'Avoided Costs Summary'!$CW$40:$CX$53</c15:sqref>
                  </c15:fullRef>
                </c:ext>
              </c:extLst>
              <c:f>'Avoided Costs Summary'!$CW$40:$CX$46</c:f>
              <c:multiLvlStrCache>
                <c:ptCount val="7"/>
                <c:lvl>
                  <c:pt idx="0">
                    <c:v>Residential Space Heating </c:v>
                  </c:pt>
                  <c:pt idx="1">
                    <c:v>Residential Hearths and Fireplaces</c:v>
                  </c:pt>
                  <c:pt idx="2">
                    <c:v>Commercial Space Heating</c:v>
                  </c:pt>
                  <c:pt idx="3">
                    <c:v>Water Heating</c:v>
                  </c:pt>
                  <c:pt idx="4">
                    <c:v>Cooking</c:v>
                  </c:pt>
                  <c:pt idx="5">
                    <c:v>Process Load</c:v>
                  </c:pt>
                  <c:pt idx="6">
                    <c:v>Interruptible Loads</c:v>
                  </c:pt>
                </c:lvl>
                <c:lvl>
                  <c:pt idx="0">
                    <c:v>Oregon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Summary'!$CY$40:$CY$53</c15:sqref>
                  </c15:fullRef>
                </c:ext>
              </c:extLst>
              <c:f>'Avoided Costs Summary'!$CY$40:$CY$46</c:f>
              <c:numCache>
                <c:formatCode>"$"#,##0.00</c:formatCode>
                <c:ptCount val="7"/>
                <c:pt idx="0">
                  <c:v>18.58121499341388</c:v>
                </c:pt>
                <c:pt idx="1">
                  <c:v>16.003403428832524</c:v>
                </c:pt>
                <c:pt idx="2">
                  <c:v>19.573142532020206</c:v>
                </c:pt>
                <c:pt idx="3">
                  <c:v>13.698170300160895</c:v>
                </c:pt>
                <c:pt idx="4">
                  <c:v>15.722422107195081</c:v>
                </c:pt>
                <c:pt idx="5">
                  <c:v>12.992322778573177</c:v>
                </c:pt>
                <c:pt idx="6">
                  <c:v>12.379016418149149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9-4B01-AD6F-9F4838859615}"/>
            </c:ext>
          </c:extLst>
        </c:ser>
        <c:ser>
          <c:idx val="1"/>
          <c:order val="1"/>
          <c:tx>
            <c:v>2018 IRP Update</c:v>
          </c:tx>
          <c:spPr>
            <a:solidFill>
              <a:srgbClr val="7AC142"/>
            </a:solidFill>
            <a:ln>
              <a:solidFill>
                <a:srgbClr val="7AC142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'Avoided Costs Summary'!$CW$40:$CX$53</c15:sqref>
                  </c15:fullRef>
                </c:ext>
              </c:extLst>
              <c:f>'Avoided Costs Summary'!$CW$40:$CX$46</c:f>
              <c:multiLvlStrCache>
                <c:ptCount val="7"/>
                <c:lvl>
                  <c:pt idx="0">
                    <c:v>Residential Space Heating </c:v>
                  </c:pt>
                  <c:pt idx="1">
                    <c:v>Residential Hearths and Fireplaces</c:v>
                  </c:pt>
                  <c:pt idx="2">
                    <c:v>Commercial Space Heating</c:v>
                  </c:pt>
                  <c:pt idx="3">
                    <c:v>Water Heating</c:v>
                  </c:pt>
                  <c:pt idx="4">
                    <c:v>Cooking</c:v>
                  </c:pt>
                  <c:pt idx="5">
                    <c:v>Process Load</c:v>
                  </c:pt>
                  <c:pt idx="6">
                    <c:v>Interruptible Loads</c:v>
                  </c:pt>
                </c:lvl>
                <c:lvl>
                  <c:pt idx="0">
                    <c:v>Oregon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Summary'!$CZ$40:$CZ$53</c15:sqref>
                  </c15:fullRef>
                </c:ext>
              </c:extLst>
              <c:f>'Avoided Costs Summary'!$CZ$40:$CZ$46</c:f>
              <c:numCache>
                <c:formatCode>"$"#,##0.00</c:formatCode>
                <c:ptCount val="7"/>
                <c:pt idx="0">
                  <c:v>15.030046863105495</c:v>
                </c:pt>
                <c:pt idx="1">
                  <c:v>12.760192987014197</c:v>
                </c:pt>
                <c:pt idx="2">
                  <c:v>15.925369083623265</c:v>
                </c:pt>
                <c:pt idx="3">
                  <c:v>11.078343958400065</c:v>
                </c:pt>
                <c:pt idx="4">
                  <c:v>13.083881684930308</c:v>
                </c:pt>
                <c:pt idx="5">
                  <c:v>10.384408571033624</c:v>
                </c:pt>
                <c:pt idx="6">
                  <c:v>9.8074263846391041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9-4B01-AD6F-9F4838859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549303440"/>
        <c:axId val="-1549309968"/>
      </c:barChart>
      <c:catAx>
        <c:axId val="-154930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09968"/>
        <c:crosses val="autoZero"/>
        <c:auto val="1"/>
        <c:lblAlgn val="ctr"/>
        <c:lblOffset val="100"/>
        <c:noMultiLvlLbl val="0"/>
      </c:catAx>
      <c:valAx>
        <c:axId val="-1549309968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2021 Levelized $</a:t>
                </a:r>
              </a:p>
            </c:rich>
          </c:tx>
          <c:layout>
            <c:manualLayout>
              <c:xMode val="edge"/>
              <c:yMode val="edge"/>
              <c:x val="1.3398517799515229E-2"/>
              <c:y val="0.34029980407378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0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35397010156339"/>
          <c:y val="0.90353550400794491"/>
          <c:w val="0.51369257103731603"/>
          <c:h val="6.712182544083396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Washington Levelized Avoided Costs: 2020 vs 2018 IRP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40734535842592"/>
          <c:y val="0.10883215962441314"/>
          <c:w val="0.87479328381824617"/>
          <c:h val="0.674745619385604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'Avoided Costs Summary'!$CY$37:$CY$39</c:f>
              <c:strCache>
                <c:ptCount val="3"/>
                <c:pt idx="0">
                  <c:v>2022 IRP</c:v>
                </c:pt>
              </c:strCache>
            </c:strRef>
          </c:tx>
          <c:spPr>
            <a:solidFill>
              <a:srgbClr val="00BBE3"/>
            </a:solidFill>
            <a:ln>
              <a:solidFill>
                <a:srgbClr val="00BBE3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'Avoided Costs Summary'!$CW$40:$CX$53</c15:sqref>
                  </c15:fullRef>
                </c:ext>
              </c:extLst>
              <c:f>'Avoided Costs Summary'!$CW$47:$CX$53</c:f>
              <c:multiLvlStrCache>
                <c:ptCount val="7"/>
                <c:lvl>
                  <c:pt idx="0">
                    <c:v>Residential Space Heating </c:v>
                  </c:pt>
                  <c:pt idx="1">
                    <c:v>Residential Hearths and Fireplaces</c:v>
                  </c:pt>
                  <c:pt idx="2">
                    <c:v>Commercial Space Heating</c:v>
                  </c:pt>
                  <c:pt idx="3">
                    <c:v>Water Heating</c:v>
                  </c:pt>
                  <c:pt idx="4">
                    <c:v>Cooking</c:v>
                  </c:pt>
                  <c:pt idx="5">
                    <c:v>Process Load</c:v>
                  </c:pt>
                  <c:pt idx="6">
                    <c:v>Interruptible Loads</c:v>
                  </c:pt>
                </c:lvl>
                <c:lvl>
                  <c:pt idx="0">
                    <c:v>Washington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Summary'!$CY$40:$CY$53</c15:sqref>
                  </c15:fullRef>
                </c:ext>
              </c:extLst>
              <c:f>'Avoided Costs Summary'!$CY$47:$CY$53</c:f>
              <c:numCache>
                <c:formatCode>"$"#,##0.00</c:formatCode>
                <c:ptCount val="7"/>
                <c:pt idx="0">
                  <c:v>20.640583421647115</c:v>
                </c:pt>
                <c:pt idx="1">
                  <c:v>16.371447527363056</c:v>
                </c:pt>
                <c:pt idx="2">
                  <c:v>22.333520386380226</c:v>
                </c:pt>
                <c:pt idx="3">
                  <c:v>13.038563620987254</c:v>
                </c:pt>
                <c:pt idx="4">
                  <c:v>16.40277835841934</c:v>
                </c:pt>
                <c:pt idx="5">
                  <c:v>11.900707298348673</c:v>
                </c:pt>
                <c:pt idx="6">
                  <c:v>10.949238393755033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3-4356-A131-94F794ADFA50}"/>
            </c:ext>
          </c:extLst>
        </c:ser>
        <c:ser>
          <c:idx val="1"/>
          <c:order val="1"/>
          <c:tx>
            <c:v>2018 IRP Update</c:v>
          </c:tx>
          <c:spPr>
            <a:solidFill>
              <a:srgbClr val="7AC142"/>
            </a:solidFill>
            <a:ln>
              <a:solidFill>
                <a:srgbClr val="7AC142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'Avoided Costs Summary'!$CW$40:$CX$53</c15:sqref>
                  </c15:fullRef>
                </c:ext>
              </c:extLst>
              <c:f>'Avoided Costs Summary'!$CW$47:$CX$53</c:f>
              <c:multiLvlStrCache>
                <c:ptCount val="7"/>
                <c:lvl>
                  <c:pt idx="0">
                    <c:v>Residential Space Heating </c:v>
                  </c:pt>
                  <c:pt idx="1">
                    <c:v>Residential Hearths and Fireplaces</c:v>
                  </c:pt>
                  <c:pt idx="2">
                    <c:v>Commercial Space Heating</c:v>
                  </c:pt>
                  <c:pt idx="3">
                    <c:v>Water Heating</c:v>
                  </c:pt>
                  <c:pt idx="4">
                    <c:v>Cooking</c:v>
                  </c:pt>
                  <c:pt idx="5">
                    <c:v>Process Load</c:v>
                  </c:pt>
                  <c:pt idx="6">
                    <c:v>Interruptible Loads</c:v>
                  </c:pt>
                </c:lvl>
                <c:lvl>
                  <c:pt idx="0">
                    <c:v>Washington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Summary'!$CZ$40:$CZ$53</c15:sqref>
                  </c15:fullRef>
                </c:ext>
              </c:extLst>
              <c:f>'Avoided Costs Summary'!$CZ$47:$CZ$53</c:f>
              <c:numCache>
                <c:formatCode>"$"#,##0.00</c:formatCode>
                <c:ptCount val="7"/>
                <c:pt idx="0">
                  <c:v>18.728890639208153</c:v>
                </c:pt>
                <c:pt idx="1">
                  <c:v>14.969766120432515</c:v>
                </c:pt>
                <c:pt idx="2">
                  <c:v>20.241476349785874</c:v>
                </c:pt>
                <c:pt idx="3">
                  <c:v>12.548570231661882</c:v>
                </c:pt>
                <c:pt idx="4">
                  <c:v>15.885378287962499</c:v>
                </c:pt>
                <c:pt idx="5">
                  <c:v>11.427663878178574</c:v>
                </c:pt>
                <c:pt idx="6">
                  <c:v>10.515139459744505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3-4356-A131-94F794ADF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549305072"/>
        <c:axId val="-1549300720"/>
      </c:barChart>
      <c:catAx>
        <c:axId val="-154930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00720"/>
        <c:crosses val="autoZero"/>
        <c:auto val="1"/>
        <c:lblAlgn val="ctr"/>
        <c:lblOffset val="100"/>
        <c:noMultiLvlLbl val="0"/>
      </c:catAx>
      <c:valAx>
        <c:axId val="-154930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2021 Levelized $</a:t>
                </a:r>
              </a:p>
            </c:rich>
          </c:tx>
          <c:layout>
            <c:manualLayout>
              <c:xMode val="edge"/>
              <c:yMode val="edge"/>
              <c:x val="1.3398517799515229E-2"/>
              <c:y val="0.34029980407378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0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562498578492248"/>
          <c:y val="0.90060117925400163"/>
          <c:w val="0.38198647179501177"/>
          <c:h val="6.712182544083396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Residential Space Heating - Change from 2018 IRP Update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68890430841739"/>
          <c:y val="0.11871583248625714"/>
          <c:w val="0.86731462207070875"/>
          <c:h val="0.704633886082158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'Avoided Costs Summary'!$DO$47</c:f>
              <c:strCache>
                <c:ptCount val="1"/>
                <c:pt idx="0">
                  <c:v>Residential Space Heating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BE3"/>
              </a:solidFill>
              <a:ln>
                <a:solidFill>
                  <a:srgbClr val="00BBE3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DB-47B8-B165-E3B94DB2CDE6}"/>
              </c:ext>
            </c:extLst>
          </c:dPt>
          <c:dPt>
            <c:idx val="1"/>
            <c:invertIfNegative val="0"/>
            <c:bubble3D val="0"/>
            <c:spPr>
              <a:solidFill>
                <a:srgbClr val="7AC142"/>
              </a:solidFill>
              <a:ln>
                <a:solidFill>
                  <a:srgbClr val="7AC14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DB-47B8-B165-E3B94DB2CDE6}"/>
              </c:ext>
            </c:extLst>
          </c:dPt>
          <c:dPt>
            <c:idx val="2"/>
            <c:invertIfNegative val="0"/>
            <c:bubble3D val="0"/>
            <c:spPr>
              <a:solidFill>
                <a:srgbClr val="0072AE"/>
              </a:solidFill>
              <a:ln>
                <a:solidFill>
                  <a:srgbClr val="0072AE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4DB-47B8-B165-E3B94DB2CDE6}"/>
              </c:ext>
            </c:extLst>
          </c:dPt>
          <c:dPt>
            <c:idx val="3"/>
            <c:invertIfNegative val="0"/>
            <c:bubble3D val="0"/>
            <c:spPr>
              <a:solidFill>
                <a:srgbClr val="F48024"/>
              </a:solidFill>
              <a:ln>
                <a:solidFill>
                  <a:srgbClr val="F48024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4DB-47B8-B165-E3B94DB2CDE6}"/>
              </c:ext>
            </c:extLst>
          </c:dPt>
          <c:dPt>
            <c:idx val="4"/>
            <c:invertIfNegative val="0"/>
            <c:bubble3D val="0"/>
            <c:spPr>
              <a:solidFill>
                <a:srgbClr val="FDB813"/>
              </a:solidFill>
              <a:ln>
                <a:solidFill>
                  <a:srgbClr val="FDB813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4DB-47B8-B165-E3B94DB2CDE6}"/>
              </c:ext>
            </c:extLst>
          </c:dPt>
          <c:dPt>
            <c:idx val="5"/>
            <c:invertIfNegative val="0"/>
            <c:bubble3D val="0"/>
            <c:spPr>
              <a:solidFill>
                <a:srgbClr val="AEB1B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4DB-47B8-B165-E3B94DB2CDE6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4DB-47B8-B165-E3B94DB2CDE6}"/>
              </c:ext>
            </c:extLst>
          </c:dPt>
          <c:cat>
            <c:strRef>
              <c:f>'Avoided Costs Summary'!$DP$37:$DV$39</c:f>
              <c:strCache>
                <c:ptCount val="7"/>
                <c:pt idx="0">
                  <c:v> Commodity and Transport</c:v>
                </c:pt>
                <c:pt idx="1">
                  <c:v>Greenhouse Gas Compliance</c:v>
                </c:pt>
                <c:pt idx="2">
                  <c:v>Commodity Risk Reduction Cost</c:v>
                </c:pt>
                <c:pt idx="3">
                  <c:v>Supply Capacity</c:v>
                </c:pt>
                <c:pt idx="4">
                  <c:v>Distribution System Capacity</c:v>
                </c:pt>
                <c:pt idx="5">
                  <c:v>10% Conservation Credit</c:v>
                </c:pt>
                <c:pt idx="6">
                  <c:v>Total Change</c:v>
                </c:pt>
              </c:strCache>
            </c:strRef>
          </c:cat>
          <c:val>
            <c:numRef>
              <c:f>'Avoided Costs Summary'!$DP$47:$DV$47</c:f>
              <c:numCache>
                <c:formatCode>"$"#,##0.00</c:formatCode>
                <c:ptCount val="7"/>
                <c:pt idx="0">
                  <c:v>0.14166891460095821</c:v>
                </c:pt>
                <c:pt idx="1">
                  <c:v>0.14073013541486645</c:v>
                </c:pt>
                <c:pt idx="2">
                  <c:v>0.32548478693131289</c:v>
                </c:pt>
                <c:pt idx="3">
                  <c:v>0.26134770223889975</c:v>
                </c:pt>
                <c:pt idx="4">
                  <c:v>0.93339402455488507</c:v>
                </c:pt>
                <c:pt idx="5">
                  <c:v>0.10990810492971836</c:v>
                </c:pt>
                <c:pt idx="6">
                  <c:v>1.911692782438962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4DB-47B8-B165-E3B94DB2C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49300176"/>
        <c:axId val="-1549304528"/>
      </c:barChart>
      <c:catAx>
        <c:axId val="-154930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04528"/>
        <c:crosses val="autoZero"/>
        <c:auto val="1"/>
        <c:lblAlgn val="ctr"/>
        <c:lblOffset val="100"/>
        <c:noMultiLvlLbl val="0"/>
      </c:catAx>
      <c:valAx>
        <c:axId val="-154930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Levelized 2021$</a:t>
                </a:r>
              </a:p>
            </c:rich>
          </c:tx>
          <c:layout>
            <c:manualLayout>
              <c:xMode val="edge"/>
              <c:yMode val="edge"/>
              <c:x val="9.8079933494903179E-3"/>
              <c:y val="0.345912288420594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0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3961152453203E-2"/>
          <c:y val="0.1075072463768116"/>
          <c:w val="0.88917968491924781"/>
          <c:h val="0.678646125756019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'Avoided Costs Summary'!$DP$37</c:f>
              <c:strCache>
                <c:ptCount val="1"/>
                <c:pt idx="0">
                  <c:v> Commodity and Transport</c:v>
                </c:pt>
              </c:strCache>
            </c:strRef>
          </c:tx>
          <c:spPr>
            <a:solidFill>
              <a:srgbClr val="00BBE3"/>
            </a:solidFill>
            <a:ln>
              <a:solidFill>
                <a:srgbClr val="00BBE3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Summary'!$DO$40:$DO$53</c15:sqref>
                  </c15:fullRef>
                </c:ext>
              </c:extLst>
              <c:f>'Avoided Costs Summary'!$DO$40:$DO$46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Summary'!$DP$40:$DP$53</c15:sqref>
                  </c15:fullRef>
                </c:ext>
              </c:extLst>
              <c:f>'Avoided Costs Summary'!$DP$40:$DP$46</c:f>
              <c:numCache>
                <c:formatCode>"$"#,##0.00</c:formatCode>
                <c:ptCount val="7"/>
                <c:pt idx="0">
                  <c:v>-0.14979265941527142</c:v>
                </c:pt>
                <c:pt idx="1">
                  <c:v>-0.14979265941527142</c:v>
                </c:pt>
                <c:pt idx="2">
                  <c:v>-0.14979265941527142</c:v>
                </c:pt>
                <c:pt idx="3">
                  <c:v>-0.21451444598236868</c:v>
                </c:pt>
                <c:pt idx="4">
                  <c:v>-0.21468856637262679</c:v>
                </c:pt>
                <c:pt idx="5">
                  <c:v>-0.21468856637262679</c:v>
                </c:pt>
                <c:pt idx="6">
                  <c:v>-0.21468856637262679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6-42F1-AD52-C44FBC167463}"/>
            </c:ext>
          </c:extLst>
        </c:ser>
        <c:ser>
          <c:idx val="1"/>
          <c:order val="1"/>
          <c:tx>
            <c:strRef>
              <c:f>'Avoided Costs Summary'!$DQ$37</c:f>
              <c:strCache>
                <c:ptCount val="1"/>
                <c:pt idx="0">
                  <c:v>Greenhouse Gas Compliance</c:v>
                </c:pt>
              </c:strCache>
            </c:strRef>
          </c:tx>
          <c:spPr>
            <a:solidFill>
              <a:srgbClr val="7AC142"/>
            </a:solidFill>
            <a:ln>
              <a:solidFill>
                <a:srgbClr val="7AC142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Summary'!$DO$40:$DO$53</c15:sqref>
                  </c15:fullRef>
                </c:ext>
              </c:extLst>
              <c:f>'Avoided Costs Summary'!$DO$40:$DO$46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Summary'!$DQ$40:$DQ$53</c15:sqref>
                  </c15:fullRef>
                </c:ext>
              </c:extLst>
              <c:f>'Avoided Costs Summary'!$DQ$40:$DQ$46</c:f>
              <c:numCache>
                <c:formatCode>"$"#,##0.00</c:formatCode>
                <c:ptCount val="7"/>
                <c:pt idx="0">
                  <c:v>2.4775921462505455</c:v>
                </c:pt>
                <c:pt idx="1">
                  <c:v>2.4775921462505455</c:v>
                </c:pt>
                <c:pt idx="2">
                  <c:v>2.4775921462505455</c:v>
                </c:pt>
                <c:pt idx="3">
                  <c:v>2.4775921462505455</c:v>
                </c:pt>
                <c:pt idx="4">
                  <c:v>2.4775921462505455</c:v>
                </c:pt>
                <c:pt idx="5">
                  <c:v>2.4775921462505455</c:v>
                </c:pt>
                <c:pt idx="6">
                  <c:v>2.4775921462505455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6-42F1-AD52-C44FBC167463}"/>
            </c:ext>
          </c:extLst>
        </c:ser>
        <c:ser>
          <c:idx val="2"/>
          <c:order val="2"/>
          <c:tx>
            <c:strRef>
              <c:f>'Avoided Costs Summary'!$DR$37</c:f>
              <c:strCache>
                <c:ptCount val="1"/>
                <c:pt idx="0">
                  <c:v>Commodity Risk Reduction Cost</c:v>
                </c:pt>
              </c:strCache>
            </c:strRef>
          </c:tx>
          <c:spPr>
            <a:solidFill>
              <a:srgbClr val="0072AE"/>
            </a:solidFill>
            <a:ln>
              <a:solidFill>
                <a:srgbClr val="0072A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Summary'!$DO$40:$DO$53</c15:sqref>
                  </c15:fullRef>
                </c:ext>
              </c:extLst>
              <c:f>'Avoided Costs Summary'!$DO$40:$DO$46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Summary'!$DR$40:$DR$53</c15:sqref>
                  </c15:fullRef>
                </c:ext>
              </c:extLst>
              <c:f>'Avoided Costs Summary'!$DR$40:$DR$46</c:f>
              <c:numCache>
                <c:formatCode>"$"#,##0.00</c:formatCode>
                <c:ptCount val="7"/>
                <c:pt idx="0">
                  <c:v>0.32548478693131289</c:v>
                </c:pt>
                <c:pt idx="1">
                  <c:v>0.32548478693131289</c:v>
                </c:pt>
                <c:pt idx="2">
                  <c:v>0.32548478693131289</c:v>
                </c:pt>
                <c:pt idx="3">
                  <c:v>0.32548478693131289</c:v>
                </c:pt>
                <c:pt idx="4">
                  <c:v>0.32548478693131289</c:v>
                </c:pt>
                <c:pt idx="5">
                  <c:v>0.32548478693131289</c:v>
                </c:pt>
                <c:pt idx="6">
                  <c:v>0.32548478693131289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26-42F1-AD52-C44FBC167463}"/>
            </c:ext>
          </c:extLst>
        </c:ser>
        <c:ser>
          <c:idx val="3"/>
          <c:order val="3"/>
          <c:tx>
            <c:strRef>
              <c:f>'Avoided Costs Summary'!$DS$37</c:f>
              <c:strCache>
                <c:ptCount val="1"/>
                <c:pt idx="0">
                  <c:v>Supply Capacity</c:v>
                </c:pt>
              </c:strCache>
            </c:strRef>
          </c:tx>
          <c:spPr>
            <a:solidFill>
              <a:srgbClr val="F4802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Summary'!$DO$40:$DO$53</c15:sqref>
                  </c15:fullRef>
                </c:ext>
              </c:extLst>
              <c:f>'Avoided Costs Summary'!$DO$40:$DO$46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Summary'!$DS$40:$DS$53</c15:sqref>
                  </c15:fullRef>
                </c:ext>
              </c:extLst>
              <c:f>'Avoided Costs Summary'!$DS$40:$DS$46</c:f>
              <c:numCache>
                <c:formatCode>"$"#,##0.00</c:formatCode>
                <c:ptCount val="7"/>
                <c:pt idx="0">
                  <c:v>0.26134770223889975</c:v>
                </c:pt>
                <c:pt idx="1">
                  <c:v>0.26134770223889975</c:v>
                </c:pt>
                <c:pt idx="2">
                  <c:v>0.23313402983810966</c:v>
                </c:pt>
                <c:pt idx="3">
                  <c:v>3.5401850328420303E-2</c:v>
                </c:pt>
                <c:pt idx="4">
                  <c:v>3.8208721815646621E-2</c:v>
                </c:pt>
                <c:pt idx="5">
                  <c:v>2.9391324473574343E-2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26-42F1-AD52-C44FBC167463}"/>
            </c:ext>
          </c:extLst>
        </c:ser>
        <c:ser>
          <c:idx val="4"/>
          <c:order val="4"/>
          <c:tx>
            <c:strRef>
              <c:f>'Avoided Costs Summary'!$DT$37</c:f>
              <c:strCache>
                <c:ptCount val="1"/>
                <c:pt idx="0">
                  <c:v>Distribution System Capacity</c:v>
                </c:pt>
              </c:strCache>
            </c:strRef>
          </c:tx>
          <c:spPr>
            <a:solidFill>
              <a:srgbClr val="FDB813"/>
            </a:solidFill>
            <a:ln>
              <a:solidFill>
                <a:srgbClr val="FDB813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Summary'!$DO$40:$DO$53</c15:sqref>
                  </c15:fullRef>
                </c:ext>
              </c:extLst>
              <c:f>'Avoided Costs Summary'!$DO$40:$DO$46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Summary'!$DT$40:$DT$53</c15:sqref>
                  </c15:fullRef>
                </c:ext>
              </c:extLst>
              <c:f>'Avoided Costs Summary'!$DT$40:$DT$46</c:f>
              <c:numCache>
                <c:formatCode>"$"#,##0.00</c:formatCode>
                <c:ptCount val="7"/>
                <c:pt idx="0">
                  <c:v>0.56360677438970086</c:v>
                </c:pt>
                <c:pt idx="1">
                  <c:v>0.28364523939873587</c:v>
                </c:pt>
                <c:pt idx="2">
                  <c:v>0.67964346323463598</c:v>
                </c:pt>
                <c:pt idx="3">
                  <c:v>8.2613635263235619E-3</c:v>
                </c:pt>
                <c:pt idx="4">
                  <c:v>2.2655267961379622E-2</c:v>
                </c:pt>
                <c:pt idx="5">
                  <c:v>3.6306519168878837E-3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26-42F1-AD52-C44FBC167463}"/>
            </c:ext>
          </c:extLst>
        </c:ser>
        <c:ser>
          <c:idx val="5"/>
          <c:order val="5"/>
          <c:tx>
            <c:strRef>
              <c:f>'Avoided Costs Summary'!$DU$37</c:f>
              <c:strCache>
                <c:ptCount val="1"/>
                <c:pt idx="0">
                  <c:v>10% Conservation Credit</c:v>
                </c:pt>
              </c:strCache>
            </c:strRef>
          </c:tx>
          <c:spPr>
            <a:solidFill>
              <a:srgbClr val="AEB1B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Summary'!$DO$40:$DO$53</c15:sqref>
                  </c15:fullRef>
                </c:ext>
              </c:extLst>
              <c:f>'Avoided Costs Summary'!$DO$40:$DO$46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Summary'!$DU$40:$DU$53</c15:sqref>
                  </c15:fullRef>
                </c:ext>
              </c:extLst>
              <c:f>'Avoided Costs Summary'!$DU$40:$DU$46</c:f>
              <c:numCache>
                <c:formatCode>"$"#,##0.00</c:formatCode>
                <c:ptCount val="7"/>
                <c:pt idx="0">
                  <c:v>7.2929379913200587E-2</c:v>
                </c:pt>
                <c:pt idx="1">
                  <c:v>4.49332264141038E-2</c:v>
                </c:pt>
                <c:pt idx="2">
                  <c:v>8.1711681557614657E-2</c:v>
                </c:pt>
                <c:pt idx="3">
                  <c:v>-1.2399359293405576E-2</c:v>
                </c:pt>
                <c:pt idx="4">
                  <c:v>-1.0711934321483763E-2</c:v>
                </c:pt>
                <c:pt idx="5">
                  <c:v>-1.3496135660140685E-2</c:v>
                </c:pt>
                <c:pt idx="6">
                  <c:v>-1.6798333299186785E-2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26-42F1-AD52-C44FBC167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49299632"/>
        <c:axId val="-1549312144"/>
      </c:barChart>
      <c:catAx>
        <c:axId val="-154929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12144"/>
        <c:crosses val="autoZero"/>
        <c:auto val="1"/>
        <c:lblAlgn val="ctr"/>
        <c:lblOffset val="100"/>
        <c:noMultiLvlLbl val="0"/>
      </c:catAx>
      <c:valAx>
        <c:axId val="-1549312144"/>
        <c:scaling>
          <c:orientation val="minMax"/>
          <c:max val="5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Change in Levelized 2021$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299632"/>
        <c:crosses val="autoZero"/>
        <c:crossBetween val="between"/>
        <c:majorUnit val="0.5"/>
        <c:min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906412094266581E-2"/>
          <c:y val="0.92717288599794589"/>
          <c:w val="0.88772186787997143"/>
          <c:h val="6.70300125527787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3961152453203E-2"/>
          <c:y val="0.1075072463768116"/>
          <c:w val="0.88917968491924781"/>
          <c:h val="0.672849024306744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'Avoided Costs Summary'!$DP$37</c:f>
              <c:strCache>
                <c:ptCount val="1"/>
                <c:pt idx="0">
                  <c:v> Commodity and Transport</c:v>
                </c:pt>
              </c:strCache>
            </c:strRef>
          </c:tx>
          <c:spPr>
            <a:solidFill>
              <a:srgbClr val="00BBE3"/>
            </a:solidFill>
            <a:ln>
              <a:solidFill>
                <a:srgbClr val="00BBE3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Summary'!$DO$40:$DO$53</c15:sqref>
                  </c15:fullRef>
                </c:ext>
              </c:extLst>
              <c:f>'Avoided Costs Summary'!$DO$47:$DO$53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Summary'!$DP$40:$DP$53</c15:sqref>
                  </c15:fullRef>
                </c:ext>
              </c:extLst>
              <c:f>'Avoided Costs Summary'!$DP$47:$DP$53</c:f>
              <c:numCache>
                <c:formatCode>"$"#,##0.00</c:formatCode>
                <c:ptCount val="7"/>
                <c:pt idx="0">
                  <c:v>0.14166891460095821</c:v>
                </c:pt>
                <c:pt idx="1">
                  <c:v>0.14166891460095821</c:v>
                </c:pt>
                <c:pt idx="2">
                  <c:v>0.14166891460095821</c:v>
                </c:pt>
                <c:pt idx="3">
                  <c:v>-1.2606888148880113E-2</c:v>
                </c:pt>
                <c:pt idx="4">
                  <c:v>-1.4476768804789319E-2</c:v>
                </c:pt>
                <c:pt idx="5">
                  <c:v>-1.4476768804789319E-2</c:v>
                </c:pt>
                <c:pt idx="6">
                  <c:v>-1.4476768804789319E-2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4-47F8-A8BD-7DB976C2787A}"/>
            </c:ext>
          </c:extLst>
        </c:ser>
        <c:ser>
          <c:idx val="1"/>
          <c:order val="1"/>
          <c:tx>
            <c:strRef>
              <c:f>'Avoided Costs Summary'!$DQ$37</c:f>
              <c:strCache>
                <c:ptCount val="1"/>
                <c:pt idx="0">
                  <c:v>Greenhouse Gas Compliance</c:v>
                </c:pt>
              </c:strCache>
            </c:strRef>
          </c:tx>
          <c:spPr>
            <a:solidFill>
              <a:srgbClr val="7AC142"/>
            </a:solidFill>
            <a:ln>
              <a:solidFill>
                <a:srgbClr val="7AC142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Summary'!$DO$40:$DO$53</c15:sqref>
                  </c15:fullRef>
                </c:ext>
              </c:extLst>
              <c:f>'Avoided Costs Summary'!$DO$47:$DO$53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Summary'!$DQ$40:$DQ$53</c15:sqref>
                  </c15:fullRef>
                </c:ext>
              </c:extLst>
              <c:f>'Avoided Costs Summary'!$DQ$47:$DQ$53</c:f>
              <c:numCache>
                <c:formatCode>"$"#,##0.00</c:formatCode>
                <c:ptCount val="7"/>
                <c:pt idx="0">
                  <c:v>0.14073013541486645</c:v>
                </c:pt>
                <c:pt idx="1">
                  <c:v>0.14073013541486645</c:v>
                </c:pt>
                <c:pt idx="2">
                  <c:v>0.14073013541486645</c:v>
                </c:pt>
                <c:pt idx="3">
                  <c:v>0.14073013541486645</c:v>
                </c:pt>
                <c:pt idx="4">
                  <c:v>0.14073013541486645</c:v>
                </c:pt>
                <c:pt idx="5">
                  <c:v>0.14073013541486645</c:v>
                </c:pt>
                <c:pt idx="6">
                  <c:v>0.14073013541486645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B4-47F8-A8BD-7DB976C2787A}"/>
            </c:ext>
          </c:extLst>
        </c:ser>
        <c:ser>
          <c:idx val="2"/>
          <c:order val="2"/>
          <c:tx>
            <c:strRef>
              <c:f>'Avoided Costs Summary'!$DR$37</c:f>
              <c:strCache>
                <c:ptCount val="1"/>
                <c:pt idx="0">
                  <c:v>Commodity Risk Reduction Cost</c:v>
                </c:pt>
              </c:strCache>
            </c:strRef>
          </c:tx>
          <c:spPr>
            <a:solidFill>
              <a:srgbClr val="0072AE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Summary'!$DO$40:$DO$53</c15:sqref>
                  </c15:fullRef>
                </c:ext>
              </c:extLst>
              <c:f>'Avoided Costs Summary'!$DO$47:$DO$53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Summary'!$DR$40:$DR$53</c15:sqref>
                  </c15:fullRef>
                </c:ext>
              </c:extLst>
              <c:f>'Avoided Costs Summary'!$DR$47:$DR$53</c:f>
              <c:numCache>
                <c:formatCode>"$"#,##0.00</c:formatCode>
                <c:ptCount val="7"/>
                <c:pt idx="0">
                  <c:v>0.32548478693131289</c:v>
                </c:pt>
                <c:pt idx="1">
                  <c:v>0.32548478693131289</c:v>
                </c:pt>
                <c:pt idx="2">
                  <c:v>0.32548478693131289</c:v>
                </c:pt>
                <c:pt idx="3">
                  <c:v>0.32548478693131289</c:v>
                </c:pt>
                <c:pt idx="4">
                  <c:v>0.32548478693131289</c:v>
                </c:pt>
                <c:pt idx="5">
                  <c:v>0.32548478693131289</c:v>
                </c:pt>
                <c:pt idx="6">
                  <c:v>0.32548478693131289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B4-47F8-A8BD-7DB976C2787A}"/>
            </c:ext>
          </c:extLst>
        </c:ser>
        <c:ser>
          <c:idx val="3"/>
          <c:order val="3"/>
          <c:tx>
            <c:strRef>
              <c:f>'Avoided Costs Summary'!$DS$37</c:f>
              <c:strCache>
                <c:ptCount val="1"/>
                <c:pt idx="0">
                  <c:v>Supply Capacity</c:v>
                </c:pt>
              </c:strCache>
            </c:strRef>
          </c:tx>
          <c:spPr>
            <a:solidFill>
              <a:srgbClr val="F48024"/>
            </a:solidFill>
            <a:ln>
              <a:solidFill>
                <a:srgbClr val="F48024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Summary'!$DO$40:$DO$53</c15:sqref>
                  </c15:fullRef>
                </c:ext>
              </c:extLst>
              <c:f>'Avoided Costs Summary'!$DO$47:$DO$53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Summary'!$DS$40:$DS$53</c15:sqref>
                  </c15:fullRef>
                </c:ext>
              </c:extLst>
              <c:f>'Avoided Costs Summary'!$DS$47:$DS$53</c:f>
              <c:numCache>
                <c:formatCode>"$"#,##0.00</c:formatCode>
                <c:ptCount val="7"/>
                <c:pt idx="0">
                  <c:v>0.26134770223889975</c:v>
                </c:pt>
                <c:pt idx="1">
                  <c:v>0.26134770223889975</c:v>
                </c:pt>
                <c:pt idx="2">
                  <c:v>0.23313402983810966</c:v>
                </c:pt>
                <c:pt idx="3">
                  <c:v>3.5401850328420303E-2</c:v>
                </c:pt>
                <c:pt idx="4">
                  <c:v>3.8208721815646621E-2</c:v>
                </c:pt>
                <c:pt idx="5">
                  <c:v>2.9391324473574343E-2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B4-47F8-A8BD-7DB976C2787A}"/>
            </c:ext>
          </c:extLst>
        </c:ser>
        <c:ser>
          <c:idx val="4"/>
          <c:order val="4"/>
          <c:tx>
            <c:strRef>
              <c:f>'Avoided Costs Summary'!$DT$37</c:f>
              <c:strCache>
                <c:ptCount val="1"/>
                <c:pt idx="0">
                  <c:v>Distribution System Capacity</c:v>
                </c:pt>
              </c:strCache>
            </c:strRef>
          </c:tx>
          <c:spPr>
            <a:solidFill>
              <a:srgbClr val="FDB813"/>
            </a:solidFill>
            <a:ln>
              <a:solidFill>
                <a:srgbClr val="FDB813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Summary'!$DO$40:$DO$53</c15:sqref>
                  </c15:fullRef>
                </c:ext>
              </c:extLst>
              <c:f>'Avoided Costs Summary'!$DO$47:$DO$53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Summary'!$DT$40:$DT$53</c15:sqref>
                  </c15:fullRef>
                </c:ext>
              </c:extLst>
              <c:f>'Avoided Costs Summary'!$DT$47:$DT$53</c:f>
              <c:numCache>
                <c:formatCode>"$"#,##0.00</c:formatCode>
                <c:ptCount val="7"/>
                <c:pt idx="0">
                  <c:v>0.93339402455488507</c:v>
                </c:pt>
                <c:pt idx="1">
                  <c:v>0.46974731954722859</c:v>
                </c:pt>
                <c:pt idx="2">
                  <c:v>1.1255633825514781</c:v>
                </c:pt>
                <c:pt idx="3">
                  <c:v>1.368171516124228E-2</c:v>
                </c:pt>
                <c:pt idx="4">
                  <c:v>3.7519584044638954E-2</c:v>
                </c:pt>
                <c:pt idx="5">
                  <c:v>6.012753853307462E-3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B4-47F8-A8BD-7DB976C2787A}"/>
            </c:ext>
          </c:extLst>
        </c:ser>
        <c:ser>
          <c:idx val="5"/>
          <c:order val="5"/>
          <c:tx>
            <c:strRef>
              <c:f>'Avoided Costs Summary'!$DU$37</c:f>
              <c:strCache>
                <c:ptCount val="1"/>
                <c:pt idx="0">
                  <c:v>10% Conservation Credit</c:v>
                </c:pt>
              </c:strCache>
            </c:strRef>
          </c:tx>
          <c:spPr>
            <a:solidFill>
              <a:srgbClr val="AEB1B4"/>
            </a:solidFill>
            <a:ln>
              <a:solidFill>
                <a:srgbClr val="AEB1B4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'Avoided Costs Summary'!$DO$40:$DO$53</c15:sqref>
                  </c15:fullRef>
                </c:ext>
              </c:extLst>
              <c:f>'Avoided Costs Summary'!$DO$47:$DO$53</c:f>
              <c:strCache>
                <c:ptCount val="7"/>
                <c:pt idx="0">
                  <c:v>Residential Space Heating </c:v>
                </c:pt>
                <c:pt idx="1">
                  <c:v>Residential Hearths and Fireplaces</c:v>
                </c:pt>
                <c:pt idx="2">
                  <c:v>Commercial Space Heating</c:v>
                </c:pt>
                <c:pt idx="3">
                  <c:v>Water Heating</c:v>
                </c:pt>
                <c:pt idx="4">
                  <c:v>Cooking</c:v>
                </c:pt>
                <c:pt idx="5">
                  <c:v>Process Load</c:v>
                </c:pt>
                <c:pt idx="6">
                  <c:v>Interruptible Loads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'Avoided Costs Summary'!$DU$40:$DU$53</c15:sqref>
                  </c15:fullRef>
                </c:ext>
              </c:extLst>
              <c:f>'Avoided Costs Summary'!$DU$47:$DU$53</c:f>
              <c:numCache>
                <c:formatCode>"$"#,##0.00</c:formatCode>
                <c:ptCount val="7"/>
                <c:pt idx="0">
                  <c:v>0.10990810492971836</c:v>
                </c:pt>
                <c:pt idx="1">
                  <c:v>6.3543434428953605E-2</c:v>
                </c:pt>
                <c:pt idx="2">
                  <c:v>0.12630367348929927</c:v>
                </c:pt>
                <c:pt idx="3">
                  <c:v>-1.1857324129913915E-2</c:v>
                </c:pt>
                <c:pt idx="4">
                  <c:v>-9.2255027131583622E-3</c:v>
                </c:pt>
                <c:pt idx="5">
                  <c:v>-1.3257925466498621E-2</c:v>
                </c:pt>
                <c:pt idx="6">
                  <c:v>-1.6798333299186785E-2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B4-47F8-A8BD-7DB976C27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49302352"/>
        <c:axId val="-1549308336"/>
      </c:barChart>
      <c:catAx>
        <c:axId val="-154930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08336"/>
        <c:crosses val="autoZero"/>
        <c:auto val="1"/>
        <c:lblAlgn val="ctr"/>
        <c:lblOffset val="100"/>
        <c:noMultiLvlLbl val="0"/>
      </c:catAx>
      <c:valAx>
        <c:axId val="-1549308336"/>
        <c:scaling>
          <c:orientation val="minMax"/>
          <c:max val="3.5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Change in</a:t>
                </a:r>
                <a:r>
                  <a:rPr lang="en-US" b="1" baseline="0"/>
                  <a:t> </a:t>
                </a:r>
                <a:r>
                  <a:rPr lang="en-US" b="1"/>
                  <a:t>Levelized 2021$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930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01997430893988E-2"/>
          <c:y val="0.92427433527330838"/>
          <c:w val="0.88063367079115129"/>
          <c:h val="6.70300125527787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70484</xdr:colOff>
      <xdr:row>51</xdr:row>
      <xdr:rowOff>106680</xdr:rowOff>
    </xdr:from>
    <xdr:to>
      <xdr:col>9</xdr:col>
      <xdr:colOff>104774</xdr:colOff>
      <xdr:row>85</xdr:row>
      <xdr:rowOff>10958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154303</xdr:colOff>
      <xdr:row>51</xdr:row>
      <xdr:rowOff>110490</xdr:rowOff>
    </xdr:from>
    <xdr:to>
      <xdr:col>20</xdr:col>
      <xdr:colOff>483870</xdr:colOff>
      <xdr:row>85</xdr:row>
      <xdr:rowOff>15240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74</xdr:col>
      <xdr:colOff>571500</xdr:colOff>
      <xdr:row>34</xdr:row>
      <xdr:rowOff>121920</xdr:rowOff>
    </xdr:from>
    <xdr:to>
      <xdr:col>82</xdr:col>
      <xdr:colOff>22860</xdr:colOff>
      <xdr:row>53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82</xdr:col>
      <xdr:colOff>49953</xdr:colOff>
      <xdr:row>34</xdr:row>
      <xdr:rowOff>128411</xdr:rowOff>
    </xdr:from>
    <xdr:to>
      <xdr:col>88</xdr:col>
      <xdr:colOff>918633</xdr:colOff>
      <xdr:row>53</xdr:row>
      <xdr:rowOff>97931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91</xdr:col>
      <xdr:colOff>1524000</xdr:colOff>
      <xdr:row>53</xdr:row>
      <xdr:rowOff>83820</xdr:rowOff>
    </xdr:from>
    <xdr:to>
      <xdr:col>98</xdr:col>
      <xdr:colOff>289560</xdr:colOff>
      <xdr:row>78</xdr:row>
      <xdr:rowOff>30480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98</xdr:col>
      <xdr:colOff>579120</xdr:colOff>
      <xdr:row>53</xdr:row>
      <xdr:rowOff>76200</xdr:rowOff>
    </xdr:from>
    <xdr:to>
      <xdr:col>105</xdr:col>
      <xdr:colOff>213360</xdr:colOff>
      <xdr:row>78</xdr:row>
      <xdr:rowOff>22860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112</xdr:col>
      <xdr:colOff>518160</xdr:colOff>
      <xdr:row>55</xdr:row>
      <xdr:rowOff>53340</xdr:rowOff>
    </xdr:from>
    <xdr:to>
      <xdr:col>120</xdr:col>
      <xdr:colOff>213360</xdr:colOff>
      <xdr:row>77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120</xdr:col>
      <xdr:colOff>284409</xdr:colOff>
      <xdr:row>55</xdr:row>
      <xdr:rowOff>51999</xdr:rowOff>
    </xdr:from>
    <xdr:to>
      <xdr:col>129</xdr:col>
      <xdr:colOff>629214</xdr:colOff>
      <xdr:row>80</xdr:row>
      <xdr:rowOff>51999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91551227" y="10494863"/>
          <a:ext cx="6735214" cy="4329545"/>
          <a:chOff x="100916117" y="9239673"/>
          <a:chExt cx="6659880" cy="4381500"/>
        </a:xfrm>
      </xdr:grpSpPr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aphicFramePr/>
        </xdr:nvGraphicFramePr>
        <xdr:xfrm>
          <a:off x="100916117" y="9239673"/>
          <a:ext cx="6659880" cy="4381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101530155" y="12195811"/>
            <a:ext cx="5913120" cy="0"/>
          </a:xfrm>
          <a:prstGeom prst="line">
            <a:avLst/>
          </a:prstGeom>
          <a:ln w="444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129</xdr:col>
      <xdr:colOff>662940</xdr:colOff>
      <xdr:row>55</xdr:row>
      <xdr:rowOff>57150</xdr:rowOff>
    </xdr:from>
    <xdr:to>
      <xdr:col>140</xdr:col>
      <xdr:colOff>49530</xdr:colOff>
      <xdr:row>80</xdr:row>
      <xdr:rowOff>57150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98320167" y="10500014"/>
          <a:ext cx="6954636" cy="4329545"/>
          <a:chOff x="101026460" y="8923020"/>
          <a:chExt cx="6659880" cy="4381500"/>
        </a:xfrm>
      </xdr:grpSpPr>
      <xdr:graphicFrame macro="">
        <xdr:nvGraphicFramePr>
          <xdr:cNvPr id="14" name="Chart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GraphicFramePr/>
        </xdr:nvGraphicFramePr>
        <xdr:xfrm>
          <a:off x="101026460" y="8923020"/>
          <a:ext cx="6659880" cy="4381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CxnSpPr/>
        </xdr:nvCxnSpPr>
        <xdr:spPr>
          <a:xfrm>
            <a:off x="101589017" y="11687704"/>
            <a:ext cx="5913119" cy="0"/>
          </a:xfrm>
          <a:prstGeom prst="line">
            <a:avLst/>
          </a:prstGeom>
          <a:ln w="444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140</xdr:col>
      <xdr:colOff>91440</xdr:colOff>
      <xdr:row>55</xdr:row>
      <xdr:rowOff>36195</xdr:rowOff>
    </xdr:from>
    <xdr:to>
      <xdr:col>149</xdr:col>
      <xdr:colOff>495300</xdr:colOff>
      <xdr:row>80</xdr:row>
      <xdr:rowOff>9525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150</xdr:col>
      <xdr:colOff>571500</xdr:colOff>
      <xdr:row>55</xdr:row>
      <xdr:rowOff>28575</xdr:rowOff>
    </xdr:from>
    <xdr:to>
      <xdr:col>160</xdr:col>
      <xdr:colOff>361950</xdr:colOff>
      <xdr:row>80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0.0178</cdr:x>
      <cdr:y>0.94814</cdr:y>
    </cdr:from>
    <cdr:to>
      <cdr:x>0.97249</cdr:x>
      <cdr:y>0.99508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F4532EA-A60F-480C-9D78-5EEBAE1E9D19}"/>
            </a:ext>
          </a:extLst>
        </cdr:cNvPr>
        <cdr:cNvSpPr txBox="1"/>
      </cdr:nvSpPr>
      <cdr:spPr>
        <a:xfrm xmlns:a="http://schemas.openxmlformats.org/drawingml/2006/main">
          <a:off x="104775" y="4040505"/>
          <a:ext cx="5619749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1"/>
            <a:t>*2022 IRP and 2018 IRP Update are</a:t>
          </a:r>
          <a:r>
            <a:rPr lang="en-US" sz="900" b="1" baseline="0"/>
            <a:t> 30-year levelized figures where earlier figures are 20-year levelized figures</a:t>
          </a:r>
          <a:endParaRPr lang="en-US" sz="9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0.0394</cdr:x>
      <cdr:y>0.94216</cdr:y>
    </cdr:from>
    <cdr:to>
      <cdr:x>0.99471</cdr:x>
      <cdr:y>0.98912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5AAF557-C763-43D2-AF7B-4C630470DCCE}"/>
            </a:ext>
          </a:extLst>
        </cdr:cNvPr>
        <cdr:cNvSpPr txBox="1"/>
      </cdr:nvSpPr>
      <cdr:spPr>
        <a:xfrm xmlns:a="http://schemas.openxmlformats.org/drawingml/2006/main">
          <a:off x="231775" y="4013200"/>
          <a:ext cx="5619749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/>
            <a:t>*2022 IRP and 2018 IRP Update are</a:t>
          </a:r>
          <a:r>
            <a:rPr lang="en-US" sz="900" b="1" baseline="0"/>
            <a:t> 30-year levelized figures where earlier figures are 20-year levelized figures</a:t>
          </a:r>
          <a:endParaRPr lang="en-US" sz="9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203199</xdr:colOff>
      <xdr:row>3</xdr:row>
      <xdr:rowOff>38100</xdr:rowOff>
    </xdr:from>
    <xdr:to>
      <xdr:col>28</xdr:col>
      <xdr:colOff>142874</xdr:colOff>
      <xdr:row>25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DA17CE-3486-4D04-9717-F6E5EE348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234949</xdr:colOff>
      <xdr:row>27</xdr:row>
      <xdr:rowOff>50799</xdr:rowOff>
    </xdr:from>
    <xdr:to>
      <xdr:col>28</xdr:col>
      <xdr:colOff>180974</xdr:colOff>
      <xdr:row>50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77542B-0751-42F2-89A8-042D77DA57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439420</xdr:colOff>
      <xdr:row>6</xdr:row>
      <xdr:rowOff>157480</xdr:rowOff>
    </xdr:from>
    <xdr:to>
      <xdr:col>27</xdr:col>
      <xdr:colOff>248920</xdr:colOff>
      <xdr:row>31</xdr:row>
      <xdr:rowOff>423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C6105BFD-EB07-44F9-84BF-9540FA7D1B80}"/>
            </a:ext>
          </a:extLst>
        </xdr:cNvPr>
        <xdr:cNvGrpSpPr/>
      </xdr:nvGrpSpPr>
      <xdr:grpSpPr>
        <a:xfrm>
          <a:off x="9848003" y="1459230"/>
          <a:ext cx="5461000" cy="4605443"/>
          <a:chOff x="9829800" y="1409700"/>
          <a:chExt cx="5745480" cy="507492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911466B0-FA9D-46AF-9514-9F3A0F884967}"/>
              </a:ext>
            </a:extLst>
          </xdr:cNvPr>
          <xdr:cNvGraphicFramePr/>
        </xdr:nvGraphicFramePr>
        <xdr:xfrm>
          <a:off x="9829800" y="1409700"/>
          <a:ext cx="5745480" cy="23317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6668DC63-A2DC-48D4-95B1-29E4AE8B0684}"/>
              </a:ext>
            </a:extLst>
          </xdr:cNvPr>
          <xdr:cNvGraphicFramePr/>
        </xdr:nvGraphicFramePr>
        <xdr:xfrm>
          <a:off x="9829800" y="3741420"/>
          <a:ext cx="573786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91440</xdr:colOff>
      <xdr:row>1</xdr:row>
      <xdr:rowOff>53340</xdr:rowOff>
    </xdr:from>
    <xdr:to>
      <xdr:col>26</xdr:col>
      <xdr:colOff>403860</xdr:colOff>
      <xdr:row>20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D50045-6B23-494E-9D92-108E7A7AA4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83820</xdr:colOff>
      <xdr:row>20</xdr:row>
      <xdr:rowOff>76200</xdr:rowOff>
    </xdr:from>
    <xdr:to>
      <xdr:col>26</xdr:col>
      <xdr:colOff>213360</xdr:colOff>
      <xdr:row>45</xdr:row>
      <xdr:rowOff>15240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75F0CA1-EAC9-46F7-B366-23B765D2FF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yan\Ryan\2018-Avoided%20Cos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jb\Desktop\2018-Avoided%20Cos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nwnatural.com/sites/strategicplan/IRP2/IRPDocs/2022%20Oregon%20and%20Washington%20IRP/Appendices-%20working%20docs/Supporting%20Docs-%20ExcelFilesandMore/2022%20IRP%20Avoided%20Costs%20-%20Initial%20Energy%20Trust%20Submiss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yan\Ryan\2020%20IRP%20Carbon%20Pric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oided Costs"/>
      <sheetName val="Supply Side Avoided Costs"/>
      <sheetName val="Commodity Cost by End Use"/>
      <sheetName val="Summary Tables"/>
      <sheetName val="Graph Construction"/>
      <sheetName val="Customer Counts"/>
      <sheetName val="Load by Customer Segment"/>
      <sheetName val="Monthly Gas and Transport Costs"/>
      <sheetName val="Explanation"/>
    </sheetNames>
    <sheetDataSet>
      <sheetData sheetId="0" refreshError="1">
        <row r="6">
          <cell r="DG6">
            <v>8.9162410037954842</v>
          </cell>
        </row>
        <row r="7">
          <cell r="DG7">
            <v>7.6761520437954838</v>
          </cell>
        </row>
        <row r="8">
          <cell r="DG8">
            <v>9.2818029422035</v>
          </cell>
        </row>
        <row r="9">
          <cell r="DG9">
            <v>5.7650371144008634</v>
          </cell>
        </row>
        <row r="10">
          <cell r="DG10">
            <v>6.8702146790314851</v>
          </cell>
        </row>
        <row r="11">
          <cell r="DG11">
            <v>5.3419529249181528</v>
          </cell>
        </row>
        <row r="12">
          <cell r="DG12">
            <v>4.8689569239259098</v>
          </cell>
        </row>
        <row r="13">
          <cell r="DG13">
            <v>10.994802248029</v>
          </cell>
        </row>
        <row r="14">
          <cell r="DG14">
            <v>8.7623856750568123</v>
          </cell>
        </row>
        <row r="15">
          <cell r="DG15">
            <v>11.776259313170627</v>
          </cell>
        </row>
        <row r="16">
          <cell r="DG16">
            <v>6.5626543348621187</v>
          </cell>
        </row>
        <row r="17">
          <cell r="DG17">
            <v>8.3801873700972127</v>
          </cell>
        </row>
        <row r="18">
          <cell r="DG18">
            <v>5.6823685869880283</v>
          </cell>
        </row>
        <row r="19">
          <cell r="DG19">
            <v>4.994386936054565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oided Costs"/>
      <sheetName val="Commodity Cost by End Use"/>
      <sheetName val="Monthly Gas and Transport Costs"/>
      <sheetName val="Supply Side Avoided Costs"/>
      <sheetName val="Summary Tables"/>
      <sheetName val="Graph Construction"/>
      <sheetName val="Customer Counts"/>
      <sheetName val="Load by Customer Segment"/>
      <sheetName val="Explanation"/>
    </sheetNames>
    <sheetDataSet>
      <sheetData sheetId="0" refreshError="1">
        <row r="6">
          <cell r="DV6">
            <v>6.1640336901333477</v>
          </cell>
          <cell r="DW6">
            <v>4.6779990611033089</v>
          </cell>
        </row>
        <row r="7">
          <cell r="DV7">
            <v>6.1640336901333477</v>
          </cell>
        </row>
        <row r="8">
          <cell r="DV8">
            <v>5.9759931082361861</v>
          </cell>
        </row>
        <row r="9">
          <cell r="DV9">
            <v>4.6277702582268843</v>
          </cell>
        </row>
        <row r="10">
          <cell r="DV10">
            <v>4.6277702582268843</v>
          </cell>
        </row>
        <row r="11">
          <cell r="DV11">
            <v>4.6277702582268843</v>
          </cell>
        </row>
        <row r="12">
          <cell r="DV12">
            <v>4.3914493057357911</v>
          </cell>
        </row>
        <row r="14">
          <cell r="DV14">
            <v>7.1648415738431162</v>
          </cell>
        </row>
        <row r="15">
          <cell r="DV15">
            <v>7.1648415738431162</v>
          </cell>
        </row>
        <row r="16">
          <cell r="DV16">
            <v>6.9139976186624237</v>
          </cell>
        </row>
        <row r="17">
          <cell r="DV17">
            <v>5.115483974696593</v>
          </cell>
        </row>
        <row r="18">
          <cell r="DV18">
            <v>5.115483974696593</v>
          </cell>
        </row>
        <row r="19">
          <cell r="DV19">
            <v>5.115483974696593</v>
          </cell>
        </row>
        <row r="20">
          <cell r="DV20">
            <v>4.8002345651443834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oided Costs Summary"/>
      <sheetName val="Residential Breakdowns"/>
      <sheetName val="Commodity Costs Avoided Detail"/>
      <sheetName val="Greenhouse Gas Costs Avoided De"/>
      <sheetName val="Tables "/>
    </sheetNames>
    <sheetDataSet>
      <sheetData sheetId="0">
        <row r="5">
          <cell r="A5">
            <v>2022</v>
          </cell>
        </row>
        <row r="6">
          <cell r="A6">
            <v>2023</v>
          </cell>
        </row>
        <row r="7">
          <cell r="A7">
            <v>2024</v>
          </cell>
        </row>
        <row r="8">
          <cell r="A8">
            <v>2025</v>
          </cell>
        </row>
        <row r="9">
          <cell r="A9">
            <v>2026</v>
          </cell>
        </row>
        <row r="10">
          <cell r="A10">
            <v>2027</v>
          </cell>
        </row>
        <row r="11">
          <cell r="A11">
            <v>2028</v>
          </cell>
        </row>
        <row r="12">
          <cell r="A12">
            <v>2029</v>
          </cell>
        </row>
        <row r="13">
          <cell r="A13">
            <v>2030</v>
          </cell>
        </row>
        <row r="14">
          <cell r="A14">
            <v>2031</v>
          </cell>
        </row>
        <row r="15">
          <cell r="A15">
            <v>2032</v>
          </cell>
        </row>
        <row r="16">
          <cell r="A16">
            <v>2033</v>
          </cell>
        </row>
        <row r="17">
          <cell r="A17">
            <v>2034</v>
          </cell>
        </row>
        <row r="18">
          <cell r="A18">
            <v>2035</v>
          </cell>
        </row>
        <row r="19">
          <cell r="A19">
            <v>2036</v>
          </cell>
        </row>
        <row r="20">
          <cell r="A20">
            <v>2037</v>
          </cell>
        </row>
        <row r="21">
          <cell r="A21">
            <v>2038</v>
          </cell>
        </row>
        <row r="22">
          <cell r="A22">
            <v>2039</v>
          </cell>
        </row>
        <row r="23">
          <cell r="A23">
            <v>2040</v>
          </cell>
        </row>
        <row r="24">
          <cell r="A24">
            <v>2041</v>
          </cell>
        </row>
        <row r="25">
          <cell r="A25">
            <v>2042</v>
          </cell>
        </row>
        <row r="26">
          <cell r="A26">
            <v>2043</v>
          </cell>
        </row>
        <row r="27">
          <cell r="A27">
            <v>2044</v>
          </cell>
        </row>
        <row r="28">
          <cell r="A28">
            <v>2045</v>
          </cell>
        </row>
        <row r="29">
          <cell r="A29">
            <v>2046</v>
          </cell>
        </row>
        <row r="30">
          <cell r="A30">
            <v>2047</v>
          </cell>
        </row>
        <row r="31">
          <cell r="A31">
            <v>2048</v>
          </cell>
        </row>
        <row r="32">
          <cell r="A32">
            <v>2049</v>
          </cell>
        </row>
        <row r="33">
          <cell r="A33">
            <v>2050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Data"/>
      <sheetName val="2020 IRP Sensitivities"/>
      <sheetName val="In $Dth Form"/>
    </sheetNames>
    <sheetDataSet>
      <sheetData sheetId="0">
        <row r="4">
          <cell r="B4">
            <v>78.210837775286876</v>
          </cell>
        </row>
      </sheetData>
      <sheetData sheetId="1"/>
      <sheetData sheetId="2">
        <row r="11">
          <cell r="AO11">
            <v>4.3313105860386027E-3</v>
          </cell>
        </row>
        <row r="12">
          <cell r="AO12">
            <v>3.1274255196872733E-3</v>
          </cell>
        </row>
        <row r="13">
          <cell r="AO13">
            <v>2.1039099423049751E-3</v>
          </cell>
        </row>
        <row r="14">
          <cell r="AO14">
            <v>7.0261707093623171E-4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B141"/>
  <sheetViews>
    <sheetView showGridLines="0" zoomScale="110" zoomScaleNormal="110" workbookViewId="0">
      <selection activeCell="I6" sqref="I6"/>
    </sheetView>
  </sheetViews>
  <sheetFormatPr defaultColWidth="8.85546875" defaultRowHeight="13.7" customHeight="1" x14ac:dyDescent="0.25"/>
  <cols>
    <col min="1" max="1" width="9.85546875" style="1" customWidth="1"/>
    <col min="2" max="2" width="12" style="1" customWidth="1"/>
    <col min="3" max="4" width="13.140625" style="1" customWidth="1"/>
    <col min="5" max="5" width="13.42578125" style="1" customWidth="1"/>
    <col min="6" max="6" width="10.85546875" style="1" customWidth="1"/>
    <col min="7" max="7" width="11.42578125" style="1" customWidth="1"/>
    <col min="8" max="8" width="13.85546875" style="1" customWidth="1"/>
    <col min="9" max="9" width="13.140625" style="1" customWidth="1"/>
    <col min="10" max="11" width="9.85546875" style="25" customWidth="1"/>
    <col min="12" max="13" width="8.85546875" style="1"/>
    <col min="14" max="15" width="11" style="1" customWidth="1"/>
    <col min="16" max="16" width="11.85546875" style="1" customWidth="1"/>
    <col min="17" max="27" width="11" style="1" customWidth="1"/>
    <col min="28" max="28" width="6.5703125" style="1" customWidth="1"/>
    <col min="29" max="29" width="8.85546875" style="1"/>
    <col min="30" max="36" width="11.5703125" style="1" customWidth="1"/>
    <col min="37" max="38" width="10.42578125" style="1" customWidth="1"/>
    <col min="39" max="39" width="11.140625" style="1" customWidth="1"/>
    <col min="40" max="43" width="10.42578125" style="1" customWidth="1"/>
    <col min="44" max="44" width="4.140625" style="1" customWidth="1"/>
    <col min="45" max="45" width="8.85546875" style="1"/>
    <col min="46" max="51" width="11.5703125" style="1" customWidth="1"/>
    <col min="52" max="57" width="10.42578125" style="1" customWidth="1"/>
    <col min="58" max="58" width="3.140625" style="1" customWidth="1"/>
    <col min="59" max="59" width="9.42578125" style="1" customWidth="1"/>
    <col min="60" max="60" width="12.5703125" style="1" customWidth="1"/>
    <col min="61" max="73" width="13.140625" style="1" customWidth="1"/>
    <col min="74" max="74" width="5.85546875" style="1" customWidth="1"/>
    <col min="75" max="75" width="9.42578125" style="1" customWidth="1"/>
    <col min="76" max="76" width="12.5703125" style="1" customWidth="1"/>
    <col min="77" max="90" width="13.140625" style="1" customWidth="1"/>
    <col min="91" max="91" width="5.140625" style="1" customWidth="1"/>
    <col min="92" max="92" width="31.140625" style="1" customWidth="1"/>
    <col min="93" max="93" width="12.140625" style="1" customWidth="1"/>
    <col min="94" max="94" width="11.140625" style="1" customWidth="1"/>
    <col min="95" max="95" width="9.85546875" style="1" customWidth="1"/>
    <col min="96" max="96" width="9.5703125" style="1" customWidth="1"/>
    <col min="97" max="97" width="11.140625" style="1" customWidth="1"/>
    <col min="98" max="98" width="12.5703125" style="1" customWidth="1"/>
    <col min="99" max="99" width="8.85546875" style="1"/>
    <col min="100" max="100" width="9.85546875" style="1" customWidth="1"/>
    <col min="101" max="101" width="4.85546875" style="1" customWidth="1"/>
    <col min="102" max="102" width="29.5703125" style="1" customWidth="1"/>
    <col min="103" max="103" width="10.42578125" style="1" customWidth="1"/>
    <col min="104" max="104" width="11.85546875" style="1" customWidth="1"/>
    <col min="105" max="105" width="10.140625" style="1" customWidth="1"/>
    <col min="106" max="106" width="7.42578125" style="1" customWidth="1"/>
    <col min="107" max="107" width="10.42578125" style="1" customWidth="1"/>
    <col min="108" max="108" width="11.5703125" style="1" customWidth="1"/>
    <col min="109" max="109" width="8" style="1" customWidth="1"/>
    <col min="110" max="117" width="8.85546875" style="1"/>
    <col min="118" max="118" width="3.85546875" style="1" customWidth="1"/>
    <col min="119" max="119" width="29.42578125" style="1" customWidth="1"/>
    <col min="120" max="120" width="13.5703125" style="1" customWidth="1"/>
    <col min="121" max="121" width="13.85546875" style="1" customWidth="1"/>
    <col min="122" max="122" width="10.42578125" style="1" customWidth="1"/>
    <col min="123" max="123" width="8.85546875" style="1"/>
    <col min="124" max="124" width="10.5703125" style="1" customWidth="1"/>
    <col min="125" max="125" width="11.5703125" style="1" customWidth="1"/>
    <col min="126" max="127" width="8.85546875" style="1"/>
    <col min="128" max="128" width="11.42578125" style="1" customWidth="1"/>
    <col min="129" max="129" width="11.5703125" style="1" customWidth="1"/>
    <col min="130" max="130" width="10.5703125" style="1" customWidth="1"/>
    <col min="131" max="131" width="8.85546875" style="1"/>
    <col min="132" max="132" width="11.42578125" style="1" customWidth="1"/>
    <col min="133" max="133" width="11.5703125" style="1" customWidth="1"/>
    <col min="134" max="135" width="8.85546875" style="1"/>
    <col min="136" max="136" width="3.140625" style="1" customWidth="1"/>
    <col min="137" max="137" width="23.85546875" style="1" customWidth="1"/>
    <col min="138" max="16384" width="8.85546875" style="1"/>
  </cols>
  <sheetData>
    <row r="1" spans="1:109" ht="13.7" customHeight="1" thickBot="1" x14ac:dyDescent="0.3">
      <c r="A1" s="259" t="s">
        <v>0</v>
      </c>
      <c r="B1" s="261" t="s">
        <v>109</v>
      </c>
      <c r="C1" s="262"/>
      <c r="D1" s="262"/>
      <c r="E1" s="262"/>
      <c r="F1" s="262"/>
      <c r="G1" s="262"/>
      <c r="H1" s="262"/>
      <c r="I1" s="262"/>
      <c r="J1" s="256" t="s">
        <v>112</v>
      </c>
      <c r="K1" s="241" t="s">
        <v>81</v>
      </c>
      <c r="L1" s="1" t="s">
        <v>120</v>
      </c>
      <c r="CM1" s="188" t="s">
        <v>102</v>
      </c>
      <c r="CN1" s="189"/>
      <c r="CO1" s="189"/>
      <c r="CP1" s="189"/>
      <c r="CQ1" s="189"/>
      <c r="CR1" s="190"/>
      <c r="CS1" s="190"/>
      <c r="CT1" s="189"/>
      <c r="CU1" s="191"/>
      <c r="CV1" s="3"/>
      <c r="CW1" s="209" t="str">
        <f>CM1</f>
        <v>30 Year Levelized Avoided Costs</v>
      </c>
      <c r="CX1" s="190"/>
      <c r="CY1" s="190"/>
      <c r="CZ1" s="190"/>
      <c r="DA1" s="190"/>
      <c r="DB1" s="190"/>
      <c r="DC1" s="190"/>
      <c r="DD1" s="190"/>
      <c r="DE1" s="210"/>
    </row>
    <row r="2" spans="1:109" ht="18.600000000000001" customHeight="1" thickBot="1" x14ac:dyDescent="0.3">
      <c r="A2" s="260"/>
      <c r="B2" s="265" t="s">
        <v>1</v>
      </c>
      <c r="C2" s="266"/>
      <c r="D2" s="266"/>
      <c r="E2" s="267"/>
      <c r="F2" s="268" t="s">
        <v>2</v>
      </c>
      <c r="G2" s="269"/>
      <c r="H2" s="242" t="s">
        <v>3</v>
      </c>
      <c r="I2" s="243"/>
      <c r="J2" s="257"/>
      <c r="K2" s="241"/>
      <c r="L2" s="1">
        <v>0.96220000000000006</v>
      </c>
      <c r="N2" s="234" t="s">
        <v>121</v>
      </c>
      <c r="O2" s="235"/>
      <c r="P2" s="235"/>
      <c r="Q2" s="235"/>
      <c r="R2" s="235"/>
      <c r="S2" s="235"/>
      <c r="T2" s="236"/>
      <c r="U2" s="234" t="s">
        <v>122</v>
      </c>
      <c r="V2" s="235"/>
      <c r="W2" s="235"/>
      <c r="X2" s="235"/>
      <c r="Y2" s="235"/>
      <c r="Z2" s="235"/>
      <c r="AA2" s="236"/>
      <c r="AB2" s="2"/>
      <c r="AD2" s="234" t="s">
        <v>123</v>
      </c>
      <c r="AE2" s="235"/>
      <c r="AF2" s="235"/>
      <c r="AG2" s="235"/>
      <c r="AH2" s="235"/>
      <c r="AI2" s="235"/>
      <c r="AJ2" s="236"/>
      <c r="AK2" s="193" t="s">
        <v>124</v>
      </c>
      <c r="AL2" s="193"/>
      <c r="AM2" s="193"/>
      <c r="AN2" s="193"/>
      <c r="AO2" s="193"/>
      <c r="AP2" s="193"/>
      <c r="AQ2" s="193"/>
      <c r="AT2" s="193" t="s">
        <v>125</v>
      </c>
      <c r="AU2" s="193"/>
      <c r="AV2" s="193"/>
      <c r="AW2" s="193"/>
      <c r="AX2" s="193"/>
      <c r="AY2" s="193"/>
      <c r="AZ2" s="193" t="s">
        <v>126</v>
      </c>
      <c r="BA2" s="193"/>
      <c r="BB2" s="193"/>
      <c r="BC2" s="193"/>
      <c r="BD2" s="193"/>
      <c r="BE2" s="193"/>
      <c r="BF2" s="2"/>
      <c r="BH2" s="234" t="s">
        <v>127</v>
      </c>
      <c r="BI2" s="235"/>
      <c r="BJ2" s="235"/>
      <c r="BK2" s="235"/>
      <c r="BL2" s="235"/>
      <c r="BM2" s="235"/>
      <c r="BN2" s="236"/>
      <c r="BO2" s="193" t="s">
        <v>128</v>
      </c>
      <c r="BP2" s="193"/>
      <c r="BQ2" s="193"/>
      <c r="BR2" s="193"/>
      <c r="BS2" s="193"/>
      <c r="BT2" s="193"/>
      <c r="BU2" s="193"/>
      <c r="BV2" s="2"/>
      <c r="BX2" s="201" t="s">
        <v>129</v>
      </c>
      <c r="BY2" s="202"/>
      <c r="BZ2" s="202"/>
      <c r="CA2" s="202"/>
      <c r="CB2" s="202"/>
      <c r="CC2" s="202"/>
      <c r="CD2" s="203"/>
      <c r="CE2" s="192" t="s">
        <v>130</v>
      </c>
      <c r="CF2" s="192"/>
      <c r="CG2" s="192"/>
      <c r="CH2" s="192"/>
      <c r="CI2" s="192"/>
      <c r="CJ2" s="192"/>
      <c r="CK2" s="192"/>
      <c r="CM2" s="194"/>
      <c r="CN2" s="195"/>
      <c r="CO2" s="215" t="s">
        <v>2</v>
      </c>
      <c r="CP2" s="216"/>
      <c r="CQ2" s="217"/>
      <c r="CR2" s="213" t="s">
        <v>78</v>
      </c>
      <c r="CS2" s="214"/>
      <c r="CT2" s="205" t="s">
        <v>20</v>
      </c>
      <c r="CU2" s="222" t="s">
        <v>21</v>
      </c>
      <c r="CV2" s="5"/>
      <c r="CW2" s="196"/>
      <c r="CX2" s="211"/>
      <c r="CY2" s="211"/>
      <c r="CZ2" s="211"/>
      <c r="DA2" s="211"/>
      <c r="DB2" s="211"/>
      <c r="DC2" s="211"/>
      <c r="DD2" s="211"/>
      <c r="DE2" s="212"/>
    </row>
    <row r="3" spans="1:109" ht="27.6" customHeight="1" thickBot="1" x14ac:dyDescent="0.3">
      <c r="A3" s="257"/>
      <c r="B3" s="270" t="s">
        <v>4</v>
      </c>
      <c r="C3" s="272" t="s">
        <v>5</v>
      </c>
      <c r="D3" s="274" t="s">
        <v>6</v>
      </c>
      <c r="E3" s="263" t="s">
        <v>80</v>
      </c>
      <c r="F3" s="237" t="s">
        <v>7</v>
      </c>
      <c r="G3" s="239" t="s">
        <v>79</v>
      </c>
      <c r="H3" s="177" t="s">
        <v>40</v>
      </c>
      <c r="I3" s="172" t="s">
        <v>77</v>
      </c>
      <c r="J3" s="257"/>
      <c r="K3" s="241"/>
      <c r="N3" s="182" t="s">
        <v>8</v>
      </c>
      <c r="O3" s="182" t="s">
        <v>9</v>
      </c>
      <c r="P3" s="182" t="s">
        <v>10</v>
      </c>
      <c r="Q3" s="182" t="s">
        <v>11</v>
      </c>
      <c r="R3" s="182" t="s">
        <v>12</v>
      </c>
      <c r="S3" s="182" t="s">
        <v>13</v>
      </c>
      <c r="T3" s="204" t="s">
        <v>14</v>
      </c>
      <c r="U3" s="182" t="s">
        <v>8</v>
      </c>
      <c r="V3" s="182" t="s">
        <v>9</v>
      </c>
      <c r="W3" s="182" t="s">
        <v>10</v>
      </c>
      <c r="X3" s="182" t="s">
        <v>11</v>
      </c>
      <c r="Y3" s="182" t="s">
        <v>12</v>
      </c>
      <c r="Z3" s="182" t="s">
        <v>13</v>
      </c>
      <c r="AA3" s="204" t="s">
        <v>14</v>
      </c>
      <c r="AB3" s="5"/>
      <c r="AD3" s="182" t="s">
        <v>8</v>
      </c>
      <c r="AE3" s="182" t="s">
        <v>9</v>
      </c>
      <c r="AF3" s="182" t="s">
        <v>10</v>
      </c>
      <c r="AG3" s="182" t="s">
        <v>11</v>
      </c>
      <c r="AH3" s="182" t="s">
        <v>12</v>
      </c>
      <c r="AI3" s="182" t="s">
        <v>13</v>
      </c>
      <c r="AJ3" s="204" t="s">
        <v>14</v>
      </c>
      <c r="AK3" s="182" t="s">
        <v>8</v>
      </c>
      <c r="AL3" s="182" t="s">
        <v>9</v>
      </c>
      <c r="AM3" s="182" t="s">
        <v>10</v>
      </c>
      <c r="AN3" s="182" t="s">
        <v>11</v>
      </c>
      <c r="AO3" s="182" t="s">
        <v>12</v>
      </c>
      <c r="AP3" s="182" t="s">
        <v>13</v>
      </c>
      <c r="AQ3" s="182" t="s">
        <v>15</v>
      </c>
      <c r="AT3" s="182" t="s">
        <v>8</v>
      </c>
      <c r="AU3" s="182" t="s">
        <v>9</v>
      </c>
      <c r="AV3" s="182" t="s">
        <v>10</v>
      </c>
      <c r="AW3" s="182" t="s">
        <v>11</v>
      </c>
      <c r="AX3" s="182" t="s">
        <v>12</v>
      </c>
      <c r="AY3" s="182" t="s">
        <v>13</v>
      </c>
      <c r="AZ3" s="182" t="s">
        <v>8</v>
      </c>
      <c r="BA3" s="182" t="s">
        <v>9</v>
      </c>
      <c r="BB3" s="182" t="s">
        <v>10</v>
      </c>
      <c r="BC3" s="182" t="s">
        <v>11</v>
      </c>
      <c r="BD3" s="182" t="s">
        <v>12</v>
      </c>
      <c r="BE3" s="182" t="s">
        <v>13</v>
      </c>
      <c r="BF3" s="5"/>
      <c r="BH3" s="182" t="s">
        <v>8</v>
      </c>
      <c r="BI3" s="182" t="s">
        <v>9</v>
      </c>
      <c r="BJ3" s="182" t="s">
        <v>10</v>
      </c>
      <c r="BK3" s="182" t="s">
        <v>11</v>
      </c>
      <c r="BL3" s="182" t="s">
        <v>12</v>
      </c>
      <c r="BM3" s="182" t="s">
        <v>13</v>
      </c>
      <c r="BN3" s="204" t="s">
        <v>26</v>
      </c>
      <c r="BO3" s="200" t="s">
        <v>8</v>
      </c>
      <c r="BP3" s="200" t="s">
        <v>9</v>
      </c>
      <c r="BQ3" s="200" t="s">
        <v>10</v>
      </c>
      <c r="BR3" s="200" t="s">
        <v>11</v>
      </c>
      <c r="BS3" s="200" t="s">
        <v>12</v>
      </c>
      <c r="BT3" s="200" t="s">
        <v>13</v>
      </c>
      <c r="BU3" s="182" t="s">
        <v>26</v>
      </c>
      <c r="BV3" s="5"/>
      <c r="BX3" s="197" t="s">
        <v>8</v>
      </c>
      <c r="BY3" s="197" t="s">
        <v>9</v>
      </c>
      <c r="BZ3" s="197" t="s">
        <v>10</v>
      </c>
      <c r="CA3" s="197" t="s">
        <v>11</v>
      </c>
      <c r="CB3" s="197" t="s">
        <v>12</v>
      </c>
      <c r="CC3" s="197" t="s">
        <v>13</v>
      </c>
      <c r="CD3" s="232" t="s">
        <v>75</v>
      </c>
      <c r="CE3" s="198" t="s">
        <v>8</v>
      </c>
      <c r="CF3" s="198" t="s">
        <v>9</v>
      </c>
      <c r="CG3" s="198" t="s">
        <v>10</v>
      </c>
      <c r="CH3" s="198" t="s">
        <v>11</v>
      </c>
      <c r="CI3" s="198" t="s">
        <v>12</v>
      </c>
      <c r="CJ3" s="198" t="s">
        <v>13</v>
      </c>
      <c r="CK3" s="199" t="s">
        <v>75</v>
      </c>
      <c r="CM3" s="194"/>
      <c r="CN3" s="195"/>
      <c r="CO3" s="230" t="s">
        <v>16</v>
      </c>
      <c r="CP3" s="230" t="s">
        <v>17</v>
      </c>
      <c r="CQ3" s="230" t="s">
        <v>76</v>
      </c>
      <c r="CR3" s="205" t="s">
        <v>18</v>
      </c>
      <c r="CS3" s="207" t="s">
        <v>19</v>
      </c>
      <c r="CT3" s="206"/>
      <c r="CU3" s="223"/>
      <c r="CV3" s="4"/>
      <c r="CW3" s="218"/>
      <c r="CX3" s="219"/>
      <c r="CY3" s="282" t="s">
        <v>22</v>
      </c>
      <c r="CZ3" s="200" t="str">
        <f>CP3</f>
        <v>Greenhouse Gas Compliance Costs</v>
      </c>
      <c r="DA3" s="200" t="s">
        <v>76</v>
      </c>
      <c r="DB3" s="200" t="s">
        <v>23</v>
      </c>
      <c r="DC3" s="200" t="s">
        <v>24</v>
      </c>
      <c r="DD3" s="226" t="str">
        <f>CT2</f>
        <v>10% Conservation Credit</v>
      </c>
      <c r="DE3" s="228" t="str">
        <f>CU2</f>
        <v xml:space="preserve">Total Avoided Costs </v>
      </c>
    </row>
    <row r="4" spans="1:109" s="6" customFormat="1" ht="26.45" customHeight="1" thickBot="1" x14ac:dyDescent="0.3">
      <c r="A4" s="258"/>
      <c r="B4" s="271"/>
      <c r="C4" s="273"/>
      <c r="D4" s="275"/>
      <c r="E4" s="264"/>
      <c r="F4" s="238"/>
      <c r="G4" s="240"/>
      <c r="H4" s="178" t="s">
        <v>41</v>
      </c>
      <c r="I4" s="173"/>
      <c r="J4" s="258"/>
      <c r="K4" s="241"/>
      <c r="L4" s="1"/>
      <c r="M4" s="1"/>
      <c r="N4" s="182"/>
      <c r="O4" s="182"/>
      <c r="P4" s="182"/>
      <c r="Q4" s="182"/>
      <c r="R4" s="182"/>
      <c r="S4" s="182"/>
      <c r="T4" s="200"/>
      <c r="U4" s="182"/>
      <c r="V4" s="182"/>
      <c r="W4" s="182"/>
      <c r="X4" s="182"/>
      <c r="Y4" s="182"/>
      <c r="Z4" s="182"/>
      <c r="AA4" s="200"/>
      <c r="AB4" s="5"/>
      <c r="AC4" s="1"/>
      <c r="AD4" s="182"/>
      <c r="AE4" s="182"/>
      <c r="AF4" s="182"/>
      <c r="AG4" s="182"/>
      <c r="AH4" s="182"/>
      <c r="AI4" s="182"/>
      <c r="AJ4" s="200"/>
      <c r="AK4" s="182"/>
      <c r="AL4" s="182"/>
      <c r="AM4" s="182"/>
      <c r="AN4" s="182"/>
      <c r="AO4" s="182"/>
      <c r="AP4" s="182"/>
      <c r="AQ4" s="182"/>
      <c r="AR4" s="1"/>
      <c r="AS4" s="1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5"/>
      <c r="BG4" s="1"/>
      <c r="BH4" s="182"/>
      <c r="BI4" s="182"/>
      <c r="BJ4" s="182"/>
      <c r="BK4" s="182"/>
      <c r="BL4" s="182"/>
      <c r="BM4" s="182"/>
      <c r="BN4" s="200"/>
      <c r="BO4" s="182"/>
      <c r="BP4" s="182"/>
      <c r="BQ4" s="182"/>
      <c r="BR4" s="182"/>
      <c r="BS4" s="182"/>
      <c r="BT4" s="182"/>
      <c r="BU4" s="182"/>
      <c r="BV4" s="5"/>
      <c r="BW4" s="1"/>
      <c r="BX4" s="197"/>
      <c r="BY4" s="197"/>
      <c r="BZ4" s="197"/>
      <c r="CA4" s="197"/>
      <c r="CB4" s="197"/>
      <c r="CC4" s="197"/>
      <c r="CD4" s="233"/>
      <c r="CE4" s="199"/>
      <c r="CF4" s="199"/>
      <c r="CG4" s="199"/>
      <c r="CH4" s="199"/>
      <c r="CI4" s="199"/>
      <c r="CJ4" s="199"/>
      <c r="CK4" s="199"/>
      <c r="CL4" s="1"/>
      <c r="CM4" s="196"/>
      <c r="CN4" s="195"/>
      <c r="CO4" s="231"/>
      <c r="CP4" s="231"/>
      <c r="CQ4" s="231"/>
      <c r="CR4" s="206"/>
      <c r="CS4" s="208"/>
      <c r="CT4" s="225"/>
      <c r="CU4" s="224"/>
      <c r="CV4" s="4"/>
      <c r="CW4" s="220"/>
      <c r="CX4" s="221"/>
      <c r="CY4" s="283"/>
      <c r="CZ4" s="204"/>
      <c r="DA4" s="204"/>
      <c r="DB4" s="204"/>
      <c r="DC4" s="204"/>
      <c r="DD4" s="227"/>
      <c r="DE4" s="229"/>
    </row>
    <row r="5" spans="1:109" ht="13.7" customHeight="1" x14ac:dyDescent="0.25">
      <c r="A5" s="84">
        <f>2022</f>
        <v>2022</v>
      </c>
      <c r="B5" s="164">
        <v>8.8999999999999996E-2</v>
      </c>
      <c r="C5" s="170">
        <v>0.77597173144876319</v>
      </c>
      <c r="D5" s="175">
        <v>0.46855123674911658</v>
      </c>
      <c r="E5" s="166">
        <v>0.50405321139056325</v>
      </c>
      <c r="F5" s="167">
        <f>'Commodity Costs Avoided Detail'!N3</f>
        <v>5.1888372422654614</v>
      </c>
      <c r="G5" s="168">
        <v>0.14880331133089175</v>
      </c>
      <c r="H5" s="179">
        <v>5.7331799999999999</v>
      </c>
      <c r="I5" s="174">
        <f>('Greenhouse Gas Costs Avoided De'!O2)</f>
        <v>5.2094466283790943</v>
      </c>
      <c r="J5" s="138">
        <v>1.0341044669181085</v>
      </c>
      <c r="K5" s="139">
        <f>(J5-1)/1</f>
        <v>3.4104466918108534E-2</v>
      </c>
      <c r="L5" s="129"/>
      <c r="M5" s="7">
        <v>2022</v>
      </c>
      <c r="N5" s="8">
        <f t="shared" ref="N5:O23" si="0">($B5*$H$39*365)</f>
        <v>0.6442738338206585</v>
      </c>
      <c r="O5" s="8">
        <f t="shared" si="0"/>
        <v>0.6442738338206585</v>
      </c>
      <c r="P5" s="8">
        <f t="shared" ref="P5:P23" si="1">($B5*$H$40*365)</f>
        <v>0.57472154494229177</v>
      </c>
      <c r="Q5" s="8">
        <f t="shared" ref="Q5:Q23" si="2">($B5*$H$41*365)</f>
        <v>0.10720049999999999</v>
      </c>
      <c r="R5" s="8">
        <f t="shared" ref="R5:R23" si="3">($B5*$H$42*365)</f>
        <v>0.11570000000000001</v>
      </c>
      <c r="S5" s="8">
        <f t="shared" ref="S5:S23" si="4">($B5*$H$43*365)</f>
        <v>8.8999999999999996E-2</v>
      </c>
      <c r="T5" s="8">
        <f t="shared" ref="T5:T23" si="5">S5</f>
        <v>8.8999999999999996E-2</v>
      </c>
      <c r="U5" s="8">
        <f t="shared" ref="U5:V23" si="6">($B5*$H$39*365)</f>
        <v>0.6442738338206585</v>
      </c>
      <c r="V5" s="8">
        <f t="shared" si="6"/>
        <v>0.6442738338206585</v>
      </c>
      <c r="W5" s="8">
        <f t="shared" ref="W5:W23" si="7">($B5*$H$40*365)</f>
        <v>0.57472154494229177</v>
      </c>
      <c r="X5" s="8">
        <f t="shared" ref="X5:X23" si="8">($B5*$H$41*365)</f>
        <v>0.10720049999999999</v>
      </c>
      <c r="Y5" s="8">
        <f t="shared" ref="Y5:Y23" si="9">($B5*$H$42*365)</f>
        <v>0.11570000000000001</v>
      </c>
      <c r="Z5" s="8">
        <f t="shared" ref="Z5:Z23" si="10">($B5*$H$43*365)</f>
        <v>8.8999999999999996E-2</v>
      </c>
      <c r="AA5" s="8">
        <f t="shared" ref="AA5:AA23" si="11">Z5</f>
        <v>8.8999999999999996E-2</v>
      </c>
      <c r="AB5" s="48"/>
      <c r="AC5" s="7">
        <v>2022</v>
      </c>
      <c r="AD5" s="8">
        <f t="shared" ref="AD5:AD23" si="12">($D5*$H$46*8760)</f>
        <v>4.71776518398263</v>
      </c>
      <c r="AE5" s="8">
        <f t="shared" ref="AE5:AE23" si="13">($D5*$H$47*8760)</f>
        <v>2.3743001252723031</v>
      </c>
      <c r="AF5" s="8">
        <f t="shared" ref="AF5:AF23" si="14">($D5*$H$48*8760)</f>
        <v>5.6890697806849353</v>
      </c>
      <c r="AG5" s="8">
        <f t="shared" ref="AG5:AG23" si="15">($D5*$H$49*8760)</f>
        <v>1.0661644757207067</v>
      </c>
      <c r="AH5" s="8">
        <f t="shared" ref="AH5:AH23" si="16">($D5*$H$50*8760)</f>
        <v>2.9237597173144878</v>
      </c>
      <c r="AI5" s="8">
        <f t="shared" ref="AI5:AI23" si="17">($D5*$H$51*8760)</f>
        <v>0.46855123674911658</v>
      </c>
      <c r="AJ5" s="8">
        <f t="shared" ref="AJ5:AJ23" si="18">AI5</f>
        <v>0.46855123674911658</v>
      </c>
      <c r="AK5" s="8">
        <f t="shared" ref="AK5:AK23" si="19">($C5*$H$46*8760)</f>
        <v>7.8131314811658026</v>
      </c>
      <c r="AL5" s="8">
        <f t="shared" ref="AL5:AL23" si="20">($C5*$H$47*8760)</f>
        <v>3.932098849998475</v>
      </c>
      <c r="AM5" s="8">
        <f t="shared" ref="AM5:AM23" si="21">($C5*$H$48*8760)</f>
        <v>9.4217173743469971</v>
      </c>
      <c r="AN5" s="8">
        <f t="shared" ref="AN5:AN23" si="22">($C5*$H$49*8760)</f>
        <v>1.7656841543609891</v>
      </c>
      <c r="AO5" s="8">
        <f t="shared" ref="AO5:AO23" si="23">($C5*$H$50*8760)</f>
        <v>4.8420636042402831</v>
      </c>
      <c r="AP5" s="8">
        <f t="shared" ref="AP5:AP23" si="24">($C5*$H$51*8760)</f>
        <v>0.77597173144876308</v>
      </c>
      <c r="AQ5" s="8">
        <f t="shared" ref="AQ5:AQ23" si="25">AP5</f>
        <v>0.77597173144876308</v>
      </c>
      <c r="AS5" s="7">
        <v>2022</v>
      </c>
      <c r="AT5" s="8">
        <f t="shared" ref="AT5:AT23" si="26">AD5+N5</f>
        <v>5.3620390178032888</v>
      </c>
      <c r="AU5" s="8">
        <f t="shared" ref="AU5:AU23" si="27">AE5+O5</f>
        <v>3.0185739590929614</v>
      </c>
      <c r="AV5" s="8">
        <f t="shared" ref="AV5:AV23" si="28">AF5+P5</f>
        <v>6.2637913256272268</v>
      </c>
      <c r="AW5" s="8">
        <f t="shared" ref="AW5:AW23" si="29">AG5+Q5</f>
        <v>1.1733649757207067</v>
      </c>
      <c r="AX5" s="8">
        <f t="shared" ref="AX5:AX23" si="30">AH5+R5</f>
        <v>3.0394597173144877</v>
      </c>
      <c r="AY5" s="8">
        <f t="shared" ref="AY5:AY23" si="31">AI5+S5</f>
        <v>0.55755123674911655</v>
      </c>
      <c r="AZ5" s="8">
        <f t="shared" ref="AZ5:AZ23" si="32">AK5+U5</f>
        <v>8.4574053149864614</v>
      </c>
      <c r="BA5" s="8">
        <f t="shared" ref="BA5:BA23" si="33">AL5+V5</f>
        <v>4.5763726838191339</v>
      </c>
      <c r="BB5" s="8">
        <f t="shared" ref="BB5:BB23" si="34">AM5+W5</f>
        <v>9.9964389192892895</v>
      </c>
      <c r="BC5" s="8">
        <f t="shared" ref="BC5:BC23" si="35">AN5+X5</f>
        <v>1.8728846543609892</v>
      </c>
      <c r="BD5" s="8">
        <f t="shared" ref="BD5:BD23" si="36">AO5+Y5</f>
        <v>4.9577636042402835</v>
      </c>
      <c r="BE5" s="8">
        <f t="shared" ref="BE5:BE23" si="37">AP5+Z5</f>
        <v>0.86497173144876305</v>
      </c>
      <c r="BF5" s="48"/>
      <c r="BG5" s="7">
        <v>2022</v>
      </c>
      <c r="BH5" s="8">
        <f>(('Commodity Costs Avoided Detail'!$AE3+AT5)*0.1)</f>
        <v>1.0480569451409762</v>
      </c>
      <c r="BI5" s="8">
        <f>(('Commodity Costs Avoided Detail'!$AE3+AU5)*0.1)</f>
        <v>0.81371043926994346</v>
      </c>
      <c r="BJ5" s="8">
        <f>(('Commodity Costs Avoided Detail'!AE3+AV5)*0.1)</f>
        <v>1.1382321759233702</v>
      </c>
      <c r="BK5" s="8">
        <f>(('Commodity Costs Avoided Detail'!AF3+AW5)*0.1)</f>
        <v>0.63573320166495195</v>
      </c>
      <c r="BL5" s="8">
        <f>(('Commodity Costs Avoided Detail'!AG3+AX5)*0.1)</f>
        <v>0.82282969595799504</v>
      </c>
      <c r="BM5" s="8">
        <f>(('Commodity Costs Avoided Detail'!AH3+AY5)*0.1)</f>
        <v>0.57463884790145781</v>
      </c>
      <c r="BN5" s="8">
        <f>(('Commodity Costs Avoided Detail'!AH3)*0.1)</f>
        <v>0.51888372422654616</v>
      </c>
      <c r="BO5" s="8">
        <f>(('Commodity Costs Avoided Detail'!AE3+AZ5)*0.1)</f>
        <v>1.3575935748592936</v>
      </c>
      <c r="BP5" s="8">
        <f>(('Commodity Costs Avoided Detail'!AE3+BA5)*0.1)</f>
        <v>0.96949031174256073</v>
      </c>
      <c r="BQ5" s="8">
        <f>(('Commodity Costs Avoided Detail'!AE3+BB5)*0.1)</f>
        <v>1.5114969352895764</v>
      </c>
      <c r="BR5" s="8">
        <f>(('Commodity Costs Avoided Detail'!AF3+BC5)*0.1)</f>
        <v>0.70568516952898008</v>
      </c>
      <c r="BS5" s="8">
        <f>(('Commodity Costs Avoided Detail'!AG3+BD5)*0.1)</f>
        <v>1.0146600846505744</v>
      </c>
      <c r="BT5" s="8">
        <f>(('Commodity Costs Avoided Detail'!AH3+BE5)*0.1)</f>
        <v>0.60538089737142242</v>
      </c>
      <c r="BU5" s="8">
        <f>(('Commodity Costs Avoided Detail'!AH3)*0.1)</f>
        <v>0.51888372422654616</v>
      </c>
      <c r="BV5" s="48"/>
      <c r="BW5" s="7">
        <v>2022</v>
      </c>
      <c r="BX5" s="158">
        <f>'Commodity Costs Avoided Detail'!$AE3+AT5+$H5+BH5+$G5</f>
        <v>17.41060970788163</v>
      </c>
      <c r="BY5" s="158">
        <f>'Commodity Costs Avoided Detail'!$AE3+AU5+$H5+BI5+$G5</f>
        <v>14.83279814330027</v>
      </c>
      <c r="BZ5" s="158">
        <f>'Commodity Costs Avoided Detail'!AE3+AV5+$H5+BJ5+G5</f>
        <v>18.402537246487963</v>
      </c>
      <c r="CA5" s="158">
        <f>'Commodity Costs Avoided Detail'!AF3+AW5+$H5+BK5+$G5</f>
        <v>12.875048529645362</v>
      </c>
      <c r="CB5" s="158">
        <f>'Commodity Costs Avoided Detail'!AG3+AX5+$H5+BL5+$G5</f>
        <v>14.933109966868837</v>
      </c>
      <c r="CC5" s="158">
        <f>'Commodity Costs Avoided Detail'!AH3+AY5+$H5+BM5+$G5</f>
        <v>12.203010638246926</v>
      </c>
      <c r="CD5" s="158">
        <f>'Commodity Costs Avoided Detail'!AH3+$H5+BN5+$G5</f>
        <v>11.5897042778229</v>
      </c>
      <c r="CE5" s="160">
        <f>'Commodity Costs Avoided Detail'!$AE3+AZ5+$I5+BO5+$G5</f>
        <v>20.291779263162216</v>
      </c>
      <c r="CF5" s="160">
        <f>'Commodity Costs Avoided Detail'!$AE3+BA5+$I5+BP5+$G5</f>
        <v>16.022643368878153</v>
      </c>
      <c r="CG5" s="160">
        <f>'Commodity Costs Avoided Detail'!AE3+BB5+$I5+BQ5+$G5</f>
        <v>21.984716227895323</v>
      </c>
      <c r="CH5" s="160">
        <f>'Commodity Costs Avoided Detail'!AF3+BC5+$I5+BR5+$G5</f>
        <v>13.120786804528766</v>
      </c>
      <c r="CI5" s="160">
        <f>'Commodity Costs Avoided Detail'!AG3+BD5+$I5+BS5+$G5</f>
        <v>16.519510870866306</v>
      </c>
      <c r="CJ5" s="160">
        <f>'Commodity Costs Avoided Detail'!AH3+BE5+$I5+BT5+$G5</f>
        <v>12.017439810795633</v>
      </c>
      <c r="CK5" s="160">
        <f>'Commodity Costs Avoided Detail'!AH3+$I5+BU5+$G5</f>
        <v>11.065970906201994</v>
      </c>
      <c r="CM5" s="284" t="s">
        <v>25</v>
      </c>
      <c r="CN5" s="63" t="s">
        <v>8</v>
      </c>
      <c r="CO5" s="10">
        <f>'Commodity Costs Avoided Detail'!AE32</f>
        <v>3.8299224279091697</v>
      </c>
      <c r="CP5" s="287">
        <f>H34</f>
        <v>7.6081257875462978</v>
      </c>
      <c r="CQ5" s="287">
        <f>IF(G34&lt;0,0,G34)</f>
        <v>0.86193161558388465</v>
      </c>
      <c r="CR5" s="10">
        <f>N34</f>
        <v>0.64427383382065762</v>
      </c>
      <c r="CS5" s="59">
        <f>AD34</f>
        <v>4.7177651839826265</v>
      </c>
      <c r="CT5" s="55">
        <f>BH34</f>
        <v>0.91919614457124565</v>
      </c>
      <c r="CU5" s="11">
        <f t="shared" ref="CU5:CU10" si="38">CO5+CP$5+CQ$5+CR5+CS5+CT5</f>
        <v>18.58121499341388</v>
      </c>
      <c r="CV5" s="51"/>
      <c r="CW5" s="290" t="str">
        <f t="shared" ref="CW5:DD5" si="39">CM5</f>
        <v>Oregon</v>
      </c>
      <c r="CX5" s="70" t="str">
        <f t="shared" si="39"/>
        <v xml:space="preserve">Residential Space Heating </v>
      </c>
      <c r="CY5" s="73">
        <f t="shared" si="39"/>
        <v>3.8299224279091697</v>
      </c>
      <c r="CZ5" s="73">
        <f>CP5</f>
        <v>7.6081257875462978</v>
      </c>
      <c r="DA5" s="73">
        <f>$CQ$5</f>
        <v>0.86193161558388465</v>
      </c>
      <c r="DB5" s="73">
        <f t="shared" si="39"/>
        <v>0.64427383382065762</v>
      </c>
      <c r="DC5" s="73">
        <f t="shared" si="39"/>
        <v>4.7177651839826265</v>
      </c>
      <c r="DD5" s="74">
        <f t="shared" si="39"/>
        <v>0.91919614457124565</v>
      </c>
      <c r="DE5" s="75">
        <f>SUM(CY5:DD5)</f>
        <v>18.58121499341388</v>
      </c>
    </row>
    <row r="6" spans="1:109" ht="13.7" customHeight="1" x14ac:dyDescent="0.25">
      <c r="A6" s="84">
        <f t="shared" ref="A6:A33" si="40">A5+1</f>
        <v>2023</v>
      </c>
      <c r="B6" s="164">
        <v>8.8999999999999996E-2</v>
      </c>
      <c r="C6" s="170">
        <v>0.77597173144876319</v>
      </c>
      <c r="D6" s="175">
        <v>0.46855123674911658</v>
      </c>
      <c r="E6" s="166">
        <v>0.50405321139056325</v>
      </c>
      <c r="F6" s="167">
        <f>'Commodity Costs Avoided Detail'!N4</f>
        <v>4.0556755481685975</v>
      </c>
      <c r="G6" s="168">
        <v>0.36270794283562946</v>
      </c>
      <c r="H6" s="179">
        <v>5.7862650000000002</v>
      </c>
      <c r="I6" s="174">
        <f>('Greenhouse Gas Costs Avoided De'!O3)</f>
        <v>5.3108470493694417</v>
      </c>
      <c r="J6" s="138">
        <v>1.0571987546377881</v>
      </c>
      <c r="K6" s="139">
        <f t="shared" ref="K6:K33" si="41">(J6-J5)/J5</f>
        <v>2.2332644774764751E-2</v>
      </c>
      <c r="L6" s="129"/>
      <c r="M6" s="7">
        <f t="shared" ref="M6:M33" si="42">M5+1</f>
        <v>2023</v>
      </c>
      <c r="N6" s="8">
        <f t="shared" si="0"/>
        <v>0.6442738338206585</v>
      </c>
      <c r="O6" s="8">
        <f t="shared" si="0"/>
        <v>0.6442738338206585</v>
      </c>
      <c r="P6" s="8">
        <f t="shared" si="1"/>
        <v>0.57472154494229177</v>
      </c>
      <c r="Q6" s="8">
        <f t="shared" si="2"/>
        <v>0.10720049999999999</v>
      </c>
      <c r="R6" s="8">
        <f t="shared" si="3"/>
        <v>0.11570000000000001</v>
      </c>
      <c r="S6" s="8">
        <f t="shared" si="4"/>
        <v>8.8999999999999996E-2</v>
      </c>
      <c r="T6" s="8">
        <f t="shared" si="5"/>
        <v>8.8999999999999996E-2</v>
      </c>
      <c r="U6" s="8">
        <f t="shared" si="6"/>
        <v>0.6442738338206585</v>
      </c>
      <c r="V6" s="8">
        <f t="shared" si="6"/>
        <v>0.6442738338206585</v>
      </c>
      <c r="W6" s="8">
        <f t="shared" si="7"/>
        <v>0.57472154494229177</v>
      </c>
      <c r="X6" s="8">
        <f t="shared" si="8"/>
        <v>0.10720049999999999</v>
      </c>
      <c r="Y6" s="8">
        <f t="shared" si="9"/>
        <v>0.11570000000000001</v>
      </c>
      <c r="Z6" s="8">
        <f t="shared" si="10"/>
        <v>8.8999999999999996E-2</v>
      </c>
      <c r="AA6" s="8">
        <f t="shared" si="11"/>
        <v>8.8999999999999996E-2</v>
      </c>
      <c r="AB6" s="48"/>
      <c r="AC6" s="7">
        <f t="shared" ref="AC6:AC33" si="43">AC5+1</f>
        <v>2023</v>
      </c>
      <c r="AD6" s="8">
        <f t="shared" si="12"/>
        <v>4.71776518398263</v>
      </c>
      <c r="AE6" s="8">
        <f t="shared" si="13"/>
        <v>2.3743001252723031</v>
      </c>
      <c r="AF6" s="8">
        <f t="shared" si="14"/>
        <v>5.6890697806849353</v>
      </c>
      <c r="AG6" s="8">
        <f t="shared" si="15"/>
        <v>1.0661644757207067</v>
      </c>
      <c r="AH6" s="8">
        <f t="shared" si="16"/>
        <v>2.9237597173144878</v>
      </c>
      <c r="AI6" s="8">
        <f t="shared" si="17"/>
        <v>0.46855123674911658</v>
      </c>
      <c r="AJ6" s="8">
        <f t="shared" si="18"/>
        <v>0.46855123674911658</v>
      </c>
      <c r="AK6" s="8">
        <f t="shared" si="19"/>
        <v>7.8131314811658026</v>
      </c>
      <c r="AL6" s="8">
        <f t="shared" si="20"/>
        <v>3.932098849998475</v>
      </c>
      <c r="AM6" s="8">
        <f t="shared" si="21"/>
        <v>9.4217173743469971</v>
      </c>
      <c r="AN6" s="8">
        <f t="shared" si="22"/>
        <v>1.7656841543609891</v>
      </c>
      <c r="AO6" s="8">
        <f t="shared" si="23"/>
        <v>4.8420636042402831</v>
      </c>
      <c r="AP6" s="8">
        <f t="shared" si="24"/>
        <v>0.77597173144876308</v>
      </c>
      <c r="AQ6" s="8">
        <f t="shared" si="25"/>
        <v>0.77597173144876308</v>
      </c>
      <c r="AS6" s="7">
        <f t="shared" ref="AS6:AS33" si="44">AS5+1</f>
        <v>2023</v>
      </c>
      <c r="AT6" s="8">
        <f t="shared" si="26"/>
        <v>5.3620390178032888</v>
      </c>
      <c r="AU6" s="8">
        <f t="shared" si="27"/>
        <v>3.0185739590929614</v>
      </c>
      <c r="AV6" s="8">
        <f t="shared" si="28"/>
        <v>6.2637913256272268</v>
      </c>
      <c r="AW6" s="8">
        <f t="shared" si="29"/>
        <v>1.1733649757207067</v>
      </c>
      <c r="AX6" s="8">
        <f t="shared" si="30"/>
        <v>3.0394597173144877</v>
      </c>
      <c r="AY6" s="8">
        <f t="shared" si="31"/>
        <v>0.55755123674911655</v>
      </c>
      <c r="AZ6" s="8">
        <f t="shared" si="32"/>
        <v>8.4574053149864614</v>
      </c>
      <c r="BA6" s="8">
        <f t="shared" si="33"/>
        <v>4.5763726838191339</v>
      </c>
      <c r="BB6" s="8">
        <f t="shared" si="34"/>
        <v>9.9964389192892895</v>
      </c>
      <c r="BC6" s="8">
        <f t="shared" si="35"/>
        <v>1.8728846543609892</v>
      </c>
      <c r="BD6" s="8">
        <f t="shared" si="36"/>
        <v>4.9577636042402835</v>
      </c>
      <c r="BE6" s="8">
        <f t="shared" si="37"/>
        <v>0.86497173144876305</v>
      </c>
      <c r="BF6" s="48"/>
      <c r="BG6" s="7">
        <f t="shared" ref="BG6:BG33" si="45">BG5+1</f>
        <v>2023</v>
      </c>
      <c r="BH6" s="8">
        <f>(('Commodity Costs Avoided Detail'!$AE4+AT6)*0.1)</f>
        <v>0.96154957892298487</v>
      </c>
      <c r="BI6" s="8">
        <f>(('Commodity Costs Avoided Detail'!$AE4+AU6)*0.1)</f>
        <v>0.7272030730519522</v>
      </c>
      <c r="BJ6" s="8">
        <f>(('Commodity Costs Avoided Detail'!AE4+AV6)*0.1)</f>
        <v>1.0517248097053788</v>
      </c>
      <c r="BK6" s="8">
        <f>(('Commodity Costs Avoided Detail'!AF4+AW6)*0.1)</f>
        <v>0.52612056724246625</v>
      </c>
      <c r="BL6" s="8">
        <f>(('Commodity Costs Avoided Detail'!AG4+AX6)*0.1)</f>
        <v>0.70951352654830857</v>
      </c>
      <c r="BM6" s="8">
        <f>(('Commodity Costs Avoided Detail'!AH4+AY6)*0.1)</f>
        <v>0.46132267849177144</v>
      </c>
      <c r="BN6" s="8">
        <f>(('Commodity Costs Avoided Detail'!AH4)*0.1)</f>
        <v>0.4055675548168598</v>
      </c>
      <c r="BO6" s="8">
        <f>(('Commodity Costs Avoided Detail'!AE4+AZ6)*0.1)</f>
        <v>1.2710862086413022</v>
      </c>
      <c r="BP6" s="8">
        <f>(('Commodity Costs Avoided Detail'!AE4+BA6)*0.1)</f>
        <v>0.88298294552456946</v>
      </c>
      <c r="BQ6" s="8">
        <f>(('Commodity Costs Avoided Detail'!AE4+BB6)*0.1)</f>
        <v>1.424989569071585</v>
      </c>
      <c r="BR6" s="8">
        <f>(('Commodity Costs Avoided Detail'!AF4+BC6)*0.1)</f>
        <v>0.59607253510649449</v>
      </c>
      <c r="BS6" s="8">
        <f>(('Commodity Costs Avoided Detail'!AG4+BD6)*0.1)</f>
        <v>0.90134391524088819</v>
      </c>
      <c r="BT6" s="8">
        <f>(('Commodity Costs Avoided Detail'!AH4+BE6)*0.1)</f>
        <v>0.49206472796173611</v>
      </c>
      <c r="BU6" s="8">
        <f>(('Commodity Costs Avoided Detail'!AH4)*0.1)</f>
        <v>0.4055675548168598</v>
      </c>
      <c r="BV6" s="48"/>
      <c r="BW6" s="7">
        <f t="shared" ref="BW6:BW33" si="46">BW5+1</f>
        <v>2023</v>
      </c>
      <c r="BX6" s="158">
        <f>'Commodity Costs Avoided Detail'!$AE4+AT6+$H6+BH6+$G6</f>
        <v>16.726018310988465</v>
      </c>
      <c r="BY6" s="158">
        <f>'Commodity Costs Avoided Detail'!$AE4+AU6+$H6+BI6+$G6</f>
        <v>14.148206746407102</v>
      </c>
      <c r="BZ6" s="158">
        <f>'Commodity Costs Avoided Detail'!AE4+AV6+$H6+BJ6+G6</f>
        <v>17.717945849594798</v>
      </c>
      <c r="CA6" s="158">
        <f>'Commodity Costs Avoided Detail'!AF4+AW6+$H6+BK6+$G6</f>
        <v>11.936299182502758</v>
      </c>
      <c r="CB6" s="158">
        <f>'Commodity Costs Avoided Detail'!AG4+AX6+$H6+BL6+$G6</f>
        <v>13.953621734867024</v>
      </c>
      <c r="CC6" s="158">
        <f>'Commodity Costs Avoided Detail'!AH4+AY6+$H6+BM6+$G6</f>
        <v>11.223522406245117</v>
      </c>
      <c r="CD6" s="158">
        <f>'Commodity Costs Avoided Detail'!AH4+$H6+BN6+$G6</f>
        <v>10.610216045821087</v>
      </c>
      <c r="CE6" s="160">
        <f>'Commodity Costs Avoided Detail'!$AE4+AZ6+$I6+BO6+$G6</f>
        <v>19.655503287259396</v>
      </c>
      <c r="CF6" s="160">
        <f>'Commodity Costs Avoided Detail'!$AE4+BA6+$I6+BP6+$G6</f>
        <v>15.386367392975334</v>
      </c>
      <c r="CG6" s="160">
        <f>'Commodity Costs Avoided Detail'!AE4+BB6+$I6+BQ6+$G6</f>
        <v>21.348440251992507</v>
      </c>
      <c r="CH6" s="160">
        <f>'Commodity Costs Avoided Detail'!AF4+BC6+$I6+BR6+$G6</f>
        <v>12.230352878376511</v>
      </c>
      <c r="CI6" s="160">
        <f>'Commodity Costs Avoided Detail'!AG4+BD6+$I6+BS6+$G6</f>
        <v>15.588338059854841</v>
      </c>
      <c r="CJ6" s="160">
        <f>'Commodity Costs Avoided Detail'!AH4+BE6+$I6+BT6+$G6</f>
        <v>11.086266999784169</v>
      </c>
      <c r="CK6" s="160">
        <f>'Commodity Costs Avoided Detail'!AH4+$I6+BU6+$G6</f>
        <v>10.134798095190529</v>
      </c>
      <c r="CM6" s="285"/>
      <c r="CN6" s="64" t="s">
        <v>9</v>
      </c>
      <c r="CO6" s="12">
        <f>'Commodity Costs Avoided Detail'!AE32</f>
        <v>3.8299224279091697</v>
      </c>
      <c r="CP6" s="288"/>
      <c r="CQ6" s="288"/>
      <c r="CR6" s="12">
        <f>O34</f>
        <v>0.64427383382065762</v>
      </c>
      <c r="CS6" s="60">
        <f>AE34</f>
        <v>2.3743001252722999</v>
      </c>
      <c r="CT6" s="56">
        <f>BI34</f>
        <v>0.68484963870021287</v>
      </c>
      <c r="CU6" s="13">
        <f t="shared" si="38"/>
        <v>16.003403428832524</v>
      </c>
      <c r="CV6" s="51"/>
      <c r="CW6" s="291"/>
      <c r="CX6" s="69" t="str">
        <f t="shared" ref="CX6:CY10" si="47">CN6</f>
        <v>Residential Hearths and Fireplaces</v>
      </c>
      <c r="CY6" s="76">
        <f t="shared" si="47"/>
        <v>3.8299224279091697</v>
      </c>
      <c r="CZ6" s="76">
        <f>CZ5</f>
        <v>7.6081257875462978</v>
      </c>
      <c r="DA6" s="76">
        <f t="shared" ref="DA6:DA11" si="48">DA$5</f>
        <v>0.86193161558388465</v>
      </c>
      <c r="DB6" s="76">
        <f t="shared" ref="DB6:DD10" si="49">CR6</f>
        <v>0.64427383382065762</v>
      </c>
      <c r="DC6" s="76">
        <f t="shared" si="49"/>
        <v>2.3743001252722999</v>
      </c>
      <c r="DD6" s="77">
        <f t="shared" si="49"/>
        <v>0.68484963870021287</v>
      </c>
      <c r="DE6" s="78">
        <f t="shared" ref="DE6:DE18" si="50">SUM(CY6:DD6)</f>
        <v>16.003403428832524</v>
      </c>
    </row>
    <row r="7" spans="1:109" ht="13.7" customHeight="1" x14ac:dyDescent="0.25">
      <c r="A7" s="84">
        <f t="shared" si="40"/>
        <v>2024</v>
      </c>
      <c r="B7" s="164">
        <v>8.8999999999999996E-2</v>
      </c>
      <c r="C7" s="170">
        <v>0.77597173144876319</v>
      </c>
      <c r="D7" s="175">
        <v>0.46855123674911658</v>
      </c>
      <c r="E7" s="166">
        <v>0.50405321139056325</v>
      </c>
      <c r="F7" s="167">
        <f>'Commodity Costs Avoided Detail'!N5</f>
        <v>3.1490690546105955</v>
      </c>
      <c r="G7" s="168">
        <v>0.51951102983078057</v>
      </c>
      <c r="H7" s="179">
        <v>5.8393499999999996</v>
      </c>
      <c r="I7" s="174">
        <f>('Greenhouse Gas Costs Avoided De'!O4)</f>
        <v>5.41224747035979</v>
      </c>
      <c r="J7" s="138">
        <v>1.0833494547972178</v>
      </c>
      <c r="K7" s="139">
        <f t="shared" si="41"/>
        <v>2.4735840866923153E-2</v>
      </c>
      <c r="L7" s="129"/>
      <c r="M7" s="7">
        <f t="shared" si="42"/>
        <v>2024</v>
      </c>
      <c r="N7" s="8">
        <f t="shared" si="0"/>
        <v>0.6442738338206585</v>
      </c>
      <c r="O7" s="8">
        <f t="shared" si="0"/>
        <v>0.6442738338206585</v>
      </c>
      <c r="P7" s="8">
        <f t="shared" si="1"/>
        <v>0.57472154494229177</v>
      </c>
      <c r="Q7" s="8">
        <f t="shared" si="2"/>
        <v>0.10720049999999999</v>
      </c>
      <c r="R7" s="8">
        <f t="shared" si="3"/>
        <v>0.11570000000000001</v>
      </c>
      <c r="S7" s="8">
        <f t="shared" si="4"/>
        <v>8.8999999999999996E-2</v>
      </c>
      <c r="T7" s="8">
        <f t="shared" si="5"/>
        <v>8.8999999999999996E-2</v>
      </c>
      <c r="U7" s="8">
        <f t="shared" si="6"/>
        <v>0.6442738338206585</v>
      </c>
      <c r="V7" s="8">
        <f t="shared" si="6"/>
        <v>0.6442738338206585</v>
      </c>
      <c r="W7" s="8">
        <f t="shared" si="7"/>
        <v>0.57472154494229177</v>
      </c>
      <c r="X7" s="8">
        <f t="shared" si="8"/>
        <v>0.10720049999999999</v>
      </c>
      <c r="Y7" s="8">
        <f t="shared" si="9"/>
        <v>0.11570000000000001</v>
      </c>
      <c r="Z7" s="8">
        <f t="shared" si="10"/>
        <v>8.8999999999999996E-2</v>
      </c>
      <c r="AA7" s="8">
        <f t="shared" si="11"/>
        <v>8.8999999999999996E-2</v>
      </c>
      <c r="AB7" s="48"/>
      <c r="AC7" s="7">
        <f t="shared" si="43"/>
        <v>2024</v>
      </c>
      <c r="AD7" s="8">
        <f t="shared" si="12"/>
        <v>4.71776518398263</v>
      </c>
      <c r="AE7" s="8">
        <f t="shared" si="13"/>
        <v>2.3743001252723031</v>
      </c>
      <c r="AF7" s="8">
        <f t="shared" si="14"/>
        <v>5.6890697806849353</v>
      </c>
      <c r="AG7" s="8">
        <f t="shared" si="15"/>
        <v>1.0661644757207067</v>
      </c>
      <c r="AH7" s="8">
        <f t="shared" si="16"/>
        <v>2.9237597173144878</v>
      </c>
      <c r="AI7" s="8">
        <f t="shared" si="17"/>
        <v>0.46855123674911658</v>
      </c>
      <c r="AJ7" s="8">
        <f t="shared" si="18"/>
        <v>0.46855123674911658</v>
      </c>
      <c r="AK7" s="8">
        <f t="shared" si="19"/>
        <v>7.8131314811658026</v>
      </c>
      <c r="AL7" s="8">
        <f t="shared" si="20"/>
        <v>3.932098849998475</v>
      </c>
      <c r="AM7" s="8">
        <f t="shared" si="21"/>
        <v>9.4217173743469971</v>
      </c>
      <c r="AN7" s="8">
        <f t="shared" si="22"/>
        <v>1.7656841543609891</v>
      </c>
      <c r="AO7" s="8">
        <f t="shared" si="23"/>
        <v>4.8420636042402831</v>
      </c>
      <c r="AP7" s="8">
        <f t="shared" si="24"/>
        <v>0.77597173144876308</v>
      </c>
      <c r="AQ7" s="8">
        <f t="shared" si="25"/>
        <v>0.77597173144876308</v>
      </c>
      <c r="AS7" s="7">
        <f t="shared" si="44"/>
        <v>2024</v>
      </c>
      <c r="AT7" s="8">
        <f t="shared" si="26"/>
        <v>5.3620390178032888</v>
      </c>
      <c r="AU7" s="8">
        <f t="shared" si="27"/>
        <v>3.0185739590929614</v>
      </c>
      <c r="AV7" s="8">
        <f t="shared" si="28"/>
        <v>6.2637913256272268</v>
      </c>
      <c r="AW7" s="8">
        <f t="shared" si="29"/>
        <v>1.1733649757207067</v>
      </c>
      <c r="AX7" s="8">
        <f t="shared" si="30"/>
        <v>3.0394597173144877</v>
      </c>
      <c r="AY7" s="8">
        <f t="shared" si="31"/>
        <v>0.55755123674911655</v>
      </c>
      <c r="AZ7" s="8">
        <f t="shared" si="32"/>
        <v>8.4574053149864614</v>
      </c>
      <c r="BA7" s="8">
        <f t="shared" si="33"/>
        <v>4.5763726838191339</v>
      </c>
      <c r="BB7" s="8">
        <f t="shared" si="34"/>
        <v>9.9964389192892895</v>
      </c>
      <c r="BC7" s="8">
        <f t="shared" si="35"/>
        <v>1.8728846543609892</v>
      </c>
      <c r="BD7" s="8">
        <f t="shared" si="36"/>
        <v>4.9577636042402835</v>
      </c>
      <c r="BE7" s="8">
        <f t="shared" si="37"/>
        <v>0.86497173144876305</v>
      </c>
      <c r="BF7" s="48"/>
      <c r="BG7" s="7">
        <f t="shared" si="45"/>
        <v>2024</v>
      </c>
      <c r="BH7" s="8">
        <f>(('Commodity Costs Avoided Detail'!$AE5+AT7)*0.1)</f>
        <v>0.88745430094800948</v>
      </c>
      <c r="BI7" s="8">
        <f>(('Commodity Costs Avoided Detail'!$AE5+AU7)*0.1)</f>
        <v>0.65310779507697669</v>
      </c>
      <c r="BJ7" s="8">
        <f>(('Commodity Costs Avoided Detail'!AE5+AV7)*0.1)</f>
        <v>0.97762953173040334</v>
      </c>
      <c r="BK7" s="8">
        <f>(('Commodity Costs Avoided Detail'!AF5+AW7)*0.1)</f>
        <v>0.43553887395114438</v>
      </c>
      <c r="BL7" s="8">
        <f>(('Commodity Costs Avoided Detail'!AG5+AX7)*0.1)</f>
        <v>0.61885287719250837</v>
      </c>
      <c r="BM7" s="8">
        <f>(('Commodity Costs Avoided Detail'!AH5+AY7)*0.1)</f>
        <v>0.37066202913597124</v>
      </c>
      <c r="BN7" s="8">
        <f>(('Commodity Costs Avoided Detail'!AH5)*0.1)</f>
        <v>0.31490690546105959</v>
      </c>
      <c r="BO7" s="8">
        <f>(('Commodity Costs Avoided Detail'!AE5+AZ7)*0.1)</f>
        <v>1.1969909306663267</v>
      </c>
      <c r="BP7" s="8">
        <f>(('Commodity Costs Avoided Detail'!AE5+BA7)*0.1)</f>
        <v>0.80888766754959396</v>
      </c>
      <c r="BQ7" s="8">
        <f>(('Commodity Costs Avoided Detail'!AE5+BB7)*0.1)</f>
        <v>1.3508942910966095</v>
      </c>
      <c r="BR7" s="8">
        <f>(('Commodity Costs Avoided Detail'!AF5+BC7)*0.1)</f>
        <v>0.50549084181517268</v>
      </c>
      <c r="BS7" s="8">
        <f>(('Commodity Costs Avoided Detail'!AG5+BD7)*0.1)</f>
        <v>0.81068326588508788</v>
      </c>
      <c r="BT7" s="8">
        <f>(('Commodity Costs Avoided Detail'!AH5+BE7)*0.1)</f>
        <v>0.40140407860593585</v>
      </c>
      <c r="BU7" s="8">
        <f>(('Commodity Costs Avoided Detail'!AH5)*0.1)</f>
        <v>0.31490690546105959</v>
      </c>
      <c r="BV7" s="48"/>
      <c r="BW7" s="7">
        <f t="shared" si="46"/>
        <v>2024</v>
      </c>
      <c r="BX7" s="158">
        <f>'Commodity Costs Avoided Detail'!$AE5+AT7+$H7+BH7+$G7</f>
        <v>16.120858340258884</v>
      </c>
      <c r="BY7" s="158">
        <f>'Commodity Costs Avoided Detail'!$AE5+AU7+$H7+BI7+$G7</f>
        <v>13.543046775677524</v>
      </c>
      <c r="BZ7" s="158">
        <f>'Commodity Costs Avoided Detail'!AE5+AV7+$H7+BJ7+G7</f>
        <v>17.112785878865218</v>
      </c>
      <c r="CA7" s="158">
        <f>'Commodity Costs Avoided Detail'!AF5+AW7+$H7+BK7+$G7</f>
        <v>11.149788643293368</v>
      </c>
      <c r="CB7" s="158">
        <f>'Commodity Costs Avoided Detail'!AG5+AX7+$H7+BL7+$G7</f>
        <v>13.166242678948372</v>
      </c>
      <c r="CC7" s="158">
        <f>'Commodity Costs Avoided Detail'!AH5+AY7+$H7+BM7+$G7</f>
        <v>10.436143350326464</v>
      </c>
      <c r="CD7" s="158">
        <f>'Commodity Costs Avoided Detail'!AH5+$H7+BN7+$G7</f>
        <v>9.8228369899024361</v>
      </c>
      <c r="CE7" s="160">
        <f>'Commodity Costs Avoided Detail'!$AE5+AZ7+$I7+BO7+$G7</f>
        <v>19.098658737520164</v>
      </c>
      <c r="CF7" s="160">
        <f>'Commodity Costs Avoided Detail'!$AE5+BA7+$I7+BP7+$G7</f>
        <v>14.829522843236106</v>
      </c>
      <c r="CG7" s="160">
        <f>'Commodity Costs Avoided Detail'!AE5+BB7+$I7+BQ7+$G7</f>
        <v>20.791595702253275</v>
      </c>
      <c r="CH7" s="160">
        <f>'Commodity Costs Avoided Detail'!AF5+BC7+$I7+BR7+$G7</f>
        <v>11.49215776015747</v>
      </c>
      <c r="CI7" s="160">
        <f>'Commodity Costs Avoided Detail'!AG5+BD7+$I7+BS7+$G7</f>
        <v>14.849274424926536</v>
      </c>
      <c r="CJ7" s="160">
        <f>'Commodity Costs Avoided Detail'!AH5+BE7+$I7+BT7+$G7</f>
        <v>10.347203364855865</v>
      </c>
      <c r="CK7" s="160">
        <f>'Commodity Costs Avoided Detail'!AH5+$I7+BU7+$G7</f>
        <v>9.3957344602622257</v>
      </c>
      <c r="CM7" s="285"/>
      <c r="CN7" s="64" t="s">
        <v>10</v>
      </c>
      <c r="CO7" s="12">
        <f>'Commodity Costs Avoided Detail'!AE32</f>
        <v>3.8299224279091697</v>
      </c>
      <c r="CP7" s="288"/>
      <c r="CQ7" s="288"/>
      <c r="CR7" s="12">
        <f>P34</f>
        <v>0.57472154494229122</v>
      </c>
      <c r="CS7" s="60">
        <f>AF34</f>
        <v>5.6890697806849282</v>
      </c>
      <c r="CT7" s="56">
        <f>BJ34</f>
        <v>1.0093713753536389</v>
      </c>
      <c r="CU7" s="13">
        <f t="shared" si="38"/>
        <v>19.573142532020206</v>
      </c>
      <c r="CV7" s="51"/>
      <c r="CW7" s="291"/>
      <c r="CX7" s="69" t="str">
        <f t="shared" si="47"/>
        <v>Commercial Space Heating</v>
      </c>
      <c r="CY7" s="76">
        <f t="shared" si="47"/>
        <v>3.8299224279091697</v>
      </c>
      <c r="CZ7" s="76">
        <f t="shared" ref="CZ7:CZ11" si="51">CZ6</f>
        <v>7.6081257875462978</v>
      </c>
      <c r="DA7" s="76">
        <f t="shared" si="48"/>
        <v>0.86193161558388465</v>
      </c>
      <c r="DB7" s="76">
        <f t="shared" si="49"/>
        <v>0.57472154494229122</v>
      </c>
      <c r="DC7" s="76">
        <f t="shared" si="49"/>
        <v>5.6890697806849282</v>
      </c>
      <c r="DD7" s="77">
        <f t="shared" si="49"/>
        <v>1.0093713753536389</v>
      </c>
      <c r="DE7" s="78">
        <f t="shared" si="50"/>
        <v>19.573142532020206</v>
      </c>
    </row>
    <row r="8" spans="1:109" ht="13.7" customHeight="1" x14ac:dyDescent="0.25">
      <c r="A8" s="84">
        <f t="shared" si="40"/>
        <v>2025</v>
      </c>
      <c r="B8" s="164">
        <v>8.8999999999999996E-2</v>
      </c>
      <c r="C8" s="170">
        <v>0.77597173144876319</v>
      </c>
      <c r="D8" s="175">
        <v>0.46855123674911658</v>
      </c>
      <c r="E8" s="166">
        <v>0.50405321139056325</v>
      </c>
      <c r="F8" s="167">
        <f>'Commodity Costs Avoided Detail'!N6</f>
        <v>3.34026984609168</v>
      </c>
      <c r="G8" s="168">
        <v>0.60491283279708652</v>
      </c>
      <c r="H8" s="179">
        <v>5.8924349999999999</v>
      </c>
      <c r="I8" s="174">
        <f>('Greenhouse Gas Costs Avoided De'!O5)</f>
        <v>5.5136478913501366</v>
      </c>
      <c r="J8" s="138">
        <v>1.1100788378602713</v>
      </c>
      <c r="K8" s="139">
        <f t="shared" si="41"/>
        <v>2.4672909507354419E-2</v>
      </c>
      <c r="L8" s="129"/>
      <c r="M8" s="7">
        <f t="shared" si="42"/>
        <v>2025</v>
      </c>
      <c r="N8" s="8">
        <f t="shared" si="0"/>
        <v>0.6442738338206585</v>
      </c>
      <c r="O8" s="8">
        <f t="shared" si="0"/>
        <v>0.6442738338206585</v>
      </c>
      <c r="P8" s="8">
        <f t="shared" si="1"/>
        <v>0.57472154494229177</v>
      </c>
      <c r="Q8" s="8">
        <f t="shared" si="2"/>
        <v>0.10720049999999999</v>
      </c>
      <c r="R8" s="8">
        <f t="shared" si="3"/>
        <v>0.11570000000000001</v>
      </c>
      <c r="S8" s="8">
        <f t="shared" si="4"/>
        <v>8.8999999999999996E-2</v>
      </c>
      <c r="T8" s="8">
        <f t="shared" si="5"/>
        <v>8.8999999999999996E-2</v>
      </c>
      <c r="U8" s="8">
        <f t="shared" si="6"/>
        <v>0.6442738338206585</v>
      </c>
      <c r="V8" s="8">
        <f t="shared" si="6"/>
        <v>0.6442738338206585</v>
      </c>
      <c r="W8" s="8">
        <f t="shared" si="7"/>
        <v>0.57472154494229177</v>
      </c>
      <c r="X8" s="8">
        <f t="shared" si="8"/>
        <v>0.10720049999999999</v>
      </c>
      <c r="Y8" s="8">
        <f t="shared" si="9"/>
        <v>0.11570000000000001</v>
      </c>
      <c r="Z8" s="8">
        <f t="shared" si="10"/>
        <v>8.8999999999999996E-2</v>
      </c>
      <c r="AA8" s="8">
        <f t="shared" si="11"/>
        <v>8.8999999999999996E-2</v>
      </c>
      <c r="AB8" s="48"/>
      <c r="AC8" s="7">
        <f t="shared" si="43"/>
        <v>2025</v>
      </c>
      <c r="AD8" s="8">
        <f t="shared" si="12"/>
        <v>4.71776518398263</v>
      </c>
      <c r="AE8" s="8">
        <f t="shared" si="13"/>
        <v>2.3743001252723031</v>
      </c>
      <c r="AF8" s="8">
        <f t="shared" si="14"/>
        <v>5.6890697806849353</v>
      </c>
      <c r="AG8" s="8">
        <f t="shared" si="15"/>
        <v>1.0661644757207067</v>
      </c>
      <c r="AH8" s="8">
        <f t="shared" si="16"/>
        <v>2.9237597173144878</v>
      </c>
      <c r="AI8" s="8">
        <f t="shared" si="17"/>
        <v>0.46855123674911658</v>
      </c>
      <c r="AJ8" s="8">
        <f t="shared" si="18"/>
        <v>0.46855123674911658</v>
      </c>
      <c r="AK8" s="8">
        <f t="shared" si="19"/>
        <v>7.8131314811658026</v>
      </c>
      <c r="AL8" s="8">
        <f t="shared" si="20"/>
        <v>3.932098849998475</v>
      </c>
      <c r="AM8" s="8">
        <f t="shared" si="21"/>
        <v>9.4217173743469971</v>
      </c>
      <c r="AN8" s="8">
        <f t="shared" si="22"/>
        <v>1.7656841543609891</v>
      </c>
      <c r="AO8" s="8">
        <f t="shared" si="23"/>
        <v>4.8420636042402831</v>
      </c>
      <c r="AP8" s="8">
        <f t="shared" si="24"/>
        <v>0.77597173144876308</v>
      </c>
      <c r="AQ8" s="8">
        <f t="shared" si="25"/>
        <v>0.77597173144876308</v>
      </c>
      <c r="AS8" s="7">
        <f t="shared" si="44"/>
        <v>2025</v>
      </c>
      <c r="AT8" s="8">
        <f t="shared" si="26"/>
        <v>5.3620390178032888</v>
      </c>
      <c r="AU8" s="8">
        <f t="shared" si="27"/>
        <v>3.0185739590929614</v>
      </c>
      <c r="AV8" s="8">
        <f t="shared" si="28"/>
        <v>6.2637913256272268</v>
      </c>
      <c r="AW8" s="8">
        <f t="shared" si="29"/>
        <v>1.1733649757207067</v>
      </c>
      <c r="AX8" s="8">
        <f t="shared" si="30"/>
        <v>3.0394597173144877</v>
      </c>
      <c r="AY8" s="8">
        <f t="shared" si="31"/>
        <v>0.55755123674911655</v>
      </c>
      <c r="AZ8" s="8">
        <f t="shared" si="32"/>
        <v>8.4574053149864614</v>
      </c>
      <c r="BA8" s="8">
        <f t="shared" si="33"/>
        <v>4.5763726838191339</v>
      </c>
      <c r="BB8" s="8">
        <f t="shared" si="34"/>
        <v>9.9964389192892895</v>
      </c>
      <c r="BC8" s="8">
        <f t="shared" si="35"/>
        <v>1.8728846543609892</v>
      </c>
      <c r="BD8" s="8">
        <f t="shared" si="36"/>
        <v>4.9577636042402835</v>
      </c>
      <c r="BE8" s="8">
        <f t="shared" si="37"/>
        <v>0.86497173144876305</v>
      </c>
      <c r="BF8" s="48"/>
      <c r="BG8" s="7">
        <f t="shared" si="45"/>
        <v>2025</v>
      </c>
      <c r="BH8" s="8">
        <f>(('Commodity Costs Avoided Detail'!$AE6+AT8)*0.1)</f>
        <v>0.89763420958012186</v>
      </c>
      <c r="BI8" s="8">
        <f>(('Commodity Costs Avoided Detail'!$AE6+AU8)*0.1)</f>
        <v>0.66328770370908907</v>
      </c>
      <c r="BJ8" s="8">
        <f>(('Commodity Costs Avoided Detail'!AE6+AV8)*0.1)</f>
        <v>0.98780944036251561</v>
      </c>
      <c r="BK8" s="8">
        <f>(('Commodity Costs Avoided Detail'!AF6+AW8)*0.1)</f>
        <v>0.45428439662691888</v>
      </c>
      <c r="BL8" s="8">
        <f>(('Commodity Costs Avoided Detail'!AG6+AX8)*0.1)</f>
        <v>0.6379729563406169</v>
      </c>
      <c r="BM8" s="8">
        <f>(('Commodity Costs Avoided Detail'!AH6+AY8)*0.1)</f>
        <v>0.38978210828407972</v>
      </c>
      <c r="BN8" s="8">
        <f>(('Commodity Costs Avoided Detail'!AH6)*0.1)</f>
        <v>0.33402698460916808</v>
      </c>
      <c r="BO8" s="8">
        <f>(('Commodity Costs Avoided Detail'!AE6+AZ8)*0.1)</f>
        <v>1.2071708392984393</v>
      </c>
      <c r="BP8" s="8">
        <f>(('Commodity Costs Avoided Detail'!AE6+BA8)*0.1)</f>
        <v>0.81906757618170623</v>
      </c>
      <c r="BQ8" s="8">
        <f>(('Commodity Costs Avoided Detail'!AE6+BB8)*0.1)</f>
        <v>1.3610741997287219</v>
      </c>
      <c r="BR8" s="8">
        <f>(('Commodity Costs Avoided Detail'!AF6+BC8)*0.1)</f>
        <v>0.52423636449094724</v>
      </c>
      <c r="BS8" s="8">
        <f>(('Commodity Costs Avoided Detail'!AG6+BD8)*0.1)</f>
        <v>0.82980334503319642</v>
      </c>
      <c r="BT8" s="8">
        <f>(('Commodity Costs Avoided Detail'!AH6+BE8)*0.1)</f>
        <v>0.42052415775404434</v>
      </c>
      <c r="BU8" s="8">
        <f>(('Commodity Costs Avoided Detail'!AH6)*0.1)</f>
        <v>0.33402698460916808</v>
      </c>
      <c r="BV8" s="48"/>
      <c r="BW8" s="7">
        <f t="shared" si="46"/>
        <v>2025</v>
      </c>
      <c r="BX8" s="158">
        <f>'Commodity Costs Avoided Detail'!$AE6+AT8+$H8+BH8+$G8</f>
        <v>16.371324138178426</v>
      </c>
      <c r="BY8" s="158">
        <f>'Commodity Costs Avoided Detail'!$AE6+AU8+$H8+BI8+$G8</f>
        <v>13.793512573597067</v>
      </c>
      <c r="BZ8" s="158">
        <f>'Commodity Costs Avoided Detail'!AE6+AV8+$H8+BJ8+G8</f>
        <v>17.363251676784756</v>
      </c>
      <c r="CA8" s="158">
        <f>'Commodity Costs Avoided Detail'!AF6+AW8+$H8+BK8+$G8</f>
        <v>11.494476195693194</v>
      </c>
      <c r="CB8" s="158">
        <f>'Commodity Costs Avoided Detail'!AG6+AX8+$H8+BL8+$G8</f>
        <v>13.515050352543872</v>
      </c>
      <c r="CC8" s="158">
        <f>'Commodity Costs Avoided Detail'!AH6+AY8+$H8+BM8+$G8</f>
        <v>10.784951023921963</v>
      </c>
      <c r="CD8" s="158">
        <f>'Commodity Costs Avoided Detail'!AH6+$H8+BN8+$G8</f>
        <v>10.171644663497935</v>
      </c>
      <c r="CE8" s="160">
        <f>'Commodity Costs Avoided Detail'!$AE6+AZ8+$I8+BO8+$G8</f>
        <v>19.397439956430052</v>
      </c>
      <c r="CF8" s="160">
        <f>'Commodity Costs Avoided Detail'!$AE6+BA8+$I8+BP8+$G8</f>
        <v>15.12830406214599</v>
      </c>
      <c r="CG8" s="160">
        <f>'Commodity Costs Avoided Detail'!AE6+BB8+$I8+BQ8+$G8</f>
        <v>21.090376921163163</v>
      </c>
      <c r="CH8" s="160">
        <f>'Commodity Costs Avoided Detail'!AF6+BC8+$I8+BR8+$G8</f>
        <v>11.885160733547643</v>
      </c>
      <c r="CI8" s="160">
        <f>'Commodity Costs Avoided Detail'!AG6+BD8+$I8+BS8+$G8</f>
        <v>15.246397519512383</v>
      </c>
      <c r="CJ8" s="160">
        <f>'Commodity Costs Avoided Detail'!AH6+BE8+$I8+BT8+$G8</f>
        <v>10.744326459441712</v>
      </c>
      <c r="CK8" s="160">
        <f>'Commodity Costs Avoided Detail'!AH6+$I8+BU8+$G8</f>
        <v>9.7928575548480712</v>
      </c>
      <c r="CM8" s="285"/>
      <c r="CN8" s="64" t="s">
        <v>11</v>
      </c>
      <c r="CO8" s="12">
        <f>'Commodity Costs Avoided Detail'!AF32</f>
        <v>3.5794649306708504</v>
      </c>
      <c r="CP8" s="288"/>
      <c r="CQ8" s="288"/>
      <c r="CR8" s="12">
        <f>Q34</f>
        <v>0.10720049999999989</v>
      </c>
      <c r="CS8" s="60">
        <f>AG34</f>
        <v>1.0661644757207054</v>
      </c>
      <c r="CT8" s="56">
        <f>BK34</f>
        <v>0.47528299063915569</v>
      </c>
      <c r="CU8" s="13">
        <f t="shared" si="38"/>
        <v>13.698170300160895</v>
      </c>
      <c r="CV8" s="51"/>
      <c r="CW8" s="291"/>
      <c r="CX8" s="69" t="str">
        <f t="shared" si="47"/>
        <v>Water Heating</v>
      </c>
      <c r="CY8" s="76">
        <f t="shared" si="47"/>
        <v>3.5794649306708504</v>
      </c>
      <c r="CZ8" s="76">
        <f t="shared" si="51"/>
        <v>7.6081257875462978</v>
      </c>
      <c r="DA8" s="76">
        <f t="shared" si="48"/>
        <v>0.86193161558388465</v>
      </c>
      <c r="DB8" s="76">
        <f t="shared" si="49"/>
        <v>0.10720049999999989</v>
      </c>
      <c r="DC8" s="76">
        <f t="shared" si="49"/>
        <v>1.0661644757207054</v>
      </c>
      <c r="DD8" s="77">
        <f t="shared" si="49"/>
        <v>0.47528299063915569</v>
      </c>
      <c r="DE8" s="78">
        <f t="shared" si="50"/>
        <v>13.698170300160895</v>
      </c>
    </row>
    <row r="9" spans="1:109" ht="13.7" customHeight="1" x14ac:dyDescent="0.25">
      <c r="A9" s="84">
        <f t="shared" si="40"/>
        <v>2026</v>
      </c>
      <c r="B9" s="164">
        <v>8.8999999999999996E-2</v>
      </c>
      <c r="C9" s="170">
        <v>0.77597173144876319</v>
      </c>
      <c r="D9" s="175">
        <v>0.46855123674911658</v>
      </c>
      <c r="E9" s="166">
        <v>0.50405321139056325</v>
      </c>
      <c r="F9" s="167">
        <f>'Commodity Costs Avoided Detail'!N7</f>
        <v>3.103574236789568</v>
      </c>
      <c r="G9" s="168">
        <v>0.65921210473504832</v>
      </c>
      <c r="H9" s="179">
        <v>5.9455200000000001</v>
      </c>
      <c r="I9" s="174">
        <f>('Greenhouse Gas Costs Avoided De'!O6)</f>
        <v>5.6023732597166909</v>
      </c>
      <c r="J9" s="138">
        <v>1.1366351289586998</v>
      </c>
      <c r="K9" s="139">
        <f t="shared" si="41"/>
        <v>2.3922887449703108E-2</v>
      </c>
      <c r="L9" s="129"/>
      <c r="M9" s="7">
        <f t="shared" si="42"/>
        <v>2026</v>
      </c>
      <c r="N9" s="8">
        <f t="shared" si="0"/>
        <v>0.6442738338206585</v>
      </c>
      <c r="O9" s="8">
        <f t="shared" si="0"/>
        <v>0.6442738338206585</v>
      </c>
      <c r="P9" s="8">
        <f t="shared" si="1"/>
        <v>0.57472154494229177</v>
      </c>
      <c r="Q9" s="8">
        <f t="shared" si="2"/>
        <v>0.10720049999999999</v>
      </c>
      <c r="R9" s="8">
        <f t="shared" si="3"/>
        <v>0.11570000000000001</v>
      </c>
      <c r="S9" s="8">
        <f t="shared" si="4"/>
        <v>8.8999999999999996E-2</v>
      </c>
      <c r="T9" s="8">
        <f t="shared" si="5"/>
        <v>8.8999999999999996E-2</v>
      </c>
      <c r="U9" s="8">
        <f t="shared" si="6"/>
        <v>0.6442738338206585</v>
      </c>
      <c r="V9" s="8">
        <f t="shared" si="6"/>
        <v>0.6442738338206585</v>
      </c>
      <c r="W9" s="8">
        <f t="shared" si="7"/>
        <v>0.57472154494229177</v>
      </c>
      <c r="X9" s="8">
        <f t="shared" si="8"/>
        <v>0.10720049999999999</v>
      </c>
      <c r="Y9" s="8">
        <f t="shared" si="9"/>
        <v>0.11570000000000001</v>
      </c>
      <c r="Z9" s="8">
        <f t="shared" si="10"/>
        <v>8.8999999999999996E-2</v>
      </c>
      <c r="AA9" s="8">
        <f t="shared" si="11"/>
        <v>8.8999999999999996E-2</v>
      </c>
      <c r="AB9" s="48"/>
      <c r="AC9" s="7">
        <f t="shared" si="43"/>
        <v>2026</v>
      </c>
      <c r="AD9" s="8">
        <f t="shared" si="12"/>
        <v>4.71776518398263</v>
      </c>
      <c r="AE9" s="8">
        <f t="shared" si="13"/>
        <v>2.3743001252723031</v>
      </c>
      <c r="AF9" s="8">
        <f t="shared" si="14"/>
        <v>5.6890697806849353</v>
      </c>
      <c r="AG9" s="8">
        <f t="shared" si="15"/>
        <v>1.0661644757207067</v>
      </c>
      <c r="AH9" s="8">
        <f t="shared" si="16"/>
        <v>2.9237597173144878</v>
      </c>
      <c r="AI9" s="8">
        <f t="shared" si="17"/>
        <v>0.46855123674911658</v>
      </c>
      <c r="AJ9" s="8">
        <f t="shared" si="18"/>
        <v>0.46855123674911658</v>
      </c>
      <c r="AK9" s="8">
        <f t="shared" si="19"/>
        <v>7.8131314811658026</v>
      </c>
      <c r="AL9" s="8">
        <f t="shared" si="20"/>
        <v>3.932098849998475</v>
      </c>
      <c r="AM9" s="8">
        <f t="shared" si="21"/>
        <v>9.4217173743469971</v>
      </c>
      <c r="AN9" s="8">
        <f t="shared" si="22"/>
        <v>1.7656841543609891</v>
      </c>
      <c r="AO9" s="8">
        <f t="shared" si="23"/>
        <v>4.8420636042402831</v>
      </c>
      <c r="AP9" s="8">
        <f t="shared" si="24"/>
        <v>0.77597173144876308</v>
      </c>
      <c r="AQ9" s="8">
        <f t="shared" si="25"/>
        <v>0.77597173144876308</v>
      </c>
      <c r="AS9" s="7">
        <f t="shared" si="44"/>
        <v>2026</v>
      </c>
      <c r="AT9" s="8">
        <f t="shared" si="26"/>
        <v>5.3620390178032888</v>
      </c>
      <c r="AU9" s="8">
        <f t="shared" si="27"/>
        <v>3.0185739590929614</v>
      </c>
      <c r="AV9" s="8">
        <f t="shared" si="28"/>
        <v>6.2637913256272268</v>
      </c>
      <c r="AW9" s="8">
        <f t="shared" si="29"/>
        <v>1.1733649757207067</v>
      </c>
      <c r="AX9" s="8">
        <f t="shared" si="30"/>
        <v>3.0394597173144877</v>
      </c>
      <c r="AY9" s="8">
        <f t="shared" si="31"/>
        <v>0.55755123674911655</v>
      </c>
      <c r="AZ9" s="8">
        <f t="shared" si="32"/>
        <v>8.4574053149864614</v>
      </c>
      <c r="BA9" s="8">
        <f t="shared" si="33"/>
        <v>4.5763726838191339</v>
      </c>
      <c r="BB9" s="8">
        <f t="shared" si="34"/>
        <v>9.9964389192892895</v>
      </c>
      <c r="BC9" s="8">
        <f t="shared" si="35"/>
        <v>1.8728846543609892</v>
      </c>
      <c r="BD9" s="8">
        <f t="shared" si="36"/>
        <v>4.9577636042402835</v>
      </c>
      <c r="BE9" s="8">
        <f t="shared" si="37"/>
        <v>0.86497173144876305</v>
      </c>
      <c r="BF9" s="48"/>
      <c r="BG9" s="7">
        <f t="shared" si="45"/>
        <v>2026</v>
      </c>
      <c r="BH9" s="8">
        <f>(('Commodity Costs Avoided Detail'!$AE7+AT9)*0.1)</f>
        <v>0.87694405596208225</v>
      </c>
      <c r="BI9" s="8">
        <f>(('Commodity Costs Avoided Detail'!$AE7+AU9)*0.1)</f>
        <v>0.64259755009104957</v>
      </c>
      <c r="BJ9" s="8">
        <f>(('Commodity Costs Avoided Detail'!AE7+AV9)*0.1)</f>
        <v>0.96711928674447611</v>
      </c>
      <c r="BK9" s="8">
        <f>(('Commodity Costs Avoided Detail'!AF7+AW9)*0.1)</f>
        <v>0.43071284094159917</v>
      </c>
      <c r="BL9" s="8">
        <f>(('Commodity Costs Avoided Detail'!AG7+AX9)*0.1)</f>
        <v>0.61430339541040557</v>
      </c>
      <c r="BM9" s="8">
        <f>(('Commodity Costs Avoided Detail'!AH7+AY9)*0.1)</f>
        <v>0.3661125473538685</v>
      </c>
      <c r="BN9" s="8">
        <f>(('Commodity Costs Avoided Detail'!AH7)*0.1)</f>
        <v>0.31035742367895686</v>
      </c>
      <c r="BO9" s="8">
        <f>(('Commodity Costs Avoided Detail'!AE7+AZ9)*0.1)</f>
        <v>1.1864806856803995</v>
      </c>
      <c r="BP9" s="8">
        <f>(('Commodity Costs Avoided Detail'!AE7+BA9)*0.1)</f>
        <v>0.79837742256366684</v>
      </c>
      <c r="BQ9" s="8">
        <f>(('Commodity Costs Avoided Detail'!AE7+BB9)*0.1)</f>
        <v>1.3403840461106826</v>
      </c>
      <c r="BR9" s="8">
        <f>(('Commodity Costs Avoided Detail'!AF7+BC9)*0.1)</f>
        <v>0.50066480880562747</v>
      </c>
      <c r="BS9" s="8">
        <f>(('Commodity Costs Avoided Detail'!AG7+BD9)*0.1)</f>
        <v>0.8061337841029852</v>
      </c>
      <c r="BT9" s="8">
        <f>(('Commodity Costs Avoided Detail'!AH7+BE9)*0.1)</f>
        <v>0.39685459682383317</v>
      </c>
      <c r="BU9" s="8">
        <f>(('Commodity Costs Avoided Detail'!AH7)*0.1)</f>
        <v>0.31035742367895686</v>
      </c>
      <c r="BV9" s="48"/>
      <c r="BW9" s="7">
        <f t="shared" si="46"/>
        <v>2026</v>
      </c>
      <c r="BX9" s="158">
        <f>'Commodity Costs Avoided Detail'!$AE7+AT9+$H9+BH9+$G9</f>
        <v>16.251116720317953</v>
      </c>
      <c r="BY9" s="158">
        <f>'Commodity Costs Avoided Detail'!$AE7+AU9+$H9+BI9+$G9</f>
        <v>13.673305155736593</v>
      </c>
      <c r="BZ9" s="158">
        <f>'Commodity Costs Avoided Detail'!AE7+AV9+$H9+BJ9+G9</f>
        <v>17.243044258924286</v>
      </c>
      <c r="CA9" s="158">
        <f>'Commodity Costs Avoided Detail'!AF7+AW9+$H9+BK9+$G9</f>
        <v>11.34257335509264</v>
      </c>
      <c r="CB9" s="158">
        <f>'Commodity Costs Avoided Detail'!AG7+AX9+$H9+BL9+$G9</f>
        <v>13.362069454249511</v>
      </c>
      <c r="CC9" s="158">
        <f>'Commodity Costs Avoided Detail'!AH7+AY9+$H9+BM9+$G9</f>
        <v>10.6319701256276</v>
      </c>
      <c r="CD9" s="158">
        <f>'Commodity Costs Avoided Detail'!AH7+$H9+BN9+$G9</f>
        <v>10.018663765203573</v>
      </c>
      <c r="CE9" s="160">
        <f>'Commodity Costs Avoided Detail'!$AE7+AZ9+$I9+BO9+$G9</f>
        <v>19.312872906936136</v>
      </c>
      <c r="CF9" s="160">
        <f>'Commodity Costs Avoided Detail'!$AE7+BA9+$I9+BP9+$G9</f>
        <v>15.043737012652073</v>
      </c>
      <c r="CG9" s="160">
        <f>'Commodity Costs Avoided Detail'!AE7+BB9+$I9+BQ9+$G9</f>
        <v>21.005809871669246</v>
      </c>
      <c r="CH9" s="160">
        <f>'Commodity Costs Avoided Detail'!AF7+BC9+$I9+BR9+$G9</f>
        <v>11.768898261313641</v>
      </c>
      <c r="CI9" s="160">
        <f>'Commodity Costs Avoided Detail'!AG7+BD9+$I9+BS9+$G9</f>
        <v>15.129056989584576</v>
      </c>
      <c r="CJ9" s="160">
        <f>'Commodity Costs Avoided Detail'!AH7+BE9+$I9+BT9+$G9</f>
        <v>10.626985929513904</v>
      </c>
      <c r="CK9" s="160">
        <f>'Commodity Costs Avoided Detail'!AH7+$I9+BU9+$G9</f>
        <v>9.6755170249202642</v>
      </c>
      <c r="CM9" s="285"/>
      <c r="CN9" s="64" t="s">
        <v>12</v>
      </c>
      <c r="CO9" s="12">
        <f>'Commodity Costs Avoided Detail'!AG32</f>
        <v>3.5535991045626965</v>
      </c>
      <c r="CP9" s="288"/>
      <c r="CQ9" s="288"/>
      <c r="CR9" s="12">
        <f>R34</f>
        <v>0.11569999999999987</v>
      </c>
      <c r="CS9" s="60">
        <f>AH34</f>
        <v>2.9237597173144843</v>
      </c>
      <c r="CT9" s="56">
        <f>BL34</f>
        <v>0.65930588218771835</v>
      </c>
      <c r="CU9" s="13">
        <f t="shared" si="38"/>
        <v>15.722422107195081</v>
      </c>
      <c r="CV9" s="51"/>
      <c r="CW9" s="291"/>
      <c r="CX9" s="69" t="str">
        <f t="shared" si="47"/>
        <v>Cooking</v>
      </c>
      <c r="CY9" s="76">
        <f t="shared" si="47"/>
        <v>3.5535991045626965</v>
      </c>
      <c r="CZ9" s="76">
        <f t="shared" si="51"/>
        <v>7.6081257875462978</v>
      </c>
      <c r="DA9" s="76">
        <f t="shared" si="48"/>
        <v>0.86193161558388465</v>
      </c>
      <c r="DB9" s="76">
        <f t="shared" si="49"/>
        <v>0.11569999999999987</v>
      </c>
      <c r="DC9" s="76">
        <f t="shared" si="49"/>
        <v>2.9237597173144843</v>
      </c>
      <c r="DD9" s="77">
        <f t="shared" si="49"/>
        <v>0.65930588218771835</v>
      </c>
      <c r="DE9" s="78">
        <f t="shared" si="50"/>
        <v>15.722422107195081</v>
      </c>
    </row>
    <row r="10" spans="1:109" ht="13.7" customHeight="1" x14ac:dyDescent="0.25">
      <c r="A10" s="84">
        <f t="shared" si="40"/>
        <v>2027</v>
      </c>
      <c r="B10" s="164">
        <v>8.8999999999999996E-2</v>
      </c>
      <c r="C10" s="170">
        <v>0.77597173144876319</v>
      </c>
      <c r="D10" s="175">
        <v>0.46855123674911658</v>
      </c>
      <c r="E10" s="166">
        <v>0.50405321139056325</v>
      </c>
      <c r="F10" s="167">
        <f>'Commodity Costs Avoided Detail'!N8</f>
        <v>3.105138429708683</v>
      </c>
      <c r="G10" s="168">
        <v>0.76463111022893226</v>
      </c>
      <c r="H10" s="179">
        <v>5.9986050000000004</v>
      </c>
      <c r="I10" s="174">
        <f>('Greenhouse Gas Costs Avoided De'!O7)</f>
        <v>5.6910986280832443</v>
      </c>
      <c r="J10" s="138">
        <v>1.1639123625102623</v>
      </c>
      <c r="K10" s="139">
        <f t="shared" si="41"/>
        <v>2.3998232024160553E-2</v>
      </c>
      <c r="L10" s="129"/>
      <c r="M10" s="7">
        <f t="shared" si="42"/>
        <v>2027</v>
      </c>
      <c r="N10" s="8">
        <f t="shared" si="0"/>
        <v>0.6442738338206585</v>
      </c>
      <c r="O10" s="8">
        <f t="shared" si="0"/>
        <v>0.6442738338206585</v>
      </c>
      <c r="P10" s="8">
        <f t="shared" si="1"/>
        <v>0.57472154494229177</v>
      </c>
      <c r="Q10" s="8">
        <f t="shared" si="2"/>
        <v>0.10720049999999999</v>
      </c>
      <c r="R10" s="8">
        <f t="shared" si="3"/>
        <v>0.11570000000000001</v>
      </c>
      <c r="S10" s="8">
        <f t="shared" si="4"/>
        <v>8.8999999999999996E-2</v>
      </c>
      <c r="T10" s="8">
        <f t="shared" si="5"/>
        <v>8.8999999999999996E-2</v>
      </c>
      <c r="U10" s="8">
        <f t="shared" si="6"/>
        <v>0.6442738338206585</v>
      </c>
      <c r="V10" s="8">
        <f t="shared" si="6"/>
        <v>0.6442738338206585</v>
      </c>
      <c r="W10" s="8">
        <f t="shared" si="7"/>
        <v>0.57472154494229177</v>
      </c>
      <c r="X10" s="8">
        <f t="shared" si="8"/>
        <v>0.10720049999999999</v>
      </c>
      <c r="Y10" s="8">
        <f t="shared" si="9"/>
        <v>0.11570000000000001</v>
      </c>
      <c r="Z10" s="8">
        <f t="shared" si="10"/>
        <v>8.8999999999999996E-2</v>
      </c>
      <c r="AA10" s="8">
        <f t="shared" si="11"/>
        <v>8.8999999999999996E-2</v>
      </c>
      <c r="AB10" s="48"/>
      <c r="AC10" s="7">
        <f t="shared" si="43"/>
        <v>2027</v>
      </c>
      <c r="AD10" s="8">
        <f t="shared" si="12"/>
        <v>4.71776518398263</v>
      </c>
      <c r="AE10" s="8">
        <f t="shared" si="13"/>
        <v>2.3743001252723031</v>
      </c>
      <c r="AF10" s="8">
        <f t="shared" si="14"/>
        <v>5.6890697806849353</v>
      </c>
      <c r="AG10" s="8">
        <f t="shared" si="15"/>
        <v>1.0661644757207067</v>
      </c>
      <c r="AH10" s="8">
        <f t="shared" si="16"/>
        <v>2.9237597173144878</v>
      </c>
      <c r="AI10" s="8">
        <f t="shared" si="17"/>
        <v>0.46855123674911658</v>
      </c>
      <c r="AJ10" s="8">
        <f t="shared" si="18"/>
        <v>0.46855123674911658</v>
      </c>
      <c r="AK10" s="8">
        <f t="shared" si="19"/>
        <v>7.8131314811658026</v>
      </c>
      <c r="AL10" s="8">
        <f t="shared" si="20"/>
        <v>3.932098849998475</v>
      </c>
      <c r="AM10" s="8">
        <f t="shared" si="21"/>
        <v>9.4217173743469971</v>
      </c>
      <c r="AN10" s="8">
        <f t="shared" si="22"/>
        <v>1.7656841543609891</v>
      </c>
      <c r="AO10" s="8">
        <f t="shared" si="23"/>
        <v>4.8420636042402831</v>
      </c>
      <c r="AP10" s="8">
        <f t="shared" si="24"/>
        <v>0.77597173144876308</v>
      </c>
      <c r="AQ10" s="8">
        <f t="shared" si="25"/>
        <v>0.77597173144876308</v>
      </c>
      <c r="AS10" s="7">
        <f t="shared" si="44"/>
        <v>2027</v>
      </c>
      <c r="AT10" s="8">
        <f t="shared" si="26"/>
        <v>5.3620390178032888</v>
      </c>
      <c r="AU10" s="8">
        <f t="shared" si="27"/>
        <v>3.0185739590929614</v>
      </c>
      <c r="AV10" s="8">
        <f t="shared" si="28"/>
        <v>6.2637913256272268</v>
      </c>
      <c r="AW10" s="8">
        <f t="shared" si="29"/>
        <v>1.1733649757207067</v>
      </c>
      <c r="AX10" s="8">
        <f t="shared" si="30"/>
        <v>3.0394597173144877</v>
      </c>
      <c r="AY10" s="8">
        <f t="shared" si="31"/>
        <v>0.55755123674911655</v>
      </c>
      <c r="AZ10" s="8">
        <f t="shared" si="32"/>
        <v>8.4574053149864614</v>
      </c>
      <c r="BA10" s="8">
        <f t="shared" si="33"/>
        <v>4.5763726838191339</v>
      </c>
      <c r="BB10" s="8">
        <f t="shared" si="34"/>
        <v>9.9964389192892895</v>
      </c>
      <c r="BC10" s="8">
        <f t="shared" si="35"/>
        <v>1.8728846543609892</v>
      </c>
      <c r="BD10" s="8">
        <f t="shared" si="36"/>
        <v>4.9577636042402835</v>
      </c>
      <c r="BE10" s="8">
        <f t="shared" si="37"/>
        <v>0.86497173144876305</v>
      </c>
      <c r="BF10" s="48"/>
      <c r="BG10" s="7">
        <f t="shared" si="45"/>
        <v>2027</v>
      </c>
      <c r="BH10" s="8">
        <f>(('Commodity Costs Avoided Detail'!$AE8+AT10)*0.1)</f>
        <v>0.87852994445893806</v>
      </c>
      <c r="BI10" s="8">
        <f>(('Commodity Costs Avoided Detail'!$AE8+AU10)*0.1)</f>
        <v>0.64418343858790539</v>
      </c>
      <c r="BJ10" s="8">
        <f>(('Commodity Costs Avoided Detail'!AE8+AV10)*0.1)</f>
        <v>0.96870517524133204</v>
      </c>
      <c r="BK10" s="8">
        <f>(('Commodity Costs Avoided Detail'!AF8+AW10)*0.1)</f>
        <v>0.43075123192322451</v>
      </c>
      <c r="BL10" s="8">
        <f>(('Commodity Costs Avoided Detail'!AG8+AX10)*0.1)</f>
        <v>0.61445981470231714</v>
      </c>
      <c r="BM10" s="8">
        <f>(('Commodity Costs Avoided Detail'!AH8+AY10)*0.1)</f>
        <v>0.36626896664578001</v>
      </c>
      <c r="BN10" s="8">
        <f>(('Commodity Costs Avoided Detail'!AH8)*0.1)</f>
        <v>0.31051384297086837</v>
      </c>
      <c r="BO10" s="8">
        <f>(('Commodity Costs Avoided Detail'!AE8+AZ10)*0.1)</f>
        <v>1.1880665741772554</v>
      </c>
      <c r="BP10" s="8">
        <f>(('Commodity Costs Avoided Detail'!AE8+BA10)*0.1)</f>
        <v>0.79996331106052265</v>
      </c>
      <c r="BQ10" s="8">
        <f>(('Commodity Costs Avoided Detail'!AE8+BB10)*0.1)</f>
        <v>1.3419699346075382</v>
      </c>
      <c r="BR10" s="8">
        <f>(('Commodity Costs Avoided Detail'!AF8+BC10)*0.1)</f>
        <v>0.50070319978725275</v>
      </c>
      <c r="BS10" s="8">
        <f>(('Commodity Costs Avoided Detail'!AG8+BD10)*0.1)</f>
        <v>0.80629020339489665</v>
      </c>
      <c r="BT10" s="8">
        <f>(('Commodity Costs Avoided Detail'!AH8+BE10)*0.1)</f>
        <v>0.39701101611574469</v>
      </c>
      <c r="BU10" s="8">
        <f>(('Commodity Costs Avoided Detail'!AH8)*0.1)</f>
        <v>0.31051384297086837</v>
      </c>
      <c r="BV10" s="48"/>
      <c r="BW10" s="7">
        <f t="shared" si="46"/>
        <v>2027</v>
      </c>
      <c r="BX10" s="158">
        <f>'Commodity Costs Avoided Detail'!$AE8+AT10+$H10+BH10+$G10</f>
        <v>16.427065499277251</v>
      </c>
      <c r="BY10" s="158">
        <f>'Commodity Costs Avoided Detail'!$AE8+AU10+$H10+BI10+$G10</f>
        <v>13.849253934695891</v>
      </c>
      <c r="BZ10" s="158">
        <f>'Commodity Costs Avoided Detail'!AE8+AV10+$H10+BJ10+G10</f>
        <v>17.418993037883585</v>
      </c>
      <c r="CA10" s="158">
        <f>'Commodity Costs Avoided Detail'!AF8+AW10+$H10+BK10+$G10</f>
        <v>11.501499661384404</v>
      </c>
      <c r="CB10" s="158">
        <f>'Commodity Costs Avoided Detail'!AG8+AX10+$H10+BL10+$G10</f>
        <v>13.52229407195442</v>
      </c>
      <c r="CC10" s="158">
        <f>'Commodity Costs Avoided Detail'!AH8+AY10+$H10+BM10+$G10</f>
        <v>10.792194743332512</v>
      </c>
      <c r="CD10" s="158">
        <f>'Commodity Costs Avoided Detail'!AH8+$H10+BN10+$G10</f>
        <v>10.178888382908486</v>
      </c>
      <c r="CE10" s="160">
        <f>'Commodity Costs Avoided Detail'!$AE8+AZ10+$I10+BO10+$G10</f>
        <v>19.524462054261988</v>
      </c>
      <c r="CF10" s="160">
        <f>'Commodity Costs Avoided Detail'!$AE8+BA10+$I10+BP10+$G10</f>
        <v>15.255326159977926</v>
      </c>
      <c r="CG10" s="160">
        <f>'Commodity Costs Avoided Detail'!AE8+BB10+$I10+BQ10+$G10</f>
        <v>21.217399018995096</v>
      </c>
      <c r="CH10" s="160">
        <f>'Commodity Costs Avoided Detail'!AF8+BC10+$I10+BR10+$G10</f>
        <v>11.963464935971956</v>
      </c>
      <c r="CI10" s="160">
        <f>'Commodity Costs Avoided Detail'!AG8+BD10+$I10+BS10+$G10</f>
        <v>15.324921975656039</v>
      </c>
      <c r="CJ10" s="160">
        <f>'Commodity Costs Avoided Detail'!AH8+BE10+$I10+BT10+$G10</f>
        <v>10.822850915585366</v>
      </c>
      <c r="CK10" s="160">
        <f>'Commodity Costs Avoided Detail'!AH8+$I10+BU10+$G10</f>
        <v>9.8713820109917272</v>
      </c>
      <c r="CM10" s="285"/>
      <c r="CN10" s="64" t="s">
        <v>13</v>
      </c>
      <c r="CO10" s="12">
        <f>'Commodity Costs Avoided Detail'!AH32</f>
        <v>3.5535991045626965</v>
      </c>
      <c r="CP10" s="288"/>
      <c r="CQ10" s="288"/>
      <c r="CR10" s="12">
        <f>S34</f>
        <v>8.8999999999999913E-2</v>
      </c>
      <c r="CS10" s="60">
        <f>AI34</f>
        <v>0.46855123674911614</v>
      </c>
      <c r="CT10" s="56">
        <f>BM34</f>
        <v>0.41111503413118122</v>
      </c>
      <c r="CU10" s="13">
        <f t="shared" si="38"/>
        <v>12.992322778573177</v>
      </c>
      <c r="CV10" s="51"/>
      <c r="CW10" s="291"/>
      <c r="CX10" s="69" t="str">
        <f t="shared" si="47"/>
        <v>Process Load</v>
      </c>
      <c r="CY10" s="76">
        <f t="shared" si="47"/>
        <v>3.5535991045626965</v>
      </c>
      <c r="CZ10" s="76">
        <f t="shared" si="51"/>
        <v>7.6081257875462978</v>
      </c>
      <c r="DA10" s="76">
        <f t="shared" si="48"/>
        <v>0.86193161558388465</v>
      </c>
      <c r="DB10" s="76">
        <f t="shared" si="49"/>
        <v>8.8999999999999913E-2</v>
      </c>
      <c r="DC10" s="76">
        <f t="shared" si="49"/>
        <v>0.46855123674911614</v>
      </c>
      <c r="DD10" s="77">
        <f t="shared" si="49"/>
        <v>0.41111503413118122</v>
      </c>
      <c r="DE10" s="78">
        <f t="shared" si="50"/>
        <v>12.992322778573177</v>
      </c>
    </row>
    <row r="11" spans="1:109" ht="13.7" customHeight="1" thickBot="1" x14ac:dyDescent="0.3">
      <c r="A11" s="84">
        <f t="shared" si="40"/>
        <v>2028</v>
      </c>
      <c r="B11" s="164">
        <v>8.8999999999999996E-2</v>
      </c>
      <c r="C11" s="170">
        <v>0.77597173144876319</v>
      </c>
      <c r="D11" s="175">
        <v>0.46855123674911658</v>
      </c>
      <c r="E11" s="166">
        <v>0.50405321139056325</v>
      </c>
      <c r="F11" s="167">
        <f>'Commodity Costs Avoided Detail'!N9</f>
        <v>3.1889589238785709</v>
      </c>
      <c r="G11" s="168">
        <v>0.72693201129516583</v>
      </c>
      <c r="H11" s="179">
        <v>6.0516899999999998</v>
      </c>
      <c r="I11" s="174">
        <f>('Greenhouse Gas Costs Avoided De'!O8)</f>
        <v>5.7798239964497986</v>
      </c>
      <c r="J11" s="138">
        <v>1.1917249367247595</v>
      </c>
      <c r="K11" s="139">
        <f t="shared" si="41"/>
        <v>2.3895763212371589E-2</v>
      </c>
      <c r="L11" s="129"/>
      <c r="M11" s="7">
        <f t="shared" si="42"/>
        <v>2028</v>
      </c>
      <c r="N11" s="8">
        <f t="shared" si="0"/>
        <v>0.6442738338206585</v>
      </c>
      <c r="O11" s="8">
        <f t="shared" si="0"/>
        <v>0.6442738338206585</v>
      </c>
      <c r="P11" s="8">
        <f t="shared" si="1"/>
        <v>0.57472154494229177</v>
      </c>
      <c r="Q11" s="8">
        <f t="shared" si="2"/>
        <v>0.10720049999999999</v>
      </c>
      <c r="R11" s="8">
        <f t="shared" si="3"/>
        <v>0.11570000000000001</v>
      </c>
      <c r="S11" s="8">
        <f t="shared" si="4"/>
        <v>8.8999999999999996E-2</v>
      </c>
      <c r="T11" s="8">
        <f t="shared" si="5"/>
        <v>8.8999999999999996E-2</v>
      </c>
      <c r="U11" s="8">
        <f t="shared" si="6"/>
        <v>0.6442738338206585</v>
      </c>
      <c r="V11" s="8">
        <f t="shared" si="6"/>
        <v>0.6442738338206585</v>
      </c>
      <c r="W11" s="8">
        <f t="shared" si="7"/>
        <v>0.57472154494229177</v>
      </c>
      <c r="X11" s="8">
        <f t="shared" si="8"/>
        <v>0.10720049999999999</v>
      </c>
      <c r="Y11" s="8">
        <f t="shared" si="9"/>
        <v>0.11570000000000001</v>
      </c>
      <c r="Z11" s="8">
        <f t="shared" si="10"/>
        <v>8.8999999999999996E-2</v>
      </c>
      <c r="AA11" s="8">
        <f t="shared" si="11"/>
        <v>8.8999999999999996E-2</v>
      </c>
      <c r="AB11" s="48"/>
      <c r="AC11" s="7">
        <f t="shared" si="43"/>
        <v>2028</v>
      </c>
      <c r="AD11" s="8">
        <f t="shared" si="12"/>
        <v>4.71776518398263</v>
      </c>
      <c r="AE11" s="8">
        <f t="shared" si="13"/>
        <v>2.3743001252723031</v>
      </c>
      <c r="AF11" s="8">
        <f t="shared" si="14"/>
        <v>5.6890697806849353</v>
      </c>
      <c r="AG11" s="8">
        <f t="shared" si="15"/>
        <v>1.0661644757207067</v>
      </c>
      <c r="AH11" s="8">
        <f t="shared" si="16"/>
        <v>2.9237597173144878</v>
      </c>
      <c r="AI11" s="8">
        <f t="shared" si="17"/>
        <v>0.46855123674911658</v>
      </c>
      <c r="AJ11" s="8">
        <f t="shared" si="18"/>
        <v>0.46855123674911658</v>
      </c>
      <c r="AK11" s="8">
        <f t="shared" si="19"/>
        <v>7.8131314811658026</v>
      </c>
      <c r="AL11" s="8">
        <f t="shared" si="20"/>
        <v>3.932098849998475</v>
      </c>
      <c r="AM11" s="8">
        <f t="shared" si="21"/>
        <v>9.4217173743469971</v>
      </c>
      <c r="AN11" s="8">
        <f t="shared" si="22"/>
        <v>1.7656841543609891</v>
      </c>
      <c r="AO11" s="8">
        <f t="shared" si="23"/>
        <v>4.8420636042402831</v>
      </c>
      <c r="AP11" s="8">
        <f t="shared" si="24"/>
        <v>0.77597173144876308</v>
      </c>
      <c r="AQ11" s="8">
        <f t="shared" si="25"/>
        <v>0.77597173144876308</v>
      </c>
      <c r="AS11" s="7">
        <f t="shared" si="44"/>
        <v>2028</v>
      </c>
      <c r="AT11" s="8">
        <f t="shared" si="26"/>
        <v>5.3620390178032888</v>
      </c>
      <c r="AU11" s="8">
        <f t="shared" si="27"/>
        <v>3.0185739590929614</v>
      </c>
      <c r="AV11" s="8">
        <f t="shared" si="28"/>
        <v>6.2637913256272268</v>
      </c>
      <c r="AW11" s="8">
        <f t="shared" si="29"/>
        <v>1.1733649757207067</v>
      </c>
      <c r="AX11" s="8">
        <f t="shared" si="30"/>
        <v>3.0394597173144877</v>
      </c>
      <c r="AY11" s="8">
        <f t="shared" si="31"/>
        <v>0.55755123674911655</v>
      </c>
      <c r="AZ11" s="8">
        <f t="shared" si="32"/>
        <v>8.4574053149864614</v>
      </c>
      <c r="BA11" s="8">
        <f t="shared" si="33"/>
        <v>4.5763726838191339</v>
      </c>
      <c r="BB11" s="8">
        <f t="shared" si="34"/>
        <v>9.9964389192892895</v>
      </c>
      <c r="BC11" s="8">
        <f t="shared" si="35"/>
        <v>1.8728846543609892</v>
      </c>
      <c r="BD11" s="8">
        <f t="shared" si="36"/>
        <v>4.9577636042402835</v>
      </c>
      <c r="BE11" s="8">
        <f t="shared" si="37"/>
        <v>0.86497173144876305</v>
      </c>
      <c r="BF11" s="48"/>
      <c r="BG11" s="7">
        <f t="shared" si="45"/>
        <v>2028</v>
      </c>
      <c r="BH11" s="8">
        <f>(('Commodity Costs Avoided Detail'!$AE9+AT11)*0.1)</f>
        <v>0.89054624208021815</v>
      </c>
      <c r="BI11" s="8">
        <f>(('Commodity Costs Avoided Detail'!$AE9+AU11)*0.1)</f>
        <v>0.65619973620918537</v>
      </c>
      <c r="BJ11" s="8">
        <f>(('Commodity Costs Avoided Detail'!AE9+AV11)*0.1)</f>
        <v>0.9807214728626118</v>
      </c>
      <c r="BK11" s="8">
        <f>(('Commodity Costs Avoided Detail'!AF9+AW11)*0.1)</f>
        <v>0.43961401092368962</v>
      </c>
      <c r="BL11" s="8">
        <f>(('Commodity Costs Avoided Detail'!AG9+AX11)*0.1)</f>
        <v>0.62284186411930598</v>
      </c>
      <c r="BM11" s="8">
        <f>(('Commodity Costs Avoided Detail'!AH9+AY11)*0.1)</f>
        <v>0.37465101606276874</v>
      </c>
      <c r="BN11" s="8">
        <f>(('Commodity Costs Avoided Detail'!AH9)*0.1)</f>
        <v>0.31889589238785709</v>
      </c>
      <c r="BO11" s="8">
        <f>(('Commodity Costs Avoided Detail'!AE9+AZ11)*0.1)</f>
        <v>1.2000828717985355</v>
      </c>
      <c r="BP11" s="8">
        <f>(('Commodity Costs Avoided Detail'!AE9+BA11)*0.1)</f>
        <v>0.81197960868180263</v>
      </c>
      <c r="BQ11" s="8">
        <f>(('Commodity Costs Avoided Detail'!AE9+BB11)*0.1)</f>
        <v>1.3539862322288183</v>
      </c>
      <c r="BR11" s="8">
        <f>(('Commodity Costs Avoided Detail'!AF9+BC11)*0.1)</f>
        <v>0.50956597878771781</v>
      </c>
      <c r="BS11" s="8">
        <f>(('Commodity Costs Avoided Detail'!AG9+BD11)*0.1)</f>
        <v>0.81467225281188549</v>
      </c>
      <c r="BT11" s="8">
        <f>(('Commodity Costs Avoided Detail'!AH9+BE11)*0.1)</f>
        <v>0.40539306553273341</v>
      </c>
      <c r="BU11" s="8">
        <f>(('Commodity Costs Avoided Detail'!AH9)*0.1)</f>
        <v>0.31889589238785709</v>
      </c>
      <c r="BV11" s="48"/>
      <c r="BW11" s="7">
        <f t="shared" si="46"/>
        <v>2028</v>
      </c>
      <c r="BX11" s="158">
        <f>'Commodity Costs Avoided Detail'!$AE9+AT11+$H11+BH11+$G11</f>
        <v>16.574630674177566</v>
      </c>
      <c r="BY11" s="158">
        <f>'Commodity Costs Avoided Detail'!$AE9+AU11+$H11+BI11+$G11</f>
        <v>13.996819109596203</v>
      </c>
      <c r="BZ11" s="158">
        <f>'Commodity Costs Avoided Detail'!AE9+AV11+$H11+BJ11+G11</f>
        <v>17.566558212783896</v>
      </c>
      <c r="CA11" s="158">
        <f>'Commodity Costs Avoided Detail'!AF9+AW11+$H11+BK11+$G11</f>
        <v>11.614376131455751</v>
      </c>
      <c r="CB11" s="158">
        <f>'Commodity Costs Avoided Detail'!AG9+AX11+$H11+BL11+$G11</f>
        <v>13.62988251660753</v>
      </c>
      <c r="CC11" s="158">
        <f>'Commodity Costs Avoided Detail'!AH9+AY11+$H11+BM11+$G11</f>
        <v>10.899783187985621</v>
      </c>
      <c r="CD11" s="158">
        <f>'Commodity Costs Avoided Detail'!AH9+$H11+BN11+$G11</f>
        <v>10.286476827561593</v>
      </c>
      <c r="CE11" s="160">
        <f>'Commodity Costs Avoided Detail'!$AE9+AZ11+$I11+BO11+$G11</f>
        <v>19.707667597528854</v>
      </c>
      <c r="CF11" s="160">
        <f>'Commodity Costs Avoided Detail'!$AE9+BA11+$I11+BP11+$G11</f>
        <v>15.438531703244792</v>
      </c>
      <c r="CG11" s="160">
        <f>'Commodity Costs Avoided Detail'!AE9+BB11+$I11+BQ11+$G11</f>
        <v>21.400604562261965</v>
      </c>
      <c r="CH11" s="160">
        <f>'Commodity Costs Avoided Detail'!AF9+BC11+$I11+BR11+$G11</f>
        <v>12.111981774409861</v>
      </c>
      <c r="CI11" s="160">
        <f>'Commodity Costs Avoided Detail'!AG9+BD11+$I11+BS11+$G11</f>
        <v>15.468150788675704</v>
      </c>
      <c r="CJ11" s="160">
        <f>'Commodity Costs Avoided Detail'!AH9+BE11+$I11+BT11+$G11</f>
        <v>10.966079728605031</v>
      </c>
      <c r="CK11" s="160">
        <f>'Commodity Costs Avoided Detail'!AH9+$I11+BU11+$G11</f>
        <v>10.014610824011392</v>
      </c>
      <c r="CM11" s="286"/>
      <c r="CN11" s="65" t="s">
        <v>26</v>
      </c>
      <c r="CO11" s="14">
        <f>'Commodity Costs Avoided Detail'!AH32</f>
        <v>3.5535991045626965</v>
      </c>
      <c r="CP11" s="289"/>
      <c r="CQ11" s="289"/>
      <c r="CR11" s="14" t="s">
        <v>27</v>
      </c>
      <c r="CS11" s="61" t="s">
        <v>27</v>
      </c>
      <c r="CT11" s="57">
        <f>BN34</f>
        <v>0.35535991045626975</v>
      </c>
      <c r="CU11" s="15">
        <f>CO11+CP5+CQ5+CT11</f>
        <v>12.379016418149149</v>
      </c>
      <c r="CV11" s="51"/>
      <c r="CW11" s="292"/>
      <c r="CX11" s="71" t="s">
        <v>26</v>
      </c>
      <c r="CY11" s="79">
        <f t="shared" ref="CY11:CY18" si="52">CO11</f>
        <v>3.5535991045626965</v>
      </c>
      <c r="CZ11" s="79">
        <f t="shared" si="51"/>
        <v>7.6081257875462978</v>
      </c>
      <c r="DA11" s="79">
        <f t="shared" si="48"/>
        <v>0.86193161558388465</v>
      </c>
      <c r="DB11" s="79">
        <v>0</v>
      </c>
      <c r="DC11" s="79">
        <v>0</v>
      </c>
      <c r="DD11" s="18">
        <f t="shared" ref="DD11:DD18" si="53">CT11</f>
        <v>0.35535991045626975</v>
      </c>
      <c r="DE11" s="19">
        <f t="shared" si="50"/>
        <v>12.379016418149149</v>
      </c>
    </row>
    <row r="12" spans="1:109" ht="13.7" customHeight="1" x14ac:dyDescent="0.25">
      <c r="A12" s="84">
        <f t="shared" si="40"/>
        <v>2029</v>
      </c>
      <c r="B12" s="164">
        <v>8.8999999999999996E-2</v>
      </c>
      <c r="C12" s="170">
        <v>0.77597173144876319</v>
      </c>
      <c r="D12" s="175">
        <v>0.46855123674911658</v>
      </c>
      <c r="E12" s="166">
        <v>0.50405321139056325</v>
      </c>
      <c r="F12" s="167">
        <f>'Commodity Costs Avoided Detail'!N10</f>
        <v>3.2602041750167614</v>
      </c>
      <c r="G12" s="168">
        <v>0.79815934616104789</v>
      </c>
      <c r="H12" s="179">
        <v>6.1047750000000001</v>
      </c>
      <c r="I12" s="174">
        <f>('Greenhouse Gas Costs Avoided De'!O9)</f>
        <v>5.868549364816352</v>
      </c>
      <c r="J12" s="138">
        <v>1.2199324346788349</v>
      </c>
      <c r="K12" s="139">
        <f t="shared" si="41"/>
        <v>2.3669470265175963E-2</v>
      </c>
      <c r="L12" s="129"/>
      <c r="M12" s="7">
        <f t="shared" si="42"/>
        <v>2029</v>
      </c>
      <c r="N12" s="8">
        <f t="shared" si="0"/>
        <v>0.6442738338206585</v>
      </c>
      <c r="O12" s="8">
        <f t="shared" si="0"/>
        <v>0.6442738338206585</v>
      </c>
      <c r="P12" s="8">
        <f t="shared" si="1"/>
        <v>0.57472154494229177</v>
      </c>
      <c r="Q12" s="8">
        <f t="shared" si="2"/>
        <v>0.10720049999999999</v>
      </c>
      <c r="R12" s="8">
        <f t="shared" si="3"/>
        <v>0.11570000000000001</v>
      </c>
      <c r="S12" s="8">
        <f t="shared" si="4"/>
        <v>8.8999999999999996E-2</v>
      </c>
      <c r="T12" s="8">
        <f t="shared" si="5"/>
        <v>8.8999999999999996E-2</v>
      </c>
      <c r="U12" s="8">
        <f t="shared" si="6"/>
        <v>0.6442738338206585</v>
      </c>
      <c r="V12" s="8">
        <f t="shared" si="6"/>
        <v>0.6442738338206585</v>
      </c>
      <c r="W12" s="8">
        <f t="shared" si="7"/>
        <v>0.57472154494229177</v>
      </c>
      <c r="X12" s="8">
        <f t="shared" si="8"/>
        <v>0.10720049999999999</v>
      </c>
      <c r="Y12" s="8">
        <f t="shared" si="9"/>
        <v>0.11570000000000001</v>
      </c>
      <c r="Z12" s="8">
        <f t="shared" si="10"/>
        <v>8.8999999999999996E-2</v>
      </c>
      <c r="AA12" s="8">
        <f t="shared" si="11"/>
        <v>8.8999999999999996E-2</v>
      </c>
      <c r="AB12" s="48"/>
      <c r="AC12" s="7">
        <f t="shared" si="43"/>
        <v>2029</v>
      </c>
      <c r="AD12" s="8">
        <f t="shared" si="12"/>
        <v>4.71776518398263</v>
      </c>
      <c r="AE12" s="8">
        <f t="shared" si="13"/>
        <v>2.3743001252723031</v>
      </c>
      <c r="AF12" s="8">
        <f t="shared" si="14"/>
        <v>5.6890697806849353</v>
      </c>
      <c r="AG12" s="8">
        <f t="shared" si="15"/>
        <v>1.0661644757207067</v>
      </c>
      <c r="AH12" s="8">
        <f t="shared" si="16"/>
        <v>2.9237597173144878</v>
      </c>
      <c r="AI12" s="8">
        <f t="shared" si="17"/>
        <v>0.46855123674911658</v>
      </c>
      <c r="AJ12" s="8">
        <f t="shared" si="18"/>
        <v>0.46855123674911658</v>
      </c>
      <c r="AK12" s="8">
        <f t="shared" si="19"/>
        <v>7.8131314811658026</v>
      </c>
      <c r="AL12" s="8">
        <f t="shared" si="20"/>
        <v>3.932098849998475</v>
      </c>
      <c r="AM12" s="8">
        <f t="shared" si="21"/>
        <v>9.4217173743469971</v>
      </c>
      <c r="AN12" s="8">
        <f t="shared" si="22"/>
        <v>1.7656841543609891</v>
      </c>
      <c r="AO12" s="8">
        <f t="shared" si="23"/>
        <v>4.8420636042402831</v>
      </c>
      <c r="AP12" s="8">
        <f t="shared" si="24"/>
        <v>0.77597173144876308</v>
      </c>
      <c r="AQ12" s="8">
        <f t="shared" si="25"/>
        <v>0.77597173144876308</v>
      </c>
      <c r="AS12" s="7">
        <f t="shared" si="44"/>
        <v>2029</v>
      </c>
      <c r="AT12" s="8">
        <f t="shared" si="26"/>
        <v>5.3620390178032888</v>
      </c>
      <c r="AU12" s="8">
        <f t="shared" si="27"/>
        <v>3.0185739590929614</v>
      </c>
      <c r="AV12" s="8">
        <f t="shared" si="28"/>
        <v>6.2637913256272268</v>
      </c>
      <c r="AW12" s="8">
        <f t="shared" si="29"/>
        <v>1.1733649757207067</v>
      </c>
      <c r="AX12" s="8">
        <f t="shared" si="30"/>
        <v>3.0394597173144877</v>
      </c>
      <c r="AY12" s="8">
        <f t="shared" si="31"/>
        <v>0.55755123674911655</v>
      </c>
      <c r="AZ12" s="8">
        <f t="shared" si="32"/>
        <v>8.4574053149864614</v>
      </c>
      <c r="BA12" s="8">
        <f t="shared" si="33"/>
        <v>4.5763726838191339</v>
      </c>
      <c r="BB12" s="8">
        <f t="shared" si="34"/>
        <v>9.9964389192892895</v>
      </c>
      <c r="BC12" s="8">
        <f t="shared" si="35"/>
        <v>1.8728846543609892</v>
      </c>
      <c r="BD12" s="8">
        <f t="shared" si="36"/>
        <v>4.9577636042402835</v>
      </c>
      <c r="BE12" s="8">
        <f t="shared" si="37"/>
        <v>0.86497173144876305</v>
      </c>
      <c r="BF12" s="48"/>
      <c r="BG12" s="7">
        <f t="shared" si="45"/>
        <v>2029</v>
      </c>
      <c r="BH12" s="8">
        <f>(('Commodity Costs Avoided Detail'!$AE10+AT12)*0.1)</f>
        <v>0.89495367066472209</v>
      </c>
      <c r="BI12" s="8">
        <f>(('Commodity Costs Avoided Detail'!$AE10+AU12)*0.1)</f>
        <v>0.66060716479368942</v>
      </c>
      <c r="BJ12" s="8">
        <f>(('Commodity Costs Avoided Detail'!AE10+AV12)*0.1)</f>
        <v>0.98512890144711607</v>
      </c>
      <c r="BK12" s="8">
        <f>(('Commodity Costs Avoided Detail'!AF10+AW12)*0.1)</f>
        <v>0.44661289026378426</v>
      </c>
      <c r="BL12" s="8">
        <f>(('Commodity Costs Avoided Detail'!AG10+AX12)*0.1)</f>
        <v>0.62996638923312498</v>
      </c>
      <c r="BM12" s="8">
        <f>(('Commodity Costs Avoided Detail'!AH10+AY12)*0.1)</f>
        <v>0.38177554117658785</v>
      </c>
      <c r="BN12" s="8">
        <f>(('Commodity Costs Avoided Detail'!AH10)*0.1)</f>
        <v>0.32602041750167621</v>
      </c>
      <c r="BO12" s="8">
        <f>(('Commodity Costs Avoided Detail'!AE10+AZ12)*0.1)</f>
        <v>1.2044903003830394</v>
      </c>
      <c r="BP12" s="8">
        <f>(('Commodity Costs Avoided Detail'!AE10+BA12)*0.1)</f>
        <v>0.81638703726630668</v>
      </c>
      <c r="BQ12" s="8">
        <f>(('Commodity Costs Avoided Detail'!AE10+BB12)*0.1)</f>
        <v>1.3583936608133222</v>
      </c>
      <c r="BR12" s="8">
        <f>(('Commodity Costs Avoided Detail'!AF10+BC12)*0.1)</f>
        <v>0.5165648581278125</v>
      </c>
      <c r="BS12" s="8">
        <f>(('Commodity Costs Avoided Detail'!AG10+BD12)*0.1)</f>
        <v>0.82179677792570449</v>
      </c>
      <c r="BT12" s="8">
        <f>(('Commodity Costs Avoided Detail'!AH10+BE12)*0.1)</f>
        <v>0.41251759064655258</v>
      </c>
      <c r="BU12" s="8">
        <f>(('Commodity Costs Avoided Detail'!AH10)*0.1)</f>
        <v>0.32602041750167621</v>
      </c>
      <c r="BV12" s="48"/>
      <c r="BW12" s="7">
        <f t="shared" si="46"/>
        <v>2029</v>
      </c>
      <c r="BX12" s="158">
        <f>'Commodity Costs Avoided Detail'!$AE10+AT12+$H12+BH12+$G12</f>
        <v>16.747424723472989</v>
      </c>
      <c r="BY12" s="158">
        <f>'Commodity Costs Avoided Detail'!$AE10+AU12+$H12+BI12+$G12</f>
        <v>14.169613158891631</v>
      </c>
      <c r="BZ12" s="158">
        <f>'Commodity Costs Avoided Detail'!AE10+AV12+$H12+BJ12+G12</f>
        <v>17.739352262079322</v>
      </c>
      <c r="CA12" s="158">
        <f>'Commodity Costs Avoided Detail'!AF10+AW12+$H12+BK12+$G12</f>
        <v>11.815676139062674</v>
      </c>
      <c r="CB12" s="158">
        <f>'Commodity Costs Avoided Detail'!AG10+AX12+$H12+BL12+$G12</f>
        <v>13.832564627725423</v>
      </c>
      <c r="CC12" s="158">
        <f>'Commodity Costs Avoided Detail'!AH10+AY12+$H12+BM12+$G12</f>
        <v>11.102465299103514</v>
      </c>
      <c r="CD12" s="158">
        <f>'Commodity Costs Avoided Detail'!AH10+$H12+BN12+$G12</f>
        <v>10.489158938679486</v>
      </c>
      <c r="CE12" s="160">
        <f>'Commodity Costs Avoided Detail'!$AE10+AZ12+$I12+BO12+$G12</f>
        <v>19.91610201519083</v>
      </c>
      <c r="CF12" s="160">
        <f>'Commodity Costs Avoided Detail'!$AE10+BA12+$I12+BP12+$G12</f>
        <v>15.646966120906773</v>
      </c>
      <c r="CG12" s="160">
        <f>'Commodity Costs Avoided Detail'!AE10+BB12+$I12+BQ12+$G12</f>
        <v>21.609038979923945</v>
      </c>
      <c r="CH12" s="160">
        <f>'Commodity Costs Avoided Detail'!AF10+BC12+$I12+BR12+$G12</f>
        <v>12.348922150383338</v>
      </c>
      <c r="CI12" s="160">
        <f>'Commodity Costs Avoided Detail'!AG10+BD12+$I12+BS12+$G12</f>
        <v>15.706473268160151</v>
      </c>
      <c r="CJ12" s="160">
        <f>'Commodity Costs Avoided Detail'!AH10+BE12+$I12+BT12+$G12</f>
        <v>11.20440220808948</v>
      </c>
      <c r="CK12" s="160">
        <f>'Commodity Costs Avoided Detail'!AH10+$I12+BU12+$G12</f>
        <v>10.252933303495837</v>
      </c>
      <c r="CM12" s="290" t="s">
        <v>28</v>
      </c>
      <c r="CN12" s="66" t="s">
        <v>8</v>
      </c>
      <c r="CO12" s="10">
        <f>'Commodity Costs Avoided Detail'!AE33</f>
        <v>3.8299785955724128</v>
      </c>
      <c r="CP12" s="287">
        <f>I34</f>
        <v>6.2625351212148033</v>
      </c>
      <c r="CQ12" s="287">
        <f>IF(G34&lt;0,0,G34)</f>
        <v>0.86193161558388465</v>
      </c>
      <c r="CR12" s="10">
        <f>U34</f>
        <v>0.64427383382065762</v>
      </c>
      <c r="CS12" s="59">
        <f>AK34</f>
        <v>7.8131314811657946</v>
      </c>
      <c r="CT12" s="55">
        <f>BO34</f>
        <v>1.2287327742895617</v>
      </c>
      <c r="CU12" s="11">
        <f t="shared" ref="CU12:CU17" si="54">CO12+CP$12+CQ$12+CR12+CS12+CT12</f>
        <v>20.640583421647115</v>
      </c>
      <c r="CV12" s="163">
        <f>(CU12-CU5)/CU5</f>
        <v>0.11083066575372917</v>
      </c>
      <c r="CW12" s="293" t="str">
        <f>CM12</f>
        <v>Washington</v>
      </c>
      <c r="CX12" s="72" t="str">
        <f>CN12</f>
        <v xml:space="preserve">Residential Space Heating </v>
      </c>
      <c r="CY12" s="80">
        <f t="shared" si="52"/>
        <v>3.8299785955724128</v>
      </c>
      <c r="CZ12" s="80">
        <f>CP12</f>
        <v>6.2625351212148033</v>
      </c>
      <c r="DA12" s="80">
        <f t="shared" ref="DA12" si="55">CQ12</f>
        <v>0.86193161558388465</v>
      </c>
      <c r="DB12" s="80">
        <f t="shared" ref="DB12:DC17" si="56">CR12</f>
        <v>0.64427383382065762</v>
      </c>
      <c r="DC12" s="80">
        <f t="shared" si="56"/>
        <v>7.8131314811657946</v>
      </c>
      <c r="DD12" s="81">
        <f t="shared" si="53"/>
        <v>1.2287327742895617</v>
      </c>
      <c r="DE12" s="82">
        <f t="shared" si="50"/>
        <v>20.640583421647115</v>
      </c>
    </row>
    <row r="13" spans="1:109" ht="13.7" customHeight="1" x14ac:dyDescent="0.25">
      <c r="A13" s="84">
        <f t="shared" si="40"/>
        <v>2030</v>
      </c>
      <c r="B13" s="164">
        <v>8.8999999999999996E-2</v>
      </c>
      <c r="C13" s="170">
        <v>0.77597173144876319</v>
      </c>
      <c r="D13" s="175">
        <v>0.46855123674911658</v>
      </c>
      <c r="E13" s="166">
        <v>0.50405321139056325</v>
      </c>
      <c r="F13" s="167">
        <f>'Commodity Costs Avoided Detail'!N11</f>
        <v>3.2342551747917851</v>
      </c>
      <c r="G13" s="168">
        <v>0.8162917715732223</v>
      </c>
      <c r="H13" s="179">
        <v>6.1578600000000003</v>
      </c>
      <c r="I13" s="174">
        <f>('Greenhouse Gas Costs Avoided De'!O10)</f>
        <v>5.9572747331829063</v>
      </c>
      <c r="J13" s="138">
        <v>1.2480713503085945</v>
      </c>
      <c r="K13" s="139">
        <f t="shared" si="41"/>
        <v>2.3065962367963062E-2</v>
      </c>
      <c r="L13" s="129"/>
      <c r="M13" s="7">
        <f t="shared" si="42"/>
        <v>2030</v>
      </c>
      <c r="N13" s="8">
        <f t="shared" si="0"/>
        <v>0.6442738338206585</v>
      </c>
      <c r="O13" s="8">
        <f t="shared" si="0"/>
        <v>0.6442738338206585</v>
      </c>
      <c r="P13" s="8">
        <f t="shared" si="1"/>
        <v>0.57472154494229177</v>
      </c>
      <c r="Q13" s="8">
        <f t="shared" si="2"/>
        <v>0.10720049999999999</v>
      </c>
      <c r="R13" s="8">
        <f t="shared" si="3"/>
        <v>0.11570000000000001</v>
      </c>
      <c r="S13" s="8">
        <f t="shared" si="4"/>
        <v>8.8999999999999996E-2</v>
      </c>
      <c r="T13" s="8">
        <f t="shared" si="5"/>
        <v>8.8999999999999996E-2</v>
      </c>
      <c r="U13" s="8">
        <f t="shared" si="6"/>
        <v>0.6442738338206585</v>
      </c>
      <c r="V13" s="8">
        <f t="shared" si="6"/>
        <v>0.6442738338206585</v>
      </c>
      <c r="W13" s="8">
        <f t="shared" si="7"/>
        <v>0.57472154494229177</v>
      </c>
      <c r="X13" s="8">
        <f t="shared" si="8"/>
        <v>0.10720049999999999</v>
      </c>
      <c r="Y13" s="8">
        <f t="shared" si="9"/>
        <v>0.11570000000000001</v>
      </c>
      <c r="Z13" s="8">
        <f t="shared" si="10"/>
        <v>8.8999999999999996E-2</v>
      </c>
      <c r="AA13" s="8">
        <f t="shared" si="11"/>
        <v>8.8999999999999996E-2</v>
      </c>
      <c r="AB13" s="48"/>
      <c r="AC13" s="7">
        <f t="shared" si="43"/>
        <v>2030</v>
      </c>
      <c r="AD13" s="8">
        <f t="shared" si="12"/>
        <v>4.71776518398263</v>
      </c>
      <c r="AE13" s="8">
        <f t="shared" si="13"/>
        <v>2.3743001252723031</v>
      </c>
      <c r="AF13" s="8">
        <f t="shared" si="14"/>
        <v>5.6890697806849353</v>
      </c>
      <c r="AG13" s="8">
        <f t="shared" si="15"/>
        <v>1.0661644757207067</v>
      </c>
      <c r="AH13" s="8">
        <f t="shared" si="16"/>
        <v>2.9237597173144878</v>
      </c>
      <c r="AI13" s="8">
        <f t="shared" si="17"/>
        <v>0.46855123674911658</v>
      </c>
      <c r="AJ13" s="8">
        <f t="shared" si="18"/>
        <v>0.46855123674911658</v>
      </c>
      <c r="AK13" s="8">
        <f t="shared" si="19"/>
        <v>7.8131314811658026</v>
      </c>
      <c r="AL13" s="8">
        <f t="shared" si="20"/>
        <v>3.932098849998475</v>
      </c>
      <c r="AM13" s="8">
        <f t="shared" si="21"/>
        <v>9.4217173743469971</v>
      </c>
      <c r="AN13" s="8">
        <f t="shared" si="22"/>
        <v>1.7656841543609891</v>
      </c>
      <c r="AO13" s="8">
        <f t="shared" si="23"/>
        <v>4.8420636042402831</v>
      </c>
      <c r="AP13" s="8">
        <f t="shared" si="24"/>
        <v>0.77597173144876308</v>
      </c>
      <c r="AQ13" s="8">
        <f t="shared" si="25"/>
        <v>0.77597173144876308</v>
      </c>
      <c r="AS13" s="7">
        <f t="shared" si="44"/>
        <v>2030</v>
      </c>
      <c r="AT13" s="8">
        <f t="shared" si="26"/>
        <v>5.3620390178032888</v>
      </c>
      <c r="AU13" s="8">
        <f t="shared" si="27"/>
        <v>3.0185739590929614</v>
      </c>
      <c r="AV13" s="8">
        <f t="shared" si="28"/>
        <v>6.2637913256272268</v>
      </c>
      <c r="AW13" s="8">
        <f t="shared" si="29"/>
        <v>1.1733649757207067</v>
      </c>
      <c r="AX13" s="8">
        <f t="shared" si="30"/>
        <v>3.0394597173144877</v>
      </c>
      <c r="AY13" s="8">
        <f t="shared" si="31"/>
        <v>0.55755123674911655</v>
      </c>
      <c r="AZ13" s="8">
        <f t="shared" si="32"/>
        <v>8.4574053149864614</v>
      </c>
      <c r="BA13" s="8">
        <f t="shared" si="33"/>
        <v>4.5763726838191339</v>
      </c>
      <c r="BB13" s="8">
        <f t="shared" si="34"/>
        <v>9.9964389192892895</v>
      </c>
      <c r="BC13" s="8">
        <f t="shared" si="35"/>
        <v>1.8728846543609892</v>
      </c>
      <c r="BD13" s="8">
        <f t="shared" si="36"/>
        <v>4.9577636042402835</v>
      </c>
      <c r="BE13" s="8">
        <f t="shared" si="37"/>
        <v>0.86497173144876305</v>
      </c>
      <c r="BF13" s="48"/>
      <c r="BG13" s="7">
        <f t="shared" si="45"/>
        <v>2030</v>
      </c>
      <c r="BH13" s="8">
        <f>(('Commodity Costs Avoided Detail'!$AE11+AT13)*0.1)</f>
        <v>0.89178002516226196</v>
      </c>
      <c r="BI13" s="8">
        <f>(('Commodity Costs Avoided Detail'!$AE11+AU13)*0.1)</f>
        <v>0.65743351929122928</v>
      </c>
      <c r="BJ13" s="8">
        <f>(('Commodity Costs Avoided Detail'!AE11+AV13)*0.1)</f>
        <v>0.98195525594465571</v>
      </c>
      <c r="BK13" s="8">
        <f>(('Commodity Costs Avoided Detail'!AF11+AW13)*0.1)</f>
        <v>0.44371222213727091</v>
      </c>
      <c r="BL13" s="8">
        <f>(('Commodity Costs Avoided Detail'!AG11+AX13)*0.1)</f>
        <v>0.62737148921062735</v>
      </c>
      <c r="BM13" s="8">
        <f>(('Commodity Costs Avoided Detail'!AH11+AY13)*0.1)</f>
        <v>0.37918064115409023</v>
      </c>
      <c r="BN13" s="8">
        <f>(('Commodity Costs Avoided Detail'!AH11)*0.1)</f>
        <v>0.32342551747917858</v>
      </c>
      <c r="BO13" s="8">
        <f>(('Commodity Costs Avoided Detail'!AE11+AZ13)*0.1)</f>
        <v>1.2013166548805794</v>
      </c>
      <c r="BP13" s="8">
        <f>(('Commodity Costs Avoided Detail'!AE11+BA13)*0.1)</f>
        <v>0.81321339176384644</v>
      </c>
      <c r="BQ13" s="8">
        <f>(('Commodity Costs Avoided Detail'!AE11+BB13)*0.1)</f>
        <v>1.355220015310862</v>
      </c>
      <c r="BR13" s="8">
        <f>(('Commodity Costs Avoided Detail'!AF11+BC13)*0.1)</f>
        <v>0.51366419000129915</v>
      </c>
      <c r="BS13" s="8">
        <f>(('Commodity Costs Avoided Detail'!AG11+BD13)*0.1)</f>
        <v>0.81920187790320687</v>
      </c>
      <c r="BT13" s="8">
        <f>(('Commodity Costs Avoided Detail'!AH11+BE13)*0.1)</f>
        <v>0.40992269062405495</v>
      </c>
      <c r="BU13" s="8">
        <f>(('Commodity Costs Avoided Detail'!AH11)*0.1)</f>
        <v>0.32342551747917858</v>
      </c>
      <c r="BV13" s="48"/>
      <c r="BW13" s="7">
        <f t="shared" si="46"/>
        <v>2030</v>
      </c>
      <c r="BX13" s="158">
        <f>'Commodity Costs Avoided Detail'!$AE11+AT13+$H13+BH13+$G13</f>
        <v>16.783732048358104</v>
      </c>
      <c r="BY13" s="158">
        <f>'Commodity Costs Avoided Detail'!$AE11+AU13+$H13+BI13+$G13</f>
        <v>14.205920483776746</v>
      </c>
      <c r="BZ13" s="158">
        <f>'Commodity Costs Avoided Detail'!AE11+AV13+$H13+BJ13+G13</f>
        <v>17.775659586964434</v>
      </c>
      <c r="CA13" s="158">
        <f>'Commodity Costs Avoided Detail'!AF11+AW13+$H13+BK13+$G13</f>
        <v>11.854986215083205</v>
      </c>
      <c r="CB13" s="158">
        <f>'Commodity Costs Avoided Detail'!AG11+AX13+$H13+BL13+$G13</f>
        <v>13.875238152890123</v>
      </c>
      <c r="CC13" s="158">
        <f>'Commodity Costs Avoided Detail'!AH11+AY13+$H13+BM13+$G13</f>
        <v>11.145138824268216</v>
      </c>
      <c r="CD13" s="158">
        <f>'Commodity Costs Avoided Detail'!AH11+$H13+BN13+$G13</f>
        <v>10.531832463844188</v>
      </c>
      <c r="CE13" s="160">
        <f>'Commodity Costs Avoided Detail'!$AE11+AZ13+$I13+BO13+$G13</f>
        <v>19.9880497084425</v>
      </c>
      <c r="CF13" s="160">
        <f>'Commodity Costs Avoided Detail'!$AE11+BA13+$I13+BP13+$G13</f>
        <v>15.718913814158441</v>
      </c>
      <c r="CG13" s="160">
        <f>'Commodity Costs Avoided Detail'!AE11+BB13+$I13+BQ13+$G13</f>
        <v>21.680986673175614</v>
      </c>
      <c r="CH13" s="160">
        <f>'Commodity Costs Avoided Detail'!AF11+BC13+$I13+BR13+$G13</f>
        <v>12.423872594770419</v>
      </c>
      <c r="CI13" s="160">
        <f>'Commodity Costs Avoided Detail'!AG11+BD13+$I13+BS13+$G13</f>
        <v>15.784787161691405</v>
      </c>
      <c r="CJ13" s="160">
        <f>'Commodity Costs Avoided Detail'!AH11+BE13+$I13+BT13+$G13</f>
        <v>11.282716101620734</v>
      </c>
      <c r="CK13" s="160">
        <f>'Commodity Costs Avoided Detail'!AH11+$I13+BU13+$G13</f>
        <v>10.331247197027093</v>
      </c>
      <c r="CM13" s="291"/>
      <c r="CN13" s="67" t="s">
        <v>9</v>
      </c>
      <c r="CO13" s="12">
        <f>'Commodity Costs Avoided Detail'!AE33</f>
        <v>3.8299785955724128</v>
      </c>
      <c r="CP13" s="288"/>
      <c r="CQ13" s="288"/>
      <c r="CR13" s="12">
        <f>V34</f>
        <v>0.64427383382065762</v>
      </c>
      <c r="CS13" s="60">
        <f>AL34</f>
        <v>3.9320988499984701</v>
      </c>
      <c r="CT13" s="56">
        <f>BP34</f>
        <v>0.84062951117282991</v>
      </c>
      <c r="CU13" s="13">
        <f t="shared" si="54"/>
        <v>16.371447527363056</v>
      </c>
      <c r="CV13" s="163">
        <f t="shared" ref="CV13:CV18" si="57">(CU13-CU6)/CU6</f>
        <v>2.2997864183530232E-2</v>
      </c>
      <c r="CW13" s="291"/>
      <c r="CX13" s="69" t="str">
        <f>CN13</f>
        <v>Residential Hearths and Fireplaces</v>
      </c>
      <c r="CY13" s="76">
        <f t="shared" si="52"/>
        <v>3.8299785955724128</v>
      </c>
      <c r="CZ13" s="76">
        <f>CZ12</f>
        <v>6.2625351212148033</v>
      </c>
      <c r="DA13" s="76">
        <f t="shared" ref="DA13:DA18" si="58">DA$12</f>
        <v>0.86193161558388465</v>
      </c>
      <c r="DB13" s="76">
        <f t="shared" si="56"/>
        <v>0.64427383382065762</v>
      </c>
      <c r="DC13" s="76">
        <f t="shared" si="56"/>
        <v>3.9320988499984701</v>
      </c>
      <c r="DD13" s="77">
        <f t="shared" si="53"/>
        <v>0.84062951117282991</v>
      </c>
      <c r="DE13" s="78">
        <f t="shared" si="50"/>
        <v>16.371447527363056</v>
      </c>
    </row>
    <row r="14" spans="1:109" ht="13.7" customHeight="1" x14ac:dyDescent="0.25">
      <c r="A14" s="84">
        <f t="shared" si="40"/>
        <v>2031</v>
      </c>
      <c r="B14" s="164">
        <v>8.8999999999999996E-2</v>
      </c>
      <c r="C14" s="170">
        <v>0.77597173144876319</v>
      </c>
      <c r="D14" s="175">
        <v>0.46855123674911658</v>
      </c>
      <c r="E14" s="166">
        <v>0.50405321139056325</v>
      </c>
      <c r="F14" s="167">
        <f>'Commodity Costs Avoided Detail'!N12</f>
        <v>3.2685092929950064</v>
      </c>
      <c r="G14" s="168">
        <v>0.80965237034685833</v>
      </c>
      <c r="H14" s="179">
        <v>6.2109449999999997</v>
      </c>
      <c r="I14" s="174">
        <f>('Greenhouse Gas Costs Avoided De'!O11)</f>
        <v>6.0333250489256667</v>
      </c>
      <c r="J14" s="138">
        <v>1.2765950293789767</v>
      </c>
      <c r="K14" s="139">
        <f t="shared" si="41"/>
        <v>2.2854205461354065E-2</v>
      </c>
      <c r="L14" s="129"/>
      <c r="M14" s="7">
        <f t="shared" si="42"/>
        <v>2031</v>
      </c>
      <c r="N14" s="8">
        <f t="shared" si="0"/>
        <v>0.6442738338206585</v>
      </c>
      <c r="O14" s="8">
        <f t="shared" si="0"/>
        <v>0.6442738338206585</v>
      </c>
      <c r="P14" s="8">
        <f t="shared" si="1"/>
        <v>0.57472154494229177</v>
      </c>
      <c r="Q14" s="8">
        <f t="shared" si="2"/>
        <v>0.10720049999999999</v>
      </c>
      <c r="R14" s="8">
        <f t="shared" si="3"/>
        <v>0.11570000000000001</v>
      </c>
      <c r="S14" s="8">
        <f t="shared" si="4"/>
        <v>8.8999999999999996E-2</v>
      </c>
      <c r="T14" s="8">
        <f t="shared" si="5"/>
        <v>8.8999999999999996E-2</v>
      </c>
      <c r="U14" s="8">
        <f t="shared" si="6"/>
        <v>0.6442738338206585</v>
      </c>
      <c r="V14" s="8">
        <f t="shared" si="6"/>
        <v>0.6442738338206585</v>
      </c>
      <c r="W14" s="8">
        <f t="shared" si="7"/>
        <v>0.57472154494229177</v>
      </c>
      <c r="X14" s="8">
        <f t="shared" si="8"/>
        <v>0.10720049999999999</v>
      </c>
      <c r="Y14" s="8">
        <f t="shared" si="9"/>
        <v>0.11570000000000001</v>
      </c>
      <c r="Z14" s="8">
        <f t="shared" si="10"/>
        <v>8.8999999999999996E-2</v>
      </c>
      <c r="AA14" s="8">
        <f t="shared" si="11"/>
        <v>8.8999999999999996E-2</v>
      </c>
      <c r="AB14" s="48"/>
      <c r="AC14" s="7">
        <f t="shared" si="43"/>
        <v>2031</v>
      </c>
      <c r="AD14" s="8">
        <f t="shared" si="12"/>
        <v>4.71776518398263</v>
      </c>
      <c r="AE14" s="8">
        <f t="shared" si="13"/>
        <v>2.3743001252723031</v>
      </c>
      <c r="AF14" s="8">
        <f t="shared" si="14"/>
        <v>5.6890697806849353</v>
      </c>
      <c r="AG14" s="8">
        <f t="shared" si="15"/>
        <v>1.0661644757207067</v>
      </c>
      <c r="AH14" s="8">
        <f t="shared" si="16"/>
        <v>2.9237597173144878</v>
      </c>
      <c r="AI14" s="8">
        <f t="shared" si="17"/>
        <v>0.46855123674911658</v>
      </c>
      <c r="AJ14" s="8">
        <f t="shared" si="18"/>
        <v>0.46855123674911658</v>
      </c>
      <c r="AK14" s="8">
        <f t="shared" si="19"/>
        <v>7.8131314811658026</v>
      </c>
      <c r="AL14" s="8">
        <f t="shared" si="20"/>
        <v>3.932098849998475</v>
      </c>
      <c r="AM14" s="8">
        <f t="shared" si="21"/>
        <v>9.4217173743469971</v>
      </c>
      <c r="AN14" s="8">
        <f t="shared" si="22"/>
        <v>1.7656841543609891</v>
      </c>
      <c r="AO14" s="8">
        <f t="shared" si="23"/>
        <v>4.8420636042402831</v>
      </c>
      <c r="AP14" s="8">
        <f t="shared" si="24"/>
        <v>0.77597173144876308</v>
      </c>
      <c r="AQ14" s="8">
        <f t="shared" si="25"/>
        <v>0.77597173144876308</v>
      </c>
      <c r="AS14" s="7">
        <f t="shared" si="44"/>
        <v>2031</v>
      </c>
      <c r="AT14" s="8">
        <f t="shared" si="26"/>
        <v>5.3620390178032888</v>
      </c>
      <c r="AU14" s="8">
        <f t="shared" si="27"/>
        <v>3.0185739590929614</v>
      </c>
      <c r="AV14" s="8">
        <f t="shared" si="28"/>
        <v>6.2637913256272268</v>
      </c>
      <c r="AW14" s="8">
        <f t="shared" si="29"/>
        <v>1.1733649757207067</v>
      </c>
      <c r="AX14" s="8">
        <f t="shared" si="30"/>
        <v>3.0394597173144877</v>
      </c>
      <c r="AY14" s="8">
        <f t="shared" si="31"/>
        <v>0.55755123674911655</v>
      </c>
      <c r="AZ14" s="8">
        <f t="shared" si="32"/>
        <v>8.4574053149864614</v>
      </c>
      <c r="BA14" s="8">
        <f t="shared" si="33"/>
        <v>4.5763726838191339</v>
      </c>
      <c r="BB14" s="8">
        <f t="shared" si="34"/>
        <v>9.9964389192892895</v>
      </c>
      <c r="BC14" s="8">
        <f t="shared" si="35"/>
        <v>1.8728846543609892</v>
      </c>
      <c r="BD14" s="8">
        <f t="shared" si="36"/>
        <v>4.9577636042402835</v>
      </c>
      <c r="BE14" s="8">
        <f t="shared" si="37"/>
        <v>0.86497173144876305</v>
      </c>
      <c r="BF14" s="48"/>
      <c r="BG14" s="7">
        <f t="shared" si="45"/>
        <v>2031</v>
      </c>
      <c r="BH14" s="8">
        <f>(('Commodity Costs Avoided Detail'!$AE12+AT14)*0.1)</f>
        <v>0.89532821893735071</v>
      </c>
      <c r="BI14" s="8">
        <f>(('Commodity Costs Avoided Detail'!$AE12+AU14)*0.1)</f>
        <v>0.66098171306631803</v>
      </c>
      <c r="BJ14" s="8">
        <f>(('Commodity Costs Avoided Detail'!AE12+AV14)*0.1)</f>
        <v>0.98550344971974446</v>
      </c>
      <c r="BK14" s="8">
        <f>(('Commodity Costs Avoided Detail'!AF12+AW14)*0.1)</f>
        <v>0.44728657791709614</v>
      </c>
      <c r="BL14" s="8">
        <f>(('Commodity Costs Avoided Detail'!AG12+AX14)*0.1)</f>
        <v>0.63079690103094943</v>
      </c>
      <c r="BM14" s="8">
        <f>(('Commodity Costs Avoided Detail'!AH12+AY14)*0.1)</f>
        <v>0.38260605297441225</v>
      </c>
      <c r="BN14" s="8">
        <f>(('Commodity Costs Avoided Detail'!AH12)*0.1)</f>
        <v>0.3268509292995006</v>
      </c>
      <c r="BO14" s="8">
        <f>(('Commodity Costs Avoided Detail'!AE12+AZ14)*0.1)</f>
        <v>1.2048648486556681</v>
      </c>
      <c r="BP14" s="8">
        <f>(('Commodity Costs Avoided Detail'!AE12+BA14)*0.1)</f>
        <v>0.81676158553893519</v>
      </c>
      <c r="BQ14" s="8">
        <f>(('Commodity Costs Avoided Detail'!AE12+BB14)*0.1)</f>
        <v>1.3587682090859508</v>
      </c>
      <c r="BR14" s="8">
        <f>(('Commodity Costs Avoided Detail'!AF12+BC14)*0.1)</f>
        <v>0.51723854578112438</v>
      </c>
      <c r="BS14" s="8">
        <f>(('Commodity Costs Avoided Detail'!AG12+BD14)*0.1)</f>
        <v>0.82262728972352905</v>
      </c>
      <c r="BT14" s="8">
        <f>(('Commodity Costs Avoided Detail'!AH12+BE14)*0.1)</f>
        <v>0.41334810244437697</v>
      </c>
      <c r="BU14" s="8">
        <f>(('Commodity Costs Avoided Detail'!AH12)*0.1)</f>
        <v>0.3268509292995006</v>
      </c>
      <c r="BV14" s="48"/>
      <c r="BW14" s="7">
        <f t="shared" si="46"/>
        <v>2031</v>
      </c>
      <c r="BX14" s="158">
        <f>'Commodity Costs Avoided Detail'!$AE12+AT14+$H14+BH14+$G14</f>
        <v>16.869207778657714</v>
      </c>
      <c r="BY14" s="158">
        <f>'Commodity Costs Avoided Detail'!$AE12+AU14+$H14+BI14+$G14</f>
        <v>14.291396214076357</v>
      </c>
      <c r="BZ14" s="158">
        <f>'Commodity Costs Avoided Detail'!AE12+AV14+$H14+BJ14+G14</f>
        <v>17.861135317264043</v>
      </c>
      <c r="CA14" s="158">
        <f>'Commodity Costs Avoided Detail'!AF12+AW14+$H14+BK14+$G14</f>
        <v>11.940749727434916</v>
      </c>
      <c r="CB14" s="158">
        <f>'Commodity Costs Avoided Detail'!AG12+AX14+$H14+BL14+$G14</f>
        <v>13.959363281687303</v>
      </c>
      <c r="CC14" s="158">
        <f>'Commodity Costs Avoided Detail'!AH12+AY14+$H14+BM14+$G14</f>
        <v>11.229263953065391</v>
      </c>
      <c r="CD14" s="158">
        <f>'Commodity Costs Avoided Detail'!AH12+$H14+BN14+$G14</f>
        <v>10.615957592641363</v>
      </c>
      <c r="CE14" s="160">
        <f>'Commodity Costs Avoided Detail'!$AE12+AZ14+$I14+BO14+$G14</f>
        <v>20.096490754484872</v>
      </c>
      <c r="CF14" s="160">
        <f>'Commodity Costs Avoided Detail'!$AE12+BA14+$I14+BP14+$G14</f>
        <v>15.827354860200812</v>
      </c>
      <c r="CG14" s="160">
        <f>'Commodity Costs Avoided Detail'!AE12+BB14+$I14+BQ14+$G14</f>
        <v>21.789427719217983</v>
      </c>
      <c r="CH14" s="160">
        <f>'Commodity Costs Avoided Detail'!AF12+BC14+$I14+BR14+$G14</f>
        <v>12.532601422864893</v>
      </c>
      <c r="CI14" s="160">
        <f>'Commodity Costs Avoided Detail'!AG12+BD14+$I14+BS14+$G14</f>
        <v>15.891877606231345</v>
      </c>
      <c r="CJ14" s="160">
        <f>'Commodity Costs Avoided Detail'!AH12+BE14+$I14+BT14+$G14</f>
        <v>11.389806546160672</v>
      </c>
      <c r="CK14" s="160">
        <f>'Commodity Costs Avoided Detail'!AH12+$I14+BU14+$G14</f>
        <v>10.438337641567031</v>
      </c>
      <c r="CM14" s="291"/>
      <c r="CN14" s="67" t="s">
        <v>10</v>
      </c>
      <c r="CO14" s="12">
        <f>'Commodity Costs Avoided Detail'!AE33</f>
        <v>3.8299785955724128</v>
      </c>
      <c r="CP14" s="288"/>
      <c r="CQ14" s="288"/>
      <c r="CR14" s="12">
        <f>W34</f>
        <v>0.57472154494229122</v>
      </c>
      <c r="CS14" s="60">
        <f>AM34</f>
        <v>9.4217173743469882</v>
      </c>
      <c r="CT14" s="56">
        <f>BQ34</f>
        <v>1.3826361347198446</v>
      </c>
      <c r="CU14" s="13">
        <f t="shared" si="54"/>
        <v>22.333520386380226</v>
      </c>
      <c r="CV14" s="163">
        <f t="shared" si="57"/>
        <v>0.14102885368786572</v>
      </c>
      <c r="CW14" s="291"/>
      <c r="CX14" s="69" t="str">
        <f>CN14</f>
        <v>Commercial Space Heating</v>
      </c>
      <c r="CY14" s="76">
        <f t="shared" si="52"/>
        <v>3.8299785955724128</v>
      </c>
      <c r="CZ14" s="76">
        <f t="shared" ref="CZ14:CZ18" si="59">CZ13</f>
        <v>6.2625351212148033</v>
      </c>
      <c r="DA14" s="76">
        <f t="shared" si="58"/>
        <v>0.86193161558388465</v>
      </c>
      <c r="DB14" s="76">
        <f t="shared" si="56"/>
        <v>0.57472154494229122</v>
      </c>
      <c r="DC14" s="76">
        <f t="shared" si="56"/>
        <v>9.4217173743469882</v>
      </c>
      <c r="DD14" s="77">
        <f t="shared" si="53"/>
        <v>1.3826361347198446</v>
      </c>
      <c r="DE14" s="78">
        <f t="shared" si="50"/>
        <v>22.333520386380226</v>
      </c>
    </row>
    <row r="15" spans="1:109" ht="13.7" customHeight="1" x14ac:dyDescent="0.25">
      <c r="A15" s="84">
        <f t="shared" si="40"/>
        <v>2032</v>
      </c>
      <c r="B15" s="164">
        <v>8.8999999999999996E-2</v>
      </c>
      <c r="C15" s="170">
        <v>0.77597173144876319</v>
      </c>
      <c r="D15" s="175">
        <v>0.46855123674911658</v>
      </c>
      <c r="E15" s="166">
        <v>0.50405321139056325</v>
      </c>
      <c r="F15" s="167">
        <f>'Commodity Costs Avoided Detail'!N13</f>
        <v>3.3135914853168473</v>
      </c>
      <c r="G15" s="168">
        <v>0.9081101304517718</v>
      </c>
      <c r="H15" s="179">
        <v>6.26403</v>
      </c>
      <c r="I15" s="174">
        <f>('Greenhouse Gas Costs Avoided De'!O12)</f>
        <v>6.1093753646684279</v>
      </c>
      <c r="J15" s="138">
        <v>1.3050658114561318</v>
      </c>
      <c r="K15" s="139">
        <f t="shared" si="41"/>
        <v>2.2302125123427097E-2</v>
      </c>
      <c r="L15" s="129"/>
      <c r="M15" s="7">
        <f t="shared" si="42"/>
        <v>2032</v>
      </c>
      <c r="N15" s="8">
        <f t="shared" si="0"/>
        <v>0.6442738338206585</v>
      </c>
      <c r="O15" s="8">
        <f t="shared" si="0"/>
        <v>0.6442738338206585</v>
      </c>
      <c r="P15" s="8">
        <f t="shared" si="1"/>
        <v>0.57472154494229177</v>
      </c>
      <c r="Q15" s="8">
        <f t="shared" si="2"/>
        <v>0.10720049999999999</v>
      </c>
      <c r="R15" s="8">
        <f t="shared" si="3"/>
        <v>0.11570000000000001</v>
      </c>
      <c r="S15" s="8">
        <f t="shared" si="4"/>
        <v>8.8999999999999996E-2</v>
      </c>
      <c r="T15" s="8">
        <f t="shared" si="5"/>
        <v>8.8999999999999996E-2</v>
      </c>
      <c r="U15" s="8">
        <f t="shared" si="6"/>
        <v>0.6442738338206585</v>
      </c>
      <c r="V15" s="8">
        <f t="shared" si="6"/>
        <v>0.6442738338206585</v>
      </c>
      <c r="W15" s="8">
        <f t="shared" si="7"/>
        <v>0.57472154494229177</v>
      </c>
      <c r="X15" s="8">
        <f t="shared" si="8"/>
        <v>0.10720049999999999</v>
      </c>
      <c r="Y15" s="8">
        <f t="shared" si="9"/>
        <v>0.11570000000000001</v>
      </c>
      <c r="Z15" s="8">
        <f t="shared" si="10"/>
        <v>8.8999999999999996E-2</v>
      </c>
      <c r="AA15" s="8">
        <f t="shared" si="11"/>
        <v>8.8999999999999996E-2</v>
      </c>
      <c r="AB15" s="48"/>
      <c r="AC15" s="7">
        <f t="shared" si="43"/>
        <v>2032</v>
      </c>
      <c r="AD15" s="8">
        <f t="shared" si="12"/>
        <v>4.71776518398263</v>
      </c>
      <c r="AE15" s="8">
        <f t="shared" si="13"/>
        <v>2.3743001252723031</v>
      </c>
      <c r="AF15" s="8">
        <f t="shared" si="14"/>
        <v>5.6890697806849353</v>
      </c>
      <c r="AG15" s="8">
        <f t="shared" si="15"/>
        <v>1.0661644757207067</v>
      </c>
      <c r="AH15" s="8">
        <f t="shared" si="16"/>
        <v>2.9237597173144878</v>
      </c>
      <c r="AI15" s="8">
        <f t="shared" si="17"/>
        <v>0.46855123674911658</v>
      </c>
      <c r="AJ15" s="8">
        <f t="shared" si="18"/>
        <v>0.46855123674911658</v>
      </c>
      <c r="AK15" s="8">
        <f t="shared" si="19"/>
        <v>7.8131314811658026</v>
      </c>
      <c r="AL15" s="8">
        <f t="shared" si="20"/>
        <v>3.932098849998475</v>
      </c>
      <c r="AM15" s="8">
        <f t="shared" si="21"/>
        <v>9.4217173743469971</v>
      </c>
      <c r="AN15" s="8">
        <f t="shared" si="22"/>
        <v>1.7656841543609891</v>
      </c>
      <c r="AO15" s="8">
        <f t="shared" si="23"/>
        <v>4.8420636042402831</v>
      </c>
      <c r="AP15" s="8">
        <f t="shared" si="24"/>
        <v>0.77597173144876308</v>
      </c>
      <c r="AQ15" s="8">
        <f t="shared" si="25"/>
        <v>0.77597173144876308</v>
      </c>
      <c r="AS15" s="7">
        <f t="shared" si="44"/>
        <v>2032</v>
      </c>
      <c r="AT15" s="8">
        <f t="shared" si="26"/>
        <v>5.3620390178032888</v>
      </c>
      <c r="AU15" s="8">
        <f t="shared" si="27"/>
        <v>3.0185739590929614</v>
      </c>
      <c r="AV15" s="8">
        <f t="shared" si="28"/>
        <v>6.2637913256272268</v>
      </c>
      <c r="AW15" s="8">
        <f t="shared" si="29"/>
        <v>1.1733649757207067</v>
      </c>
      <c r="AX15" s="8">
        <f t="shared" si="30"/>
        <v>3.0394597173144877</v>
      </c>
      <c r="AY15" s="8">
        <f t="shared" si="31"/>
        <v>0.55755123674911655</v>
      </c>
      <c r="AZ15" s="8">
        <f t="shared" si="32"/>
        <v>8.4574053149864614</v>
      </c>
      <c r="BA15" s="8">
        <f t="shared" si="33"/>
        <v>4.5763726838191339</v>
      </c>
      <c r="BB15" s="8">
        <f t="shared" si="34"/>
        <v>9.9964389192892895</v>
      </c>
      <c r="BC15" s="8">
        <f t="shared" si="35"/>
        <v>1.8728846543609892</v>
      </c>
      <c r="BD15" s="8">
        <f t="shared" si="36"/>
        <v>4.9577636042402835</v>
      </c>
      <c r="BE15" s="8">
        <f t="shared" si="37"/>
        <v>0.86497173144876305</v>
      </c>
      <c r="BF15" s="48"/>
      <c r="BG15" s="7">
        <f t="shared" si="45"/>
        <v>2032</v>
      </c>
      <c r="BH15" s="8">
        <f>(('Commodity Costs Avoided Detail'!$AE13+AT15)*0.1)</f>
        <v>0.89857389693541989</v>
      </c>
      <c r="BI15" s="8">
        <f>(('Commodity Costs Avoided Detail'!$AE13+AU15)*0.1)</f>
        <v>0.66422739106438711</v>
      </c>
      <c r="BJ15" s="8">
        <f>(('Commodity Costs Avoided Detail'!AE13+AV15)*0.1)</f>
        <v>0.98874912771781354</v>
      </c>
      <c r="BK15" s="8">
        <f>(('Commodity Costs Avoided Detail'!AF13+AW15)*0.1)</f>
        <v>0.45148700651335122</v>
      </c>
      <c r="BL15" s="8">
        <f>(('Commodity Costs Avoided Detail'!AG13+AX15)*0.1)</f>
        <v>0.63530512026313368</v>
      </c>
      <c r="BM15" s="8">
        <f>(('Commodity Costs Avoided Detail'!AH13+AY15)*0.1)</f>
        <v>0.3871142722065965</v>
      </c>
      <c r="BN15" s="8">
        <f>(('Commodity Costs Avoided Detail'!AH13)*0.1)</f>
        <v>0.33135914853168486</v>
      </c>
      <c r="BO15" s="8">
        <f>(('Commodity Costs Avoided Detail'!AE13+AZ15)*0.1)</f>
        <v>1.2081105266537371</v>
      </c>
      <c r="BP15" s="8">
        <f>(('Commodity Costs Avoided Detail'!AE13+BA15)*0.1)</f>
        <v>0.82000726353700437</v>
      </c>
      <c r="BQ15" s="8">
        <f>(('Commodity Costs Avoided Detail'!AE13+BB15)*0.1)</f>
        <v>1.3620138870840199</v>
      </c>
      <c r="BR15" s="8">
        <f>(('Commodity Costs Avoided Detail'!AF13+BC15)*0.1)</f>
        <v>0.52143897437737941</v>
      </c>
      <c r="BS15" s="8">
        <f>(('Commodity Costs Avoided Detail'!AG13+BD15)*0.1)</f>
        <v>0.82713550895571319</v>
      </c>
      <c r="BT15" s="8">
        <f>(('Commodity Costs Avoided Detail'!AH13+BE15)*0.1)</f>
        <v>0.41785632167656117</v>
      </c>
      <c r="BU15" s="8">
        <f>(('Commodity Costs Avoided Detail'!AH13)*0.1)</f>
        <v>0.33135914853168486</v>
      </c>
      <c r="BV15" s="48"/>
      <c r="BW15" s="7">
        <f t="shared" si="46"/>
        <v>2032</v>
      </c>
      <c r="BX15" s="158">
        <f>'Commodity Costs Avoided Detail'!$AE13+AT15+$H15+BH15+$G15</f>
        <v>17.056452996741388</v>
      </c>
      <c r="BY15" s="158">
        <f>'Commodity Costs Avoided Detail'!$AE13+AU15+$H15+BI15+$G15</f>
        <v>14.478641432160028</v>
      </c>
      <c r="BZ15" s="158">
        <f>'Commodity Costs Avoided Detail'!AE13+AV15+$H15+BJ15+G15</f>
        <v>18.048380535347718</v>
      </c>
      <c r="CA15" s="158">
        <f>'Commodity Costs Avoided Detail'!AF13+AW15+$H15+BK15+$G15</f>
        <v>12.138497202098637</v>
      </c>
      <c r="CB15" s="158">
        <f>'Commodity Costs Avoided Detail'!AG13+AX15+$H15+BL15+$G15</f>
        <v>14.160496453346241</v>
      </c>
      <c r="CC15" s="158">
        <f>'Commodity Costs Avoided Detail'!AH13+AY15+$H15+BM15+$G15</f>
        <v>11.430397124724333</v>
      </c>
      <c r="CD15" s="158">
        <f>'Commodity Costs Avoided Detail'!AH13+$H15+BN15+$G15</f>
        <v>10.817090764300307</v>
      </c>
      <c r="CE15" s="160">
        <f>'Commodity Costs Avoided Detail'!$AE13+AZ15+$I15+BO15+$G15</f>
        <v>20.306701288311306</v>
      </c>
      <c r="CF15" s="160">
        <f>'Commodity Costs Avoided Detail'!$AE13+BA15+$I15+BP15+$G15</f>
        <v>16.037565394027247</v>
      </c>
      <c r="CG15" s="160">
        <f>'Commodity Costs Avoided Detail'!AE13+BB15+$I15+BQ15+$G15</f>
        <v>21.99963825304442</v>
      </c>
      <c r="CH15" s="160">
        <f>'Commodity Costs Avoided Detail'!AF13+BC15+$I15+BR15+$G15</f>
        <v>12.753314213271373</v>
      </c>
      <c r="CI15" s="160">
        <f>'Commodity Costs Avoided Detail'!AG13+BD15+$I15+BS15+$G15</f>
        <v>16.115976093633044</v>
      </c>
      <c r="CJ15" s="160">
        <f>'Commodity Costs Avoided Detail'!AH13+BE15+$I15+BT15+$G15</f>
        <v>11.613905033562371</v>
      </c>
      <c r="CK15" s="160">
        <f>'Commodity Costs Avoided Detail'!AH13+$I15+BU15+$G15</f>
        <v>10.662436128968732</v>
      </c>
      <c r="CM15" s="291"/>
      <c r="CN15" s="67" t="s">
        <v>11</v>
      </c>
      <c r="CO15" s="12">
        <f>'Commodity Costs Avoided Detail'!AF33</f>
        <v>3.4959772713243975</v>
      </c>
      <c r="CP15" s="288"/>
      <c r="CQ15" s="288"/>
      <c r="CR15" s="12">
        <f>X34</f>
        <v>0.10720049999999989</v>
      </c>
      <c r="CS15" s="60">
        <f>AN34</f>
        <v>1.7656841543609871</v>
      </c>
      <c r="CT15" s="56">
        <f>BR34</f>
        <v>0.54523495850318393</v>
      </c>
      <c r="CU15" s="13">
        <f t="shared" si="54"/>
        <v>13.038563620987254</v>
      </c>
      <c r="CV15" s="163">
        <f t="shared" si="57"/>
        <v>-4.8152903980606274E-2</v>
      </c>
      <c r="CW15" s="291"/>
      <c r="CX15" s="69" t="str">
        <f>CN15</f>
        <v>Water Heating</v>
      </c>
      <c r="CY15" s="76">
        <f t="shared" si="52"/>
        <v>3.4959772713243975</v>
      </c>
      <c r="CZ15" s="76">
        <f t="shared" si="59"/>
        <v>6.2625351212148033</v>
      </c>
      <c r="DA15" s="76">
        <f t="shared" si="58"/>
        <v>0.86193161558388465</v>
      </c>
      <c r="DB15" s="76">
        <f t="shared" si="56"/>
        <v>0.10720049999999989</v>
      </c>
      <c r="DC15" s="76">
        <f t="shared" si="56"/>
        <v>1.7656841543609871</v>
      </c>
      <c r="DD15" s="77">
        <f t="shared" si="53"/>
        <v>0.54523495850318393</v>
      </c>
      <c r="DE15" s="78">
        <f t="shared" si="50"/>
        <v>13.038563620987254</v>
      </c>
    </row>
    <row r="16" spans="1:109" ht="13.7" customHeight="1" x14ac:dyDescent="0.25">
      <c r="A16" s="84">
        <f t="shared" si="40"/>
        <v>2033</v>
      </c>
      <c r="B16" s="164">
        <v>8.8999999999999996E-2</v>
      </c>
      <c r="C16" s="170">
        <v>0.77597173144876319</v>
      </c>
      <c r="D16" s="175">
        <v>0.46855123674911658</v>
      </c>
      <c r="E16" s="166">
        <v>0.50405321139056325</v>
      </c>
      <c r="F16" s="167">
        <f>'Commodity Costs Avoided Detail'!N14</f>
        <v>3.3746891763049653</v>
      </c>
      <c r="G16" s="168">
        <v>0.89866906251562728</v>
      </c>
      <c r="H16" s="179">
        <v>7.8840000000000003</v>
      </c>
      <c r="I16" s="174">
        <f>('Greenhouse Gas Costs Avoided De'!O13)</f>
        <v>6.1854256804111873</v>
      </c>
      <c r="J16" s="138">
        <v>1.3344799815546236</v>
      </c>
      <c r="K16" s="139">
        <f t="shared" si="41"/>
        <v>2.2538457325514353E-2</v>
      </c>
      <c r="L16" s="129"/>
      <c r="M16" s="7">
        <f t="shared" si="42"/>
        <v>2033</v>
      </c>
      <c r="N16" s="8">
        <f t="shared" si="0"/>
        <v>0.6442738338206585</v>
      </c>
      <c r="O16" s="8">
        <f t="shared" si="0"/>
        <v>0.6442738338206585</v>
      </c>
      <c r="P16" s="8">
        <f t="shared" si="1"/>
        <v>0.57472154494229177</v>
      </c>
      <c r="Q16" s="8">
        <f t="shared" si="2"/>
        <v>0.10720049999999999</v>
      </c>
      <c r="R16" s="8">
        <f t="shared" si="3"/>
        <v>0.11570000000000001</v>
      </c>
      <c r="S16" s="8">
        <f t="shared" si="4"/>
        <v>8.8999999999999996E-2</v>
      </c>
      <c r="T16" s="8">
        <f t="shared" si="5"/>
        <v>8.8999999999999996E-2</v>
      </c>
      <c r="U16" s="8">
        <f t="shared" si="6"/>
        <v>0.6442738338206585</v>
      </c>
      <c r="V16" s="8">
        <f t="shared" si="6"/>
        <v>0.6442738338206585</v>
      </c>
      <c r="W16" s="8">
        <f t="shared" si="7"/>
        <v>0.57472154494229177</v>
      </c>
      <c r="X16" s="8">
        <f t="shared" si="8"/>
        <v>0.10720049999999999</v>
      </c>
      <c r="Y16" s="8">
        <f t="shared" si="9"/>
        <v>0.11570000000000001</v>
      </c>
      <c r="Z16" s="8">
        <f t="shared" si="10"/>
        <v>8.8999999999999996E-2</v>
      </c>
      <c r="AA16" s="8">
        <f t="shared" si="11"/>
        <v>8.8999999999999996E-2</v>
      </c>
      <c r="AB16" s="48"/>
      <c r="AC16" s="7">
        <f t="shared" si="43"/>
        <v>2033</v>
      </c>
      <c r="AD16" s="8">
        <f t="shared" si="12"/>
        <v>4.71776518398263</v>
      </c>
      <c r="AE16" s="8">
        <f t="shared" si="13"/>
        <v>2.3743001252723031</v>
      </c>
      <c r="AF16" s="8">
        <f t="shared" si="14"/>
        <v>5.6890697806849353</v>
      </c>
      <c r="AG16" s="8">
        <f t="shared" si="15"/>
        <v>1.0661644757207067</v>
      </c>
      <c r="AH16" s="8">
        <f t="shared" si="16"/>
        <v>2.9237597173144878</v>
      </c>
      <c r="AI16" s="8">
        <f t="shared" si="17"/>
        <v>0.46855123674911658</v>
      </c>
      <c r="AJ16" s="8">
        <f t="shared" si="18"/>
        <v>0.46855123674911658</v>
      </c>
      <c r="AK16" s="8">
        <f t="shared" si="19"/>
        <v>7.8131314811658026</v>
      </c>
      <c r="AL16" s="8">
        <f t="shared" si="20"/>
        <v>3.932098849998475</v>
      </c>
      <c r="AM16" s="8">
        <f t="shared" si="21"/>
        <v>9.4217173743469971</v>
      </c>
      <c r="AN16" s="8">
        <f t="shared" si="22"/>
        <v>1.7656841543609891</v>
      </c>
      <c r="AO16" s="8">
        <f t="shared" si="23"/>
        <v>4.8420636042402831</v>
      </c>
      <c r="AP16" s="8">
        <f t="shared" si="24"/>
        <v>0.77597173144876308</v>
      </c>
      <c r="AQ16" s="8">
        <f t="shared" si="25"/>
        <v>0.77597173144876308</v>
      </c>
      <c r="AS16" s="7">
        <f t="shared" si="44"/>
        <v>2033</v>
      </c>
      <c r="AT16" s="8">
        <f t="shared" si="26"/>
        <v>5.3620390178032888</v>
      </c>
      <c r="AU16" s="8">
        <f t="shared" si="27"/>
        <v>3.0185739590929614</v>
      </c>
      <c r="AV16" s="8">
        <f t="shared" si="28"/>
        <v>6.2637913256272268</v>
      </c>
      <c r="AW16" s="8">
        <f t="shared" si="29"/>
        <v>1.1733649757207067</v>
      </c>
      <c r="AX16" s="8">
        <f t="shared" si="30"/>
        <v>3.0394597173144877</v>
      </c>
      <c r="AY16" s="8">
        <f t="shared" si="31"/>
        <v>0.55755123674911655</v>
      </c>
      <c r="AZ16" s="8">
        <f t="shared" si="32"/>
        <v>8.4574053149864614</v>
      </c>
      <c r="BA16" s="8">
        <f t="shared" si="33"/>
        <v>4.5763726838191339</v>
      </c>
      <c r="BB16" s="8">
        <f t="shared" si="34"/>
        <v>9.9964389192892895</v>
      </c>
      <c r="BC16" s="8">
        <f t="shared" si="35"/>
        <v>1.8728846543609892</v>
      </c>
      <c r="BD16" s="8">
        <f t="shared" si="36"/>
        <v>4.9577636042402835</v>
      </c>
      <c r="BE16" s="8">
        <f t="shared" si="37"/>
        <v>0.86497173144876305</v>
      </c>
      <c r="BF16" s="48"/>
      <c r="BG16" s="7">
        <f t="shared" si="45"/>
        <v>2033</v>
      </c>
      <c r="BH16" s="8">
        <f>(('Commodity Costs Avoided Detail'!$AE14+AT16)*0.1)</f>
        <v>0.90401263303019042</v>
      </c>
      <c r="BI16" s="8">
        <f>(('Commodity Costs Avoided Detail'!$AE14+AU16)*0.1)</f>
        <v>0.66966612715915774</v>
      </c>
      <c r="BJ16" s="8">
        <f>(('Commodity Costs Avoided Detail'!AE14+AV16)*0.1)</f>
        <v>0.99418786381258417</v>
      </c>
      <c r="BK16" s="8">
        <f>(('Commodity Costs Avoided Detail'!AF14+AW16)*0.1)</f>
        <v>0.45752748023370693</v>
      </c>
      <c r="BL16" s="8">
        <f>(('Commodity Costs Avoided Detail'!AG14+AX16)*0.1)</f>
        <v>0.64141488936194535</v>
      </c>
      <c r="BM16" s="8">
        <f>(('Commodity Costs Avoided Detail'!AH14+AY16)*0.1)</f>
        <v>0.39322404130540822</v>
      </c>
      <c r="BN16" s="8">
        <f>(('Commodity Costs Avoided Detail'!AH14)*0.1)</f>
        <v>0.33746891763049658</v>
      </c>
      <c r="BO16" s="8">
        <f>(('Commodity Costs Avoided Detail'!AE14+AZ16)*0.1)</f>
        <v>1.2135492627485078</v>
      </c>
      <c r="BP16" s="8">
        <f>(('Commodity Costs Avoided Detail'!AE14+BA16)*0.1)</f>
        <v>0.8254459996317749</v>
      </c>
      <c r="BQ16" s="8">
        <f>(('Commodity Costs Avoided Detail'!AE14+BB16)*0.1)</f>
        <v>1.3674526231787905</v>
      </c>
      <c r="BR16" s="8">
        <f>(('Commodity Costs Avoided Detail'!AF14+BC16)*0.1)</f>
        <v>0.52747944809773517</v>
      </c>
      <c r="BS16" s="8">
        <f>(('Commodity Costs Avoided Detail'!AG14+BD16)*0.1)</f>
        <v>0.83324527805452497</v>
      </c>
      <c r="BT16" s="8">
        <f>(('Commodity Costs Avoided Detail'!AH14+BE16)*0.1)</f>
        <v>0.42396609077537289</v>
      </c>
      <c r="BU16" s="8">
        <f>(('Commodity Costs Avoided Detail'!AH14)*0.1)</f>
        <v>0.33746891763049658</v>
      </c>
      <c r="BV16" s="48"/>
      <c r="BW16" s="7">
        <f t="shared" si="46"/>
        <v>2033</v>
      </c>
      <c r="BX16" s="158">
        <f>'Commodity Costs Avoided Detail'!$AE14+AT16+$H16+BH16+$G16</f>
        <v>18.726808025847721</v>
      </c>
      <c r="BY16" s="158">
        <f>'Commodity Costs Avoided Detail'!$AE14+AU16+$H16+BI16+$G16</f>
        <v>16.148996461266361</v>
      </c>
      <c r="BZ16" s="158">
        <f>'Commodity Costs Avoided Detail'!AE14+AV16+$H16+BJ16+G16</f>
        <v>19.718735564454054</v>
      </c>
      <c r="CA16" s="158">
        <f>'Commodity Costs Avoided Detail'!AF14+AW16+$H16+BK16+$G16</f>
        <v>13.815471345086404</v>
      </c>
      <c r="CB16" s="158">
        <f>'Commodity Costs Avoided Detail'!AG14+AX16+$H16+BL16+$G16</f>
        <v>15.838232845497025</v>
      </c>
      <c r="CC16" s="158">
        <f>'Commodity Costs Avoided Detail'!AH14+AY16+$H16+BM16+$G16</f>
        <v>13.108133516875117</v>
      </c>
      <c r="CD16" s="158">
        <f>'Commodity Costs Avoided Detail'!AH14+$H16+BN16+$G16</f>
        <v>12.494827156451091</v>
      </c>
      <c r="CE16" s="160">
        <f>'Commodity Costs Avoided Detail'!$AE14+AZ16+$I16+BO16+$G16</f>
        <v>20.433136633160398</v>
      </c>
      <c r="CF16" s="160">
        <f>'Commodity Costs Avoided Detail'!$AE14+BA16+$I16+BP16+$G16</f>
        <v>16.164000738876339</v>
      </c>
      <c r="CG16" s="160">
        <f>'Commodity Costs Avoided Detail'!AE14+BB16+$I16+BQ16+$G16</f>
        <v>22.126073597893512</v>
      </c>
      <c r="CH16" s="160">
        <f>'Commodity Costs Avoided Detail'!AF14+BC16+$I16+BR16+$G16</f>
        <v>12.8863686720019</v>
      </c>
      <c r="CI16" s="160">
        <f>'Commodity Costs Avoided Detail'!AG14+BD16+$I16+BS16+$G16</f>
        <v>16.249792801526588</v>
      </c>
      <c r="CJ16" s="160">
        <f>'Commodity Costs Avoided Detail'!AH14+BE16+$I16+BT16+$G16</f>
        <v>11.747721741455916</v>
      </c>
      <c r="CK16" s="160">
        <f>'Commodity Costs Avoided Detail'!AH14+$I16+BU16+$G16</f>
        <v>10.796252836862276</v>
      </c>
      <c r="CM16" s="291"/>
      <c r="CN16" s="67" t="s">
        <v>12</v>
      </c>
      <c r="CO16" s="12">
        <f>'Commodity Costs Avoided Detail'!AG33</f>
        <v>3.4694117465000756</v>
      </c>
      <c r="CP16" s="288"/>
      <c r="CQ16" s="288"/>
      <c r="CR16" s="12">
        <f>Y34</f>
        <v>0.11569999999999987</v>
      </c>
      <c r="CS16" s="60">
        <f>AO34</f>
        <v>4.8420636042402787</v>
      </c>
      <c r="CT16" s="56">
        <f>BS34</f>
        <v>0.85113627088029742</v>
      </c>
      <c r="CU16" s="13">
        <f t="shared" si="54"/>
        <v>16.40277835841934</v>
      </c>
      <c r="CV16" s="163">
        <f t="shared" si="57"/>
        <v>4.3272992328129027E-2</v>
      </c>
      <c r="CW16" s="291"/>
      <c r="CX16" s="69" t="str">
        <f>CN16</f>
        <v>Cooking</v>
      </c>
      <c r="CY16" s="76">
        <f t="shared" si="52"/>
        <v>3.4694117465000756</v>
      </c>
      <c r="CZ16" s="76">
        <f t="shared" si="59"/>
        <v>6.2625351212148033</v>
      </c>
      <c r="DA16" s="76">
        <f t="shared" si="58"/>
        <v>0.86193161558388465</v>
      </c>
      <c r="DB16" s="76">
        <f t="shared" si="56"/>
        <v>0.11569999999999987</v>
      </c>
      <c r="DC16" s="76">
        <f t="shared" si="56"/>
        <v>4.8420636042402787</v>
      </c>
      <c r="DD16" s="77">
        <f t="shared" si="53"/>
        <v>0.85113627088029742</v>
      </c>
      <c r="DE16" s="78">
        <f t="shared" si="50"/>
        <v>16.40277835841934</v>
      </c>
    </row>
    <row r="17" spans="1:109" ht="13.7" customHeight="1" x14ac:dyDescent="0.25">
      <c r="A17" s="84">
        <f t="shared" si="40"/>
        <v>2034</v>
      </c>
      <c r="B17" s="164">
        <v>8.8999999999999996E-2</v>
      </c>
      <c r="C17" s="170">
        <v>0.77597173144876319</v>
      </c>
      <c r="D17" s="175">
        <v>0.46855123674911658</v>
      </c>
      <c r="E17" s="166">
        <v>0.50405321139056325</v>
      </c>
      <c r="F17" s="167">
        <f>'Commodity Costs Avoided Detail'!N15</f>
        <v>3.3899170437510371</v>
      </c>
      <c r="G17" s="168">
        <v>0.96726188116472711</v>
      </c>
      <c r="H17" s="179">
        <v>7.601</v>
      </c>
      <c r="I17" s="174">
        <f>('Greenhouse Gas Costs Avoided De'!O14)</f>
        <v>6.2614759961539477</v>
      </c>
      <c r="J17" s="138">
        <v>1.3645747248026565</v>
      </c>
      <c r="K17" s="139">
        <f t="shared" si="41"/>
        <v>2.2551663317552068E-2</v>
      </c>
      <c r="L17" s="129"/>
      <c r="M17" s="7">
        <f t="shared" si="42"/>
        <v>2034</v>
      </c>
      <c r="N17" s="8">
        <f t="shared" si="0"/>
        <v>0.6442738338206585</v>
      </c>
      <c r="O17" s="8">
        <f t="shared" si="0"/>
        <v>0.6442738338206585</v>
      </c>
      <c r="P17" s="8">
        <f t="shared" si="1"/>
        <v>0.57472154494229177</v>
      </c>
      <c r="Q17" s="8">
        <f t="shared" si="2"/>
        <v>0.10720049999999999</v>
      </c>
      <c r="R17" s="8">
        <f t="shared" si="3"/>
        <v>0.11570000000000001</v>
      </c>
      <c r="S17" s="8">
        <f t="shared" si="4"/>
        <v>8.8999999999999996E-2</v>
      </c>
      <c r="T17" s="8">
        <f t="shared" si="5"/>
        <v>8.8999999999999996E-2</v>
      </c>
      <c r="U17" s="8">
        <f t="shared" si="6"/>
        <v>0.6442738338206585</v>
      </c>
      <c r="V17" s="8">
        <f t="shared" si="6"/>
        <v>0.6442738338206585</v>
      </c>
      <c r="W17" s="8">
        <f t="shared" si="7"/>
        <v>0.57472154494229177</v>
      </c>
      <c r="X17" s="8">
        <f t="shared" si="8"/>
        <v>0.10720049999999999</v>
      </c>
      <c r="Y17" s="8">
        <f t="shared" si="9"/>
        <v>0.11570000000000001</v>
      </c>
      <c r="Z17" s="8">
        <f t="shared" si="10"/>
        <v>8.8999999999999996E-2</v>
      </c>
      <c r="AA17" s="8">
        <f t="shared" si="11"/>
        <v>8.8999999999999996E-2</v>
      </c>
      <c r="AB17" s="48"/>
      <c r="AC17" s="7">
        <f t="shared" si="43"/>
        <v>2034</v>
      </c>
      <c r="AD17" s="8">
        <f t="shared" si="12"/>
        <v>4.71776518398263</v>
      </c>
      <c r="AE17" s="8">
        <f t="shared" si="13"/>
        <v>2.3743001252723031</v>
      </c>
      <c r="AF17" s="8">
        <f t="shared" si="14"/>
        <v>5.6890697806849353</v>
      </c>
      <c r="AG17" s="8">
        <f t="shared" si="15"/>
        <v>1.0661644757207067</v>
      </c>
      <c r="AH17" s="8">
        <f t="shared" si="16"/>
        <v>2.9237597173144878</v>
      </c>
      <c r="AI17" s="8">
        <f t="shared" si="17"/>
        <v>0.46855123674911658</v>
      </c>
      <c r="AJ17" s="8">
        <f t="shared" si="18"/>
        <v>0.46855123674911658</v>
      </c>
      <c r="AK17" s="8">
        <f t="shared" si="19"/>
        <v>7.8131314811658026</v>
      </c>
      <c r="AL17" s="8">
        <f t="shared" si="20"/>
        <v>3.932098849998475</v>
      </c>
      <c r="AM17" s="8">
        <f t="shared" si="21"/>
        <v>9.4217173743469971</v>
      </c>
      <c r="AN17" s="8">
        <f t="shared" si="22"/>
        <v>1.7656841543609891</v>
      </c>
      <c r="AO17" s="8">
        <f t="shared" si="23"/>
        <v>4.8420636042402831</v>
      </c>
      <c r="AP17" s="8">
        <f t="shared" si="24"/>
        <v>0.77597173144876308</v>
      </c>
      <c r="AQ17" s="8">
        <f t="shared" si="25"/>
        <v>0.77597173144876308</v>
      </c>
      <c r="AS17" s="7">
        <f t="shared" si="44"/>
        <v>2034</v>
      </c>
      <c r="AT17" s="8">
        <f t="shared" si="26"/>
        <v>5.3620390178032888</v>
      </c>
      <c r="AU17" s="8">
        <f t="shared" si="27"/>
        <v>3.0185739590929614</v>
      </c>
      <c r="AV17" s="8">
        <f t="shared" si="28"/>
        <v>6.2637913256272268</v>
      </c>
      <c r="AW17" s="8">
        <f t="shared" si="29"/>
        <v>1.1733649757207067</v>
      </c>
      <c r="AX17" s="8">
        <f t="shared" si="30"/>
        <v>3.0394597173144877</v>
      </c>
      <c r="AY17" s="8">
        <f t="shared" si="31"/>
        <v>0.55755123674911655</v>
      </c>
      <c r="AZ17" s="8">
        <f t="shared" si="32"/>
        <v>8.4574053149864614</v>
      </c>
      <c r="BA17" s="8">
        <f t="shared" si="33"/>
        <v>4.5763726838191339</v>
      </c>
      <c r="BB17" s="8">
        <f t="shared" si="34"/>
        <v>9.9964389192892895</v>
      </c>
      <c r="BC17" s="8">
        <f t="shared" si="35"/>
        <v>1.8728846543609892</v>
      </c>
      <c r="BD17" s="8">
        <f t="shared" si="36"/>
        <v>4.9577636042402835</v>
      </c>
      <c r="BE17" s="8">
        <f t="shared" si="37"/>
        <v>0.86497173144876305</v>
      </c>
      <c r="BF17" s="48"/>
      <c r="BG17" s="7">
        <f t="shared" si="45"/>
        <v>2034</v>
      </c>
      <c r="BH17" s="8">
        <f>(('Commodity Costs Avoided Detail'!$AE15+AT17)*0.1)</f>
        <v>0.90348851210909553</v>
      </c>
      <c r="BI17" s="8">
        <f>(('Commodity Costs Avoided Detail'!$AE15+AU17)*0.1)</f>
        <v>0.66914200623806286</v>
      </c>
      <c r="BJ17" s="8">
        <f>(('Commodity Costs Avoided Detail'!AE15+AV17)*0.1)</f>
        <v>0.9936637428914894</v>
      </c>
      <c r="BK17" s="8">
        <f>(('Commodity Costs Avoided Detail'!AF15+AW17)*0.1)</f>
        <v>0.45914372493872246</v>
      </c>
      <c r="BL17" s="8">
        <f>(('Commodity Costs Avoided Detail'!AG15+AX17)*0.1)</f>
        <v>0.6429376761065525</v>
      </c>
      <c r="BM17" s="8">
        <f>(('Commodity Costs Avoided Detail'!AH15+AY17)*0.1)</f>
        <v>0.39474682805001543</v>
      </c>
      <c r="BN17" s="8">
        <f>(('Commodity Costs Avoided Detail'!AH15)*0.1)</f>
        <v>0.33899170437510379</v>
      </c>
      <c r="BO17" s="8">
        <f>(('Commodity Costs Avoided Detail'!AE15+AZ17)*0.1)</f>
        <v>1.2130251418274129</v>
      </c>
      <c r="BP17" s="8">
        <f>(('Commodity Costs Avoided Detail'!AE15+BA17)*0.1)</f>
        <v>0.82492187871068023</v>
      </c>
      <c r="BQ17" s="8">
        <f>(('Commodity Costs Avoided Detail'!AE15+BB17)*0.1)</f>
        <v>1.3669285022576958</v>
      </c>
      <c r="BR17" s="8">
        <f>(('Commodity Costs Avoided Detail'!AF15+BC17)*0.1)</f>
        <v>0.52909569280275082</v>
      </c>
      <c r="BS17" s="8">
        <f>(('Commodity Costs Avoided Detail'!AG15+BD17)*0.1)</f>
        <v>0.83476806479913224</v>
      </c>
      <c r="BT17" s="8">
        <f>(('Commodity Costs Avoided Detail'!AH15+BE17)*0.1)</f>
        <v>0.4254888775199801</v>
      </c>
      <c r="BU17" s="8">
        <f>(('Commodity Costs Avoided Detail'!AH15)*0.1)</f>
        <v>0.33899170437510379</v>
      </c>
      <c r="BV17" s="48"/>
      <c r="BW17" s="7">
        <f t="shared" si="46"/>
        <v>2034</v>
      </c>
      <c r="BX17" s="158">
        <f>'Commodity Costs Avoided Detail'!$AE15+AT17+$H17+BH17+$G17</f>
        <v>18.506635514364778</v>
      </c>
      <c r="BY17" s="158">
        <f>'Commodity Costs Avoided Detail'!$AE15+AU17+$H17+BI17+$G17</f>
        <v>15.928823949783419</v>
      </c>
      <c r="BZ17" s="158">
        <f>'Commodity Costs Avoided Detail'!AE15+AV17+$H17+BJ17+G17</f>
        <v>19.498563052971111</v>
      </c>
      <c r="CA17" s="158">
        <f>'Commodity Costs Avoided Detail'!AF15+AW17+$H17+BK17+$G17</f>
        <v>13.618842855490676</v>
      </c>
      <c r="CB17" s="158">
        <f>'Commodity Costs Avoided Detail'!AG15+AX17+$H17+BL17+$G17</f>
        <v>15.640576318336805</v>
      </c>
      <c r="CC17" s="158">
        <f>'Commodity Costs Avoided Detail'!AH15+AY17+$H17+BM17+$G17</f>
        <v>12.910476989714898</v>
      </c>
      <c r="CD17" s="158">
        <f>'Commodity Costs Avoided Detail'!AH15+$H17+BN17+$G17</f>
        <v>12.29717062929087</v>
      </c>
      <c r="CE17" s="160">
        <f>'Commodity Costs Avoided Detail'!$AE15+AZ17+$I17+BO17+$G17</f>
        <v>20.572014437420215</v>
      </c>
      <c r="CF17" s="160">
        <f>'Commodity Costs Avoided Detail'!$AE15+BA17+$I17+BP17+$G17</f>
        <v>16.302878543136156</v>
      </c>
      <c r="CG17" s="160">
        <f>'Commodity Costs Avoided Detail'!AE15+BB17+$I17+BQ17+$G17</f>
        <v>22.264951402153329</v>
      </c>
      <c r="CH17" s="160">
        <f>'Commodity Costs Avoided Detail'!AF15+BC17+$I17+BR17+$G17</f>
        <v>13.048790498148934</v>
      </c>
      <c r="CI17" s="160">
        <f>'Commodity Costs Avoided Detail'!AG15+BD17+$I17+BS17+$G17</f>
        <v>16.411186590109129</v>
      </c>
      <c r="CJ17" s="160">
        <f>'Commodity Costs Avoided Detail'!AH15+BE17+$I17+BT17+$G17</f>
        <v>11.909115530038456</v>
      </c>
      <c r="CK17" s="160">
        <f>'Commodity Costs Avoided Detail'!AH15+$I17+BU17+$G17</f>
        <v>10.957646625444816</v>
      </c>
      <c r="CM17" s="291"/>
      <c r="CN17" s="67" t="s">
        <v>13</v>
      </c>
      <c r="CO17" s="12">
        <f>'Commodity Costs Avoided Detail'!AH33</f>
        <v>3.4694117465000756</v>
      </c>
      <c r="CP17" s="288"/>
      <c r="CQ17" s="288"/>
      <c r="CR17" s="12">
        <f>Z34</f>
        <v>8.8999999999999913E-2</v>
      </c>
      <c r="CS17" s="60">
        <f>AP34</f>
        <v>0.77597173144876241</v>
      </c>
      <c r="CT17" s="56">
        <f>BT34</f>
        <v>0.44185708360114589</v>
      </c>
      <c r="CU17" s="13">
        <f t="shared" si="54"/>
        <v>11.900707298348673</v>
      </c>
      <c r="CV17" s="163">
        <f t="shared" si="57"/>
        <v>-8.4020040052021114E-2</v>
      </c>
      <c r="CW17" s="291"/>
      <c r="CX17" s="69" t="str">
        <f>CN17</f>
        <v>Process Load</v>
      </c>
      <c r="CY17" s="76">
        <f t="shared" si="52"/>
        <v>3.4694117465000756</v>
      </c>
      <c r="CZ17" s="76">
        <f t="shared" si="59"/>
        <v>6.2625351212148033</v>
      </c>
      <c r="DA17" s="76">
        <f t="shared" si="58"/>
        <v>0.86193161558388465</v>
      </c>
      <c r="DB17" s="76">
        <f t="shared" si="56"/>
        <v>8.8999999999999913E-2</v>
      </c>
      <c r="DC17" s="76">
        <f t="shared" si="56"/>
        <v>0.77597173144876241</v>
      </c>
      <c r="DD17" s="77">
        <f t="shared" si="53"/>
        <v>0.44185708360114589</v>
      </c>
      <c r="DE17" s="78">
        <f t="shared" si="50"/>
        <v>11.900707298348673</v>
      </c>
    </row>
    <row r="18" spans="1:109" ht="13.7" customHeight="1" thickBot="1" x14ac:dyDescent="0.3">
      <c r="A18" s="84">
        <f t="shared" si="40"/>
        <v>2035</v>
      </c>
      <c r="B18" s="164">
        <v>8.8999999999999996E-2</v>
      </c>
      <c r="C18" s="170">
        <v>0.77597173144876319</v>
      </c>
      <c r="D18" s="175">
        <v>0.46855123674911658</v>
      </c>
      <c r="E18" s="166">
        <v>0.50405321139056325</v>
      </c>
      <c r="F18" s="167">
        <f>'Commodity Costs Avoided Detail'!N16</f>
        <v>3.3119830459632609</v>
      </c>
      <c r="G18" s="168">
        <v>1.0387817977358944</v>
      </c>
      <c r="H18" s="179">
        <v>7.3079999999999998</v>
      </c>
      <c r="I18" s="174">
        <f>('Greenhouse Gas Costs Avoided De'!O15)</f>
        <v>6.3375263118967089</v>
      </c>
      <c r="J18" s="138">
        <v>1.3955070820273117</v>
      </c>
      <c r="K18" s="139">
        <f t="shared" si="41"/>
        <v>2.2668129976633238E-2</v>
      </c>
      <c r="L18" s="129"/>
      <c r="M18" s="7">
        <f t="shared" si="42"/>
        <v>2035</v>
      </c>
      <c r="N18" s="8">
        <f t="shared" si="0"/>
        <v>0.6442738338206585</v>
      </c>
      <c r="O18" s="8">
        <f t="shared" si="0"/>
        <v>0.6442738338206585</v>
      </c>
      <c r="P18" s="8">
        <f t="shared" si="1"/>
        <v>0.57472154494229177</v>
      </c>
      <c r="Q18" s="8">
        <f t="shared" si="2"/>
        <v>0.10720049999999999</v>
      </c>
      <c r="R18" s="8">
        <f t="shared" si="3"/>
        <v>0.11570000000000001</v>
      </c>
      <c r="S18" s="8">
        <f t="shared" si="4"/>
        <v>8.8999999999999996E-2</v>
      </c>
      <c r="T18" s="8">
        <f t="shared" si="5"/>
        <v>8.8999999999999996E-2</v>
      </c>
      <c r="U18" s="8">
        <f t="shared" si="6"/>
        <v>0.6442738338206585</v>
      </c>
      <c r="V18" s="8">
        <f t="shared" si="6"/>
        <v>0.6442738338206585</v>
      </c>
      <c r="W18" s="8">
        <f t="shared" si="7"/>
        <v>0.57472154494229177</v>
      </c>
      <c r="X18" s="8">
        <f t="shared" si="8"/>
        <v>0.10720049999999999</v>
      </c>
      <c r="Y18" s="8">
        <f t="shared" si="9"/>
        <v>0.11570000000000001</v>
      </c>
      <c r="Z18" s="8">
        <f t="shared" si="10"/>
        <v>8.8999999999999996E-2</v>
      </c>
      <c r="AA18" s="8">
        <f t="shared" si="11"/>
        <v>8.8999999999999996E-2</v>
      </c>
      <c r="AB18" s="48"/>
      <c r="AC18" s="7">
        <f t="shared" si="43"/>
        <v>2035</v>
      </c>
      <c r="AD18" s="8">
        <f t="shared" si="12"/>
        <v>4.71776518398263</v>
      </c>
      <c r="AE18" s="8">
        <f t="shared" si="13"/>
        <v>2.3743001252723031</v>
      </c>
      <c r="AF18" s="8">
        <f t="shared" si="14"/>
        <v>5.6890697806849353</v>
      </c>
      <c r="AG18" s="8">
        <f t="shared" si="15"/>
        <v>1.0661644757207067</v>
      </c>
      <c r="AH18" s="8">
        <f t="shared" si="16"/>
        <v>2.9237597173144878</v>
      </c>
      <c r="AI18" s="8">
        <f t="shared" si="17"/>
        <v>0.46855123674911658</v>
      </c>
      <c r="AJ18" s="8">
        <f t="shared" si="18"/>
        <v>0.46855123674911658</v>
      </c>
      <c r="AK18" s="8">
        <f t="shared" si="19"/>
        <v>7.8131314811658026</v>
      </c>
      <c r="AL18" s="8">
        <f t="shared" si="20"/>
        <v>3.932098849998475</v>
      </c>
      <c r="AM18" s="8">
        <f t="shared" si="21"/>
        <v>9.4217173743469971</v>
      </c>
      <c r="AN18" s="8">
        <f t="shared" si="22"/>
        <v>1.7656841543609891</v>
      </c>
      <c r="AO18" s="8">
        <f t="shared" si="23"/>
        <v>4.8420636042402831</v>
      </c>
      <c r="AP18" s="8">
        <f t="shared" si="24"/>
        <v>0.77597173144876308</v>
      </c>
      <c r="AQ18" s="8">
        <f t="shared" si="25"/>
        <v>0.77597173144876308</v>
      </c>
      <c r="AS18" s="7">
        <f t="shared" si="44"/>
        <v>2035</v>
      </c>
      <c r="AT18" s="8">
        <f t="shared" si="26"/>
        <v>5.3620390178032888</v>
      </c>
      <c r="AU18" s="8">
        <f t="shared" si="27"/>
        <v>3.0185739590929614</v>
      </c>
      <c r="AV18" s="8">
        <f t="shared" si="28"/>
        <v>6.2637913256272268</v>
      </c>
      <c r="AW18" s="8">
        <f t="shared" si="29"/>
        <v>1.1733649757207067</v>
      </c>
      <c r="AX18" s="8">
        <f t="shared" si="30"/>
        <v>3.0394597173144877</v>
      </c>
      <c r="AY18" s="8">
        <f t="shared" si="31"/>
        <v>0.55755123674911655</v>
      </c>
      <c r="AZ18" s="8">
        <f t="shared" si="32"/>
        <v>8.4574053149864614</v>
      </c>
      <c r="BA18" s="8">
        <f t="shared" si="33"/>
        <v>4.5763726838191339</v>
      </c>
      <c r="BB18" s="8">
        <f t="shared" si="34"/>
        <v>9.9964389192892895</v>
      </c>
      <c r="BC18" s="8">
        <f t="shared" si="35"/>
        <v>1.8728846543609892</v>
      </c>
      <c r="BD18" s="8">
        <f t="shared" si="36"/>
        <v>4.9577636042402835</v>
      </c>
      <c r="BE18" s="8">
        <f t="shared" si="37"/>
        <v>0.86497173144876305</v>
      </c>
      <c r="BF18" s="48"/>
      <c r="BG18" s="7">
        <f t="shared" si="45"/>
        <v>2035</v>
      </c>
      <c r="BH18" s="8">
        <f>(('Commodity Costs Avoided Detail'!$AE16+AT18)*0.1)</f>
        <v>0.89573475650228351</v>
      </c>
      <c r="BI18" s="8">
        <f>(('Commodity Costs Avoided Detail'!$AE16+AU18)*0.1)</f>
        <v>0.66138825063125073</v>
      </c>
      <c r="BJ18" s="8">
        <f>(('Commodity Costs Avoided Detail'!AE16+AV18)*0.1)</f>
        <v>0.98590998728467716</v>
      </c>
      <c r="BK18" s="8">
        <f>(('Commodity Costs Avoided Detail'!AF16+AW18)*0.1)</f>
        <v>0.45090752808389145</v>
      </c>
      <c r="BL18" s="8">
        <f>(('Commodity Costs Avoided Detail'!AG16+AX18)*0.1)</f>
        <v>0.63514427632777493</v>
      </c>
      <c r="BM18" s="8">
        <f>(('Commodity Costs Avoided Detail'!AH16+AY18)*0.1)</f>
        <v>0.3869534282712378</v>
      </c>
      <c r="BN18" s="8">
        <f>(('Commodity Costs Avoided Detail'!AH16)*0.1)</f>
        <v>0.33119830459632615</v>
      </c>
      <c r="BO18" s="8">
        <f>(('Commodity Costs Avoided Detail'!AE16+AZ18)*0.1)</f>
        <v>1.2052713862206008</v>
      </c>
      <c r="BP18" s="8">
        <f>(('Commodity Costs Avoided Detail'!AE16+BA18)*0.1)</f>
        <v>0.81716812310386799</v>
      </c>
      <c r="BQ18" s="8">
        <f>(('Commodity Costs Avoided Detail'!AE16+BB18)*0.1)</f>
        <v>1.3591747466508837</v>
      </c>
      <c r="BR18" s="8">
        <f>(('Commodity Costs Avoided Detail'!AF16+BC18)*0.1)</f>
        <v>0.52085949594791969</v>
      </c>
      <c r="BS18" s="8">
        <f>(('Commodity Costs Avoided Detail'!AG16+BD18)*0.1)</f>
        <v>0.82697466502035444</v>
      </c>
      <c r="BT18" s="8">
        <f>(('Commodity Costs Avoided Detail'!AH16+BE18)*0.1)</f>
        <v>0.41769547774120253</v>
      </c>
      <c r="BU18" s="8">
        <f>(('Commodity Costs Avoided Detail'!AH16)*0.1)</f>
        <v>0.33119830459632615</v>
      </c>
      <c r="BV18" s="48"/>
      <c r="BW18" s="7">
        <f t="shared" si="46"/>
        <v>2035</v>
      </c>
      <c r="BX18" s="158">
        <f>'Commodity Costs Avoided Detail'!$AE16+AT18+$H18+BH18+$G18</f>
        <v>18.199864119261012</v>
      </c>
      <c r="BY18" s="158">
        <f>'Commodity Costs Avoided Detail'!$AE16+AU18+$H18+BI18+$G18</f>
        <v>15.622052554679652</v>
      </c>
      <c r="BZ18" s="158">
        <f>'Commodity Costs Avoided Detail'!AE16+AV18+$H18+BJ18+G18</f>
        <v>19.191791657867341</v>
      </c>
      <c r="CA18" s="158">
        <f>'Commodity Costs Avoided Detail'!AF16+AW18+$H18+BK18+$G18</f>
        <v>13.3067646066587</v>
      </c>
      <c r="CB18" s="158">
        <f>'Commodity Costs Avoided Detail'!AG16+AX18+$H18+BL18+$G18</f>
        <v>15.333368837341418</v>
      </c>
      <c r="CC18" s="158">
        <f>'Commodity Costs Avoided Detail'!AH16+AY18+$H18+BM18+$G18</f>
        <v>12.60326950871951</v>
      </c>
      <c r="CD18" s="158">
        <f>'Commodity Costs Avoided Detail'!AH16+$H18+BN18+$G18</f>
        <v>11.98996314829548</v>
      </c>
      <c r="CE18" s="160">
        <f>'Commodity Costs Avoided Detail'!$AE16+AZ18+$I18+BO18+$G18</f>
        <v>20.63429335805921</v>
      </c>
      <c r="CF18" s="160">
        <f>'Commodity Costs Avoided Detail'!$AE16+BA18+$I18+BP18+$G18</f>
        <v>16.365157463775152</v>
      </c>
      <c r="CG18" s="160">
        <f>'Commodity Costs Avoided Detail'!AE16+BB18+$I18+BQ18+$G18</f>
        <v>22.327230322792321</v>
      </c>
      <c r="CH18" s="160">
        <f>'Commodity Costs Avoided Detail'!AF16+BC18+$I18+BR18+$G18</f>
        <v>13.10576256505972</v>
      </c>
      <c r="CI18" s="160">
        <f>'Commodity Costs Avoided Detail'!AG16+BD18+$I18+BS18+$G18</f>
        <v>16.473029424856502</v>
      </c>
      <c r="CJ18" s="160">
        <f>'Commodity Costs Avoided Detail'!AH16+BE18+$I18+BT18+$G18</f>
        <v>11.970958364785833</v>
      </c>
      <c r="CK18" s="160">
        <f>'Commodity Costs Avoided Detail'!AH16+$I18+BU18+$G18</f>
        <v>11.01948946019219</v>
      </c>
      <c r="CM18" s="292"/>
      <c r="CN18" s="68" t="s">
        <v>26</v>
      </c>
      <c r="CO18" s="14">
        <f>'Commodity Costs Avoided Detail'!AH33</f>
        <v>3.4694117465000756</v>
      </c>
      <c r="CP18" s="289"/>
      <c r="CQ18" s="289"/>
      <c r="CR18" s="17" t="s">
        <v>27</v>
      </c>
      <c r="CS18" s="62" t="s">
        <v>27</v>
      </c>
      <c r="CT18" s="58">
        <f>BU34</f>
        <v>0.35535991045626975</v>
      </c>
      <c r="CU18" s="19">
        <f>CO18+CP12+CQ12+CT18</f>
        <v>10.949238393755033</v>
      </c>
      <c r="CV18" s="163">
        <f t="shared" si="57"/>
        <v>-0.11550013152077952</v>
      </c>
      <c r="CW18" s="292"/>
      <c r="CX18" s="71" t="s">
        <v>26</v>
      </c>
      <c r="CY18" s="79">
        <f t="shared" si="52"/>
        <v>3.4694117465000756</v>
      </c>
      <c r="CZ18" s="79">
        <f t="shared" si="59"/>
        <v>6.2625351212148033</v>
      </c>
      <c r="DA18" s="79">
        <f t="shared" si="58"/>
        <v>0.86193161558388465</v>
      </c>
      <c r="DB18" s="79">
        <v>0</v>
      </c>
      <c r="DC18" s="79">
        <v>0</v>
      </c>
      <c r="DD18" s="18">
        <f t="shared" si="53"/>
        <v>0.35535991045626975</v>
      </c>
      <c r="DE18" s="19">
        <f t="shared" si="50"/>
        <v>10.949238393755033</v>
      </c>
    </row>
    <row r="19" spans="1:109" ht="13.7" customHeight="1" x14ac:dyDescent="0.25">
      <c r="A19" s="84">
        <f t="shared" si="40"/>
        <v>2036</v>
      </c>
      <c r="B19" s="164">
        <v>8.8999999999999996E-2</v>
      </c>
      <c r="C19" s="170">
        <v>0.77597173144876319</v>
      </c>
      <c r="D19" s="175">
        <v>0.46855123674911658</v>
      </c>
      <c r="E19" s="166">
        <v>0.50405321139056325</v>
      </c>
      <c r="F19" s="167">
        <f>'Commodity Costs Avoided Detail'!N17</f>
        <v>3.3302388393621083</v>
      </c>
      <c r="G19" s="168">
        <v>1.036412651724604</v>
      </c>
      <c r="H19" s="179">
        <v>12.750999999999999</v>
      </c>
      <c r="I19" s="174">
        <f>('Greenhouse Gas Costs Avoided De'!O16)</f>
        <v>6.4389267328870554</v>
      </c>
      <c r="J19" s="138">
        <v>1.4270910937254941</v>
      </c>
      <c r="K19" s="139">
        <f t="shared" si="41"/>
        <v>2.2632641643279272E-2</v>
      </c>
      <c r="L19" s="129"/>
      <c r="M19" s="7">
        <f t="shared" si="42"/>
        <v>2036</v>
      </c>
      <c r="N19" s="8">
        <f t="shared" si="0"/>
        <v>0.6442738338206585</v>
      </c>
      <c r="O19" s="8">
        <f t="shared" si="0"/>
        <v>0.6442738338206585</v>
      </c>
      <c r="P19" s="8">
        <f t="shared" si="1"/>
        <v>0.57472154494229177</v>
      </c>
      <c r="Q19" s="8">
        <f t="shared" si="2"/>
        <v>0.10720049999999999</v>
      </c>
      <c r="R19" s="8">
        <f t="shared" si="3"/>
        <v>0.11570000000000001</v>
      </c>
      <c r="S19" s="8">
        <f t="shared" si="4"/>
        <v>8.8999999999999996E-2</v>
      </c>
      <c r="T19" s="8">
        <f t="shared" si="5"/>
        <v>8.8999999999999996E-2</v>
      </c>
      <c r="U19" s="8">
        <f t="shared" si="6"/>
        <v>0.6442738338206585</v>
      </c>
      <c r="V19" s="8">
        <f t="shared" si="6"/>
        <v>0.6442738338206585</v>
      </c>
      <c r="W19" s="8">
        <f t="shared" si="7"/>
        <v>0.57472154494229177</v>
      </c>
      <c r="X19" s="8">
        <f t="shared" si="8"/>
        <v>0.10720049999999999</v>
      </c>
      <c r="Y19" s="8">
        <f t="shared" si="9"/>
        <v>0.11570000000000001</v>
      </c>
      <c r="Z19" s="8">
        <f t="shared" si="10"/>
        <v>8.8999999999999996E-2</v>
      </c>
      <c r="AA19" s="8">
        <f t="shared" si="11"/>
        <v>8.8999999999999996E-2</v>
      </c>
      <c r="AB19" s="48"/>
      <c r="AC19" s="7">
        <f t="shared" si="43"/>
        <v>2036</v>
      </c>
      <c r="AD19" s="8">
        <f t="shared" si="12"/>
        <v>4.71776518398263</v>
      </c>
      <c r="AE19" s="8">
        <f t="shared" si="13"/>
        <v>2.3743001252723031</v>
      </c>
      <c r="AF19" s="8">
        <f t="shared" si="14"/>
        <v>5.6890697806849353</v>
      </c>
      <c r="AG19" s="8">
        <f t="shared" si="15"/>
        <v>1.0661644757207067</v>
      </c>
      <c r="AH19" s="8">
        <f t="shared" si="16"/>
        <v>2.9237597173144878</v>
      </c>
      <c r="AI19" s="8">
        <f t="shared" si="17"/>
        <v>0.46855123674911658</v>
      </c>
      <c r="AJ19" s="8">
        <f t="shared" si="18"/>
        <v>0.46855123674911658</v>
      </c>
      <c r="AK19" s="8">
        <f t="shared" si="19"/>
        <v>7.8131314811658026</v>
      </c>
      <c r="AL19" s="8">
        <f t="shared" si="20"/>
        <v>3.932098849998475</v>
      </c>
      <c r="AM19" s="8">
        <f t="shared" si="21"/>
        <v>9.4217173743469971</v>
      </c>
      <c r="AN19" s="8">
        <f t="shared" si="22"/>
        <v>1.7656841543609891</v>
      </c>
      <c r="AO19" s="8">
        <f t="shared" si="23"/>
        <v>4.8420636042402831</v>
      </c>
      <c r="AP19" s="8">
        <f t="shared" si="24"/>
        <v>0.77597173144876308</v>
      </c>
      <c r="AQ19" s="8">
        <f t="shared" si="25"/>
        <v>0.77597173144876308</v>
      </c>
      <c r="AS19" s="7">
        <f t="shared" si="44"/>
        <v>2036</v>
      </c>
      <c r="AT19" s="8">
        <f t="shared" si="26"/>
        <v>5.3620390178032888</v>
      </c>
      <c r="AU19" s="8">
        <f t="shared" si="27"/>
        <v>3.0185739590929614</v>
      </c>
      <c r="AV19" s="8">
        <f t="shared" si="28"/>
        <v>6.2637913256272268</v>
      </c>
      <c r="AW19" s="8">
        <f t="shared" si="29"/>
        <v>1.1733649757207067</v>
      </c>
      <c r="AX19" s="8">
        <f t="shared" si="30"/>
        <v>3.0394597173144877</v>
      </c>
      <c r="AY19" s="8">
        <f t="shared" si="31"/>
        <v>0.55755123674911655</v>
      </c>
      <c r="AZ19" s="8">
        <f t="shared" si="32"/>
        <v>8.4574053149864614</v>
      </c>
      <c r="BA19" s="8">
        <f t="shared" si="33"/>
        <v>4.5763726838191339</v>
      </c>
      <c r="BB19" s="8">
        <f t="shared" si="34"/>
        <v>9.9964389192892895</v>
      </c>
      <c r="BC19" s="8">
        <f t="shared" si="35"/>
        <v>1.8728846543609892</v>
      </c>
      <c r="BD19" s="8">
        <f t="shared" si="36"/>
        <v>4.9577636042402835</v>
      </c>
      <c r="BE19" s="8">
        <f t="shared" si="37"/>
        <v>0.86497173144876305</v>
      </c>
      <c r="BF19" s="48"/>
      <c r="BG19" s="7">
        <f t="shared" si="45"/>
        <v>2036</v>
      </c>
      <c r="BH19" s="8">
        <f>(('Commodity Costs Avoided Detail'!$AE17+AT19)*0.1)</f>
        <v>0.90106544155869706</v>
      </c>
      <c r="BI19" s="8">
        <f>(('Commodity Costs Avoided Detail'!$AE17+AU19)*0.1)</f>
        <v>0.66671893568766427</v>
      </c>
      <c r="BJ19" s="8">
        <f>(('Commodity Costs Avoided Detail'!AE17+AV19)*0.1)</f>
        <v>0.9912406723410907</v>
      </c>
      <c r="BK19" s="8">
        <f>(('Commodity Costs Avoided Detail'!AF17+AW19)*0.1)</f>
        <v>0.45330972596333158</v>
      </c>
      <c r="BL19" s="8">
        <f>(('Commodity Costs Avoided Detail'!AG17+AX19)*0.1)</f>
        <v>0.63696985566765962</v>
      </c>
      <c r="BM19" s="8">
        <f>(('Commodity Costs Avoided Detail'!AH17+AY19)*0.1)</f>
        <v>0.38877900761112261</v>
      </c>
      <c r="BN19" s="8">
        <f>(('Commodity Costs Avoided Detail'!AH17)*0.1)</f>
        <v>0.33302388393621096</v>
      </c>
      <c r="BO19" s="8">
        <f>(('Commodity Costs Avoided Detail'!AE17+AZ19)*0.1)</f>
        <v>1.2106020712770142</v>
      </c>
      <c r="BP19" s="8">
        <f>(('Commodity Costs Avoided Detail'!AE17+BA19)*0.1)</f>
        <v>0.82249880816028154</v>
      </c>
      <c r="BQ19" s="8">
        <f>(('Commodity Costs Avoided Detail'!AE17+BB19)*0.1)</f>
        <v>1.3645054317072971</v>
      </c>
      <c r="BR19" s="8">
        <f>(('Commodity Costs Avoided Detail'!AF17+BC19)*0.1)</f>
        <v>0.52326169382735976</v>
      </c>
      <c r="BS19" s="8">
        <f>(('Commodity Costs Avoided Detail'!AG17+BD19)*0.1)</f>
        <v>0.82880024436023936</v>
      </c>
      <c r="BT19" s="8">
        <f>(('Commodity Costs Avoided Detail'!AH17+BE19)*0.1)</f>
        <v>0.41952105708108722</v>
      </c>
      <c r="BU19" s="8">
        <f>(('Commodity Costs Avoided Detail'!AH17)*0.1)</f>
        <v>0.33302388393621096</v>
      </c>
      <c r="BV19" s="48"/>
      <c r="BW19" s="7">
        <f t="shared" si="46"/>
        <v>2036</v>
      </c>
      <c r="BX19" s="158">
        <f>'Commodity Costs Avoided Detail'!$AE17+AT19+$H19+BH19+$G19</f>
        <v>23.699132508870267</v>
      </c>
      <c r="BY19" s="158">
        <f>'Commodity Costs Avoided Detail'!$AE17+AU19+$H19+BI19+$G19</f>
        <v>21.121320944288911</v>
      </c>
      <c r="BZ19" s="158">
        <f>'Commodity Costs Avoided Detail'!AE17+AV19+$H19+BJ19+G19</f>
        <v>24.691060047476604</v>
      </c>
      <c r="CA19" s="158">
        <f>'Commodity Costs Avoided Detail'!AF17+AW19+$H19+BK19+$G19</f>
        <v>18.77381963732125</v>
      </c>
      <c r="CB19" s="158">
        <f>'Commodity Costs Avoided Detail'!AG17+AX19+$H19+BL19+$G19</f>
        <v>20.794081064068855</v>
      </c>
      <c r="CC19" s="158">
        <f>'Commodity Costs Avoided Detail'!AH17+AY19+$H19+BM19+$G19</f>
        <v>18.063981735446951</v>
      </c>
      <c r="CD19" s="158">
        <f>'Commodity Costs Avoided Detail'!AH17+$H19+BN19+$G19</f>
        <v>17.450675375022922</v>
      </c>
      <c r="CE19" s="160">
        <f>'Commodity Costs Avoided Detail'!$AE17+AZ19+$I19+BO19+$G19</f>
        <v>20.791962168658813</v>
      </c>
      <c r="CF19" s="160">
        <f>'Commodity Costs Avoided Detail'!$AE17+BA19+$I19+BP19+$G19</f>
        <v>16.522826274374758</v>
      </c>
      <c r="CG19" s="160">
        <f>'Commodity Costs Avoided Detail'!AE17+BB19+$I19+BQ19+$G19</f>
        <v>22.484899133391927</v>
      </c>
      <c r="CH19" s="160">
        <f>'Commodity Costs Avoided Detail'!AF17+BC19+$I19+BR19+$G19</f>
        <v>13.231218016712615</v>
      </c>
      <c r="CI19" s="160">
        <f>'Commodity Costs Avoided Detail'!AG17+BD19+$I19+BS19+$G19</f>
        <v>16.592142072574294</v>
      </c>
      <c r="CJ19" s="160">
        <f>'Commodity Costs Avoided Detail'!AH17+BE19+$I19+BT19+$G19</f>
        <v>12.090071012503618</v>
      </c>
      <c r="CK19" s="160">
        <f>'Commodity Costs Avoided Detail'!AH17+$I19+BU19+$G19</f>
        <v>11.138602107909978</v>
      </c>
      <c r="CR19" s="20"/>
      <c r="CS19" s="20"/>
      <c r="CT19" s="20"/>
      <c r="CU19" s="20"/>
      <c r="CV19" s="20"/>
    </row>
    <row r="20" spans="1:109" ht="13.7" customHeight="1" x14ac:dyDescent="0.25">
      <c r="A20" s="84">
        <f t="shared" si="40"/>
        <v>2037</v>
      </c>
      <c r="B20" s="164">
        <v>8.8999999999999996E-2</v>
      </c>
      <c r="C20" s="170">
        <v>0.77597173144876319</v>
      </c>
      <c r="D20" s="175">
        <v>0.46855123674911658</v>
      </c>
      <c r="E20" s="166">
        <v>0.50405321139056325</v>
      </c>
      <c r="F20" s="167">
        <f>'Commodity Costs Avoided Detail'!N18</f>
        <v>3.408082975685808</v>
      </c>
      <c r="G20" s="168">
        <v>0.9529558562929572</v>
      </c>
      <c r="H20" s="179">
        <v>12.308</v>
      </c>
      <c r="I20" s="174">
        <f>('Greenhouse Gas Costs Avoided De'!O17)</f>
        <v>6.5403271538774037</v>
      </c>
      <c r="J20" s="138">
        <v>1.4594538650909179</v>
      </c>
      <c r="K20" s="139">
        <f t="shared" si="41"/>
        <v>2.2677439098116078E-2</v>
      </c>
      <c r="L20" s="129"/>
      <c r="M20" s="7">
        <f t="shared" si="42"/>
        <v>2037</v>
      </c>
      <c r="N20" s="8">
        <f t="shared" si="0"/>
        <v>0.6442738338206585</v>
      </c>
      <c r="O20" s="8">
        <f t="shared" si="0"/>
        <v>0.6442738338206585</v>
      </c>
      <c r="P20" s="8">
        <f t="shared" si="1"/>
        <v>0.57472154494229177</v>
      </c>
      <c r="Q20" s="8">
        <f t="shared" si="2"/>
        <v>0.10720049999999999</v>
      </c>
      <c r="R20" s="8">
        <f t="shared" si="3"/>
        <v>0.11570000000000001</v>
      </c>
      <c r="S20" s="8">
        <f t="shared" si="4"/>
        <v>8.8999999999999996E-2</v>
      </c>
      <c r="T20" s="8">
        <f t="shared" si="5"/>
        <v>8.8999999999999996E-2</v>
      </c>
      <c r="U20" s="8">
        <f t="shared" si="6"/>
        <v>0.6442738338206585</v>
      </c>
      <c r="V20" s="8">
        <f t="shared" si="6"/>
        <v>0.6442738338206585</v>
      </c>
      <c r="W20" s="8">
        <f t="shared" si="7"/>
        <v>0.57472154494229177</v>
      </c>
      <c r="X20" s="8">
        <f t="shared" si="8"/>
        <v>0.10720049999999999</v>
      </c>
      <c r="Y20" s="8">
        <f t="shared" si="9"/>
        <v>0.11570000000000001</v>
      </c>
      <c r="Z20" s="8">
        <f t="shared" si="10"/>
        <v>8.8999999999999996E-2</v>
      </c>
      <c r="AA20" s="8">
        <f t="shared" si="11"/>
        <v>8.8999999999999996E-2</v>
      </c>
      <c r="AB20" s="48"/>
      <c r="AC20" s="7">
        <f t="shared" si="43"/>
        <v>2037</v>
      </c>
      <c r="AD20" s="8">
        <f t="shared" si="12"/>
        <v>4.71776518398263</v>
      </c>
      <c r="AE20" s="8">
        <f t="shared" si="13"/>
        <v>2.3743001252723031</v>
      </c>
      <c r="AF20" s="8">
        <f t="shared" si="14"/>
        <v>5.6890697806849353</v>
      </c>
      <c r="AG20" s="8">
        <f t="shared" si="15"/>
        <v>1.0661644757207067</v>
      </c>
      <c r="AH20" s="8">
        <f t="shared" si="16"/>
        <v>2.9237597173144878</v>
      </c>
      <c r="AI20" s="8">
        <f t="shared" si="17"/>
        <v>0.46855123674911658</v>
      </c>
      <c r="AJ20" s="8">
        <f t="shared" si="18"/>
        <v>0.46855123674911658</v>
      </c>
      <c r="AK20" s="8">
        <f t="shared" si="19"/>
        <v>7.8131314811658026</v>
      </c>
      <c r="AL20" s="8">
        <f t="shared" si="20"/>
        <v>3.932098849998475</v>
      </c>
      <c r="AM20" s="8">
        <f t="shared" si="21"/>
        <v>9.4217173743469971</v>
      </c>
      <c r="AN20" s="8">
        <f t="shared" si="22"/>
        <v>1.7656841543609891</v>
      </c>
      <c r="AO20" s="8">
        <f t="shared" si="23"/>
        <v>4.8420636042402831</v>
      </c>
      <c r="AP20" s="8">
        <f t="shared" si="24"/>
        <v>0.77597173144876308</v>
      </c>
      <c r="AQ20" s="8">
        <f t="shared" si="25"/>
        <v>0.77597173144876308</v>
      </c>
      <c r="AS20" s="7">
        <f t="shared" si="44"/>
        <v>2037</v>
      </c>
      <c r="AT20" s="8">
        <f t="shared" si="26"/>
        <v>5.3620390178032888</v>
      </c>
      <c r="AU20" s="8">
        <f t="shared" si="27"/>
        <v>3.0185739590929614</v>
      </c>
      <c r="AV20" s="8">
        <f t="shared" si="28"/>
        <v>6.2637913256272268</v>
      </c>
      <c r="AW20" s="8">
        <f t="shared" si="29"/>
        <v>1.1733649757207067</v>
      </c>
      <c r="AX20" s="8">
        <f t="shared" si="30"/>
        <v>3.0394597173144877</v>
      </c>
      <c r="AY20" s="8">
        <f t="shared" si="31"/>
        <v>0.55755123674911655</v>
      </c>
      <c r="AZ20" s="8">
        <f t="shared" si="32"/>
        <v>8.4574053149864614</v>
      </c>
      <c r="BA20" s="8">
        <f t="shared" si="33"/>
        <v>4.5763726838191339</v>
      </c>
      <c r="BB20" s="8">
        <f t="shared" si="34"/>
        <v>9.9964389192892895</v>
      </c>
      <c r="BC20" s="8">
        <f t="shared" si="35"/>
        <v>1.8728846543609892</v>
      </c>
      <c r="BD20" s="8">
        <f t="shared" si="36"/>
        <v>4.9577636042402835</v>
      </c>
      <c r="BE20" s="8">
        <f t="shared" si="37"/>
        <v>0.86497173144876305</v>
      </c>
      <c r="BF20" s="48"/>
      <c r="BG20" s="7">
        <f t="shared" si="45"/>
        <v>2037</v>
      </c>
      <c r="BH20" s="8">
        <f>(('Commodity Costs Avoided Detail'!$AE18+AT20)*0.1)</f>
        <v>0.90442045409955585</v>
      </c>
      <c r="BI20" s="8">
        <f>(('Commodity Costs Avoided Detail'!$AE18+AU20)*0.1)</f>
        <v>0.67007394822852306</v>
      </c>
      <c r="BJ20" s="8">
        <f>(('Commodity Costs Avoided Detail'!AE18+AV20)*0.1)</f>
        <v>0.9945956848819496</v>
      </c>
      <c r="BK20" s="8">
        <f>(('Commodity Costs Avoided Detail'!AF18+AW20)*0.1)</f>
        <v>0.46061746018836908</v>
      </c>
      <c r="BL20" s="8">
        <f>(('Commodity Costs Avoided Detail'!AG18+AX20)*0.1)</f>
        <v>0.64475426930002966</v>
      </c>
      <c r="BM20" s="8">
        <f>(('Commodity Costs Avoided Detail'!AH18+AY20)*0.1)</f>
        <v>0.39656342124349253</v>
      </c>
      <c r="BN20" s="8">
        <f>(('Commodity Costs Avoided Detail'!AH18)*0.1)</f>
        <v>0.34080829756858089</v>
      </c>
      <c r="BO20" s="8">
        <f>(('Commodity Costs Avoided Detail'!AE18+AZ20)*0.1)</f>
        <v>1.2139570838178733</v>
      </c>
      <c r="BP20" s="8">
        <f>(('Commodity Costs Avoided Detail'!AE18+BA20)*0.1)</f>
        <v>0.82585382070114022</v>
      </c>
      <c r="BQ20" s="8">
        <f>(('Commodity Costs Avoided Detail'!AE18+BB20)*0.1)</f>
        <v>1.3678604442481559</v>
      </c>
      <c r="BR20" s="8">
        <f>(('Commodity Costs Avoided Detail'!AF18+BC20)*0.1)</f>
        <v>0.53056942805239726</v>
      </c>
      <c r="BS20" s="8">
        <f>(('Commodity Costs Avoided Detail'!AG18+BD20)*0.1)</f>
        <v>0.83658465799260928</v>
      </c>
      <c r="BT20" s="8">
        <f>(('Commodity Costs Avoided Detail'!AH18+BE20)*0.1)</f>
        <v>0.42730547071345715</v>
      </c>
      <c r="BU20" s="8">
        <f>(('Commodity Costs Avoided Detail'!AH18)*0.1)</f>
        <v>0.34080829756858089</v>
      </c>
      <c r="BV20" s="48"/>
      <c r="BW20" s="7">
        <f t="shared" si="46"/>
        <v>2037</v>
      </c>
      <c r="BX20" s="158">
        <f>'Commodity Costs Avoided Detail'!$AE18+AT20+$H20+BH20+$G20</f>
        <v>23.209580851388068</v>
      </c>
      <c r="BY20" s="158">
        <f>'Commodity Costs Avoided Detail'!$AE18+AU20+$H20+BI20+$G20</f>
        <v>20.631769286806708</v>
      </c>
      <c r="BZ20" s="158">
        <f>'Commodity Costs Avoided Detail'!AE18+AV20+$H20+BJ20+G20</f>
        <v>24.201508389994402</v>
      </c>
      <c r="CA20" s="158">
        <f>'Commodity Costs Avoided Detail'!AF18+AW20+$H20+BK20+$G20</f>
        <v>18.327747918365016</v>
      </c>
      <c r="CB20" s="158">
        <f>'Commodity Costs Avoided Detail'!AG18+AX20+$H20+BL20+$G20</f>
        <v>20.35325281859328</v>
      </c>
      <c r="CC20" s="158">
        <f>'Commodity Costs Avoided Detail'!AH18+AY20+$H20+BM20+$G20</f>
        <v>17.623153489971372</v>
      </c>
      <c r="CD20" s="158">
        <f>'Commodity Costs Avoided Detail'!AH18+$H20+BN20+$G20</f>
        <v>17.009847129547346</v>
      </c>
      <c r="CE20" s="160">
        <f>'Commodity Costs Avoided Detail'!$AE18+AZ20+$I20+BO20+$G20</f>
        <v>20.846810932166964</v>
      </c>
      <c r="CF20" s="160">
        <f>'Commodity Costs Avoided Detail'!$AE18+BA20+$I20+BP20+$G20</f>
        <v>16.577675037882901</v>
      </c>
      <c r="CG20" s="160">
        <f>'Commodity Costs Avoided Detail'!AE18+BB20+$I20+BQ20+$G20</f>
        <v>22.539747896900071</v>
      </c>
      <c r="CH20" s="160">
        <f>'Commodity Costs Avoided Detail'!AF18+BC20+$I20+BR20+$G20</f>
        <v>13.32954671874673</v>
      </c>
      <c r="CI20" s="160">
        <f>'Commodity Costs Avoided Detail'!AG18+BD20+$I20+BS20+$G20</f>
        <v>16.695714248089061</v>
      </c>
      <c r="CJ20" s="160">
        <f>'Commodity Costs Avoided Detail'!AH18+BE20+$I20+BT20+$G20</f>
        <v>12.19364318801839</v>
      </c>
      <c r="CK20" s="160">
        <f>'Commodity Costs Avoided Detail'!AH18+$I20+BU20+$G20</f>
        <v>11.242174283424751</v>
      </c>
    </row>
    <row r="21" spans="1:109" ht="13.7" customHeight="1" x14ac:dyDescent="0.25">
      <c r="A21" s="84">
        <f t="shared" si="40"/>
        <v>2038</v>
      </c>
      <c r="B21" s="164">
        <v>8.8999999999999996E-2</v>
      </c>
      <c r="C21" s="170">
        <v>0.77597173144876319</v>
      </c>
      <c r="D21" s="175">
        <v>0.46855123674911658</v>
      </c>
      <c r="E21" s="166">
        <v>0.50405321139056325</v>
      </c>
      <c r="F21" s="167">
        <f>'Commodity Costs Avoided Detail'!N19</f>
        <v>3.4046179983496678</v>
      </c>
      <c r="G21" s="168">
        <v>1.061560020905278</v>
      </c>
      <c r="H21" s="179">
        <v>11.874000000000001</v>
      </c>
      <c r="I21" s="174">
        <f>('Greenhouse Gas Costs Avoided De'!O18)</f>
        <v>6.6417275748677502</v>
      </c>
      <c r="J21" s="138">
        <v>1.4925935403670623</v>
      </c>
      <c r="K21" s="139">
        <f t="shared" si="41"/>
        <v>2.2706901580667575E-2</v>
      </c>
      <c r="L21" s="129"/>
      <c r="M21" s="7">
        <f t="shared" si="42"/>
        <v>2038</v>
      </c>
      <c r="N21" s="8">
        <f t="shared" si="0"/>
        <v>0.6442738338206585</v>
      </c>
      <c r="O21" s="8">
        <f t="shared" si="0"/>
        <v>0.6442738338206585</v>
      </c>
      <c r="P21" s="8">
        <f t="shared" si="1"/>
        <v>0.57472154494229177</v>
      </c>
      <c r="Q21" s="8">
        <f t="shared" si="2"/>
        <v>0.10720049999999999</v>
      </c>
      <c r="R21" s="8">
        <f t="shared" si="3"/>
        <v>0.11570000000000001</v>
      </c>
      <c r="S21" s="8">
        <f t="shared" si="4"/>
        <v>8.8999999999999996E-2</v>
      </c>
      <c r="T21" s="8">
        <f t="shared" si="5"/>
        <v>8.8999999999999996E-2</v>
      </c>
      <c r="U21" s="8">
        <f t="shared" si="6"/>
        <v>0.6442738338206585</v>
      </c>
      <c r="V21" s="8">
        <f t="shared" si="6"/>
        <v>0.6442738338206585</v>
      </c>
      <c r="W21" s="8">
        <f t="shared" si="7"/>
        <v>0.57472154494229177</v>
      </c>
      <c r="X21" s="8">
        <f t="shared" si="8"/>
        <v>0.10720049999999999</v>
      </c>
      <c r="Y21" s="8">
        <f t="shared" si="9"/>
        <v>0.11570000000000001</v>
      </c>
      <c r="Z21" s="8">
        <f t="shared" si="10"/>
        <v>8.8999999999999996E-2</v>
      </c>
      <c r="AA21" s="8">
        <f t="shared" si="11"/>
        <v>8.8999999999999996E-2</v>
      </c>
      <c r="AB21" s="48"/>
      <c r="AC21" s="7">
        <f t="shared" si="43"/>
        <v>2038</v>
      </c>
      <c r="AD21" s="8">
        <f t="shared" si="12"/>
        <v>4.71776518398263</v>
      </c>
      <c r="AE21" s="8">
        <f t="shared" si="13"/>
        <v>2.3743001252723031</v>
      </c>
      <c r="AF21" s="8">
        <f t="shared" si="14"/>
        <v>5.6890697806849353</v>
      </c>
      <c r="AG21" s="8">
        <f t="shared" si="15"/>
        <v>1.0661644757207067</v>
      </c>
      <c r="AH21" s="8">
        <f t="shared" si="16"/>
        <v>2.9237597173144878</v>
      </c>
      <c r="AI21" s="8">
        <f t="shared" si="17"/>
        <v>0.46855123674911658</v>
      </c>
      <c r="AJ21" s="8">
        <f t="shared" si="18"/>
        <v>0.46855123674911658</v>
      </c>
      <c r="AK21" s="8">
        <f t="shared" si="19"/>
        <v>7.8131314811658026</v>
      </c>
      <c r="AL21" s="8">
        <f t="shared" si="20"/>
        <v>3.932098849998475</v>
      </c>
      <c r="AM21" s="8">
        <f t="shared" si="21"/>
        <v>9.4217173743469971</v>
      </c>
      <c r="AN21" s="8">
        <f t="shared" si="22"/>
        <v>1.7656841543609891</v>
      </c>
      <c r="AO21" s="8">
        <f t="shared" si="23"/>
        <v>4.8420636042402831</v>
      </c>
      <c r="AP21" s="8">
        <f t="shared" si="24"/>
        <v>0.77597173144876308</v>
      </c>
      <c r="AQ21" s="8">
        <f t="shared" si="25"/>
        <v>0.77597173144876308</v>
      </c>
      <c r="AS21" s="7">
        <f t="shared" si="44"/>
        <v>2038</v>
      </c>
      <c r="AT21" s="8">
        <f t="shared" si="26"/>
        <v>5.3620390178032888</v>
      </c>
      <c r="AU21" s="8">
        <f t="shared" si="27"/>
        <v>3.0185739590929614</v>
      </c>
      <c r="AV21" s="8">
        <f t="shared" si="28"/>
        <v>6.2637913256272268</v>
      </c>
      <c r="AW21" s="8">
        <f t="shared" si="29"/>
        <v>1.1733649757207067</v>
      </c>
      <c r="AX21" s="8">
        <f t="shared" si="30"/>
        <v>3.0394597173144877</v>
      </c>
      <c r="AY21" s="8">
        <f t="shared" si="31"/>
        <v>0.55755123674911655</v>
      </c>
      <c r="AZ21" s="8">
        <f t="shared" si="32"/>
        <v>8.4574053149864614</v>
      </c>
      <c r="BA21" s="8">
        <f t="shared" si="33"/>
        <v>4.5763726838191339</v>
      </c>
      <c r="BB21" s="8">
        <f t="shared" si="34"/>
        <v>9.9964389192892895</v>
      </c>
      <c r="BC21" s="8">
        <f t="shared" si="35"/>
        <v>1.8728846543609892</v>
      </c>
      <c r="BD21" s="8">
        <f t="shared" si="36"/>
        <v>4.9577636042402835</v>
      </c>
      <c r="BE21" s="8">
        <f t="shared" si="37"/>
        <v>0.86497173144876305</v>
      </c>
      <c r="BF21" s="48"/>
      <c r="BG21" s="7">
        <f t="shared" si="45"/>
        <v>2038</v>
      </c>
      <c r="BH21" s="8">
        <f>(('Commodity Costs Avoided Detail'!$AE19+AT21)*0.1)</f>
        <v>0.90357171710769768</v>
      </c>
      <c r="BI21" s="8">
        <f>(('Commodity Costs Avoided Detail'!$AE19+AU21)*0.1)</f>
        <v>0.66922521123666501</v>
      </c>
      <c r="BJ21" s="8">
        <f>(('Commodity Costs Avoided Detail'!AE19+AV21)*0.1)</f>
        <v>0.99374694789009155</v>
      </c>
      <c r="BK21" s="8">
        <f>(('Commodity Costs Avoided Detail'!AF19+AW21)*0.1)</f>
        <v>0.46016977789120156</v>
      </c>
      <c r="BL21" s="8">
        <f>(('Commodity Costs Avoided Detail'!AG19+AX21)*0.1)</f>
        <v>0.6444077715664156</v>
      </c>
      <c r="BM21" s="8">
        <f>(('Commodity Costs Avoided Detail'!AH19+AY21)*0.1)</f>
        <v>0.39621692350987847</v>
      </c>
      <c r="BN21" s="8">
        <f>(('Commodity Costs Avoided Detail'!AH19)*0.1)</f>
        <v>0.34046179983496683</v>
      </c>
      <c r="BO21" s="8">
        <f>(('Commodity Costs Avoided Detail'!AE19+AZ21)*0.1)</f>
        <v>1.2131083468260151</v>
      </c>
      <c r="BP21" s="8">
        <f>(('Commodity Costs Avoided Detail'!AE19+BA21)*0.1)</f>
        <v>0.82500508370928216</v>
      </c>
      <c r="BQ21" s="8">
        <f>(('Commodity Costs Avoided Detail'!AE19+BB21)*0.1)</f>
        <v>1.3670117072562977</v>
      </c>
      <c r="BR21" s="8">
        <f>(('Commodity Costs Avoided Detail'!AF19+BC21)*0.1)</f>
        <v>0.53012174575522986</v>
      </c>
      <c r="BS21" s="8">
        <f>(('Commodity Costs Avoided Detail'!AG19+BD21)*0.1)</f>
        <v>0.83623816025899522</v>
      </c>
      <c r="BT21" s="8">
        <f>(('Commodity Costs Avoided Detail'!AH19+BE21)*0.1)</f>
        <v>0.42695897297984314</v>
      </c>
      <c r="BU21" s="8">
        <f>(('Commodity Costs Avoided Detail'!AH19)*0.1)</f>
        <v>0.34046179983496683</v>
      </c>
      <c r="BV21" s="48"/>
      <c r="BW21" s="7">
        <f t="shared" si="46"/>
        <v>2038</v>
      </c>
      <c r="BX21" s="158">
        <f>'Commodity Costs Avoided Detail'!$AE19+AT21+$H21+BH21+$G21</f>
        <v>22.874848909089955</v>
      </c>
      <c r="BY21" s="158">
        <f>'Commodity Costs Avoided Detail'!$AE19+AU21+$H21+BI21+$G21</f>
        <v>20.297037344508592</v>
      </c>
      <c r="BZ21" s="158">
        <f>'Commodity Costs Avoided Detail'!AE19+AV21+$H21+BJ21+G21</f>
        <v>23.866776447696289</v>
      </c>
      <c r="CA21" s="158">
        <f>'Commodity Costs Avoided Detail'!AF19+AW21+$H21+BK21+$G21</f>
        <v>17.997427577708496</v>
      </c>
      <c r="CB21" s="158">
        <f>'Commodity Costs Avoided Detail'!AG19+AX21+$H21+BL21+$G21</f>
        <v>20.024045508135853</v>
      </c>
      <c r="CC21" s="158">
        <f>'Commodity Costs Avoided Detail'!AH19+AY21+$H21+BM21+$G21</f>
        <v>17.293946179513942</v>
      </c>
      <c r="CD21" s="158">
        <f>'Commodity Costs Avoided Detail'!AH19+$H21+BN21+$G21</f>
        <v>16.680639819089915</v>
      </c>
      <c r="CE21" s="160">
        <f>'Commodity Costs Avoided Detail'!$AE19+AZ21+$I21+BO21+$G21</f>
        <v>21.047479410859193</v>
      </c>
      <c r="CF21" s="160">
        <f>'Commodity Costs Avoided Detail'!$AE19+BA21+$I21+BP21+$G21</f>
        <v>16.778343516575134</v>
      </c>
      <c r="CG21" s="160">
        <f>'Commodity Costs Avoided Detail'!AE19+BB21+$I21+BQ21+$G21</f>
        <v>22.740416375592307</v>
      </c>
      <c r="CH21" s="160">
        <f>'Commodity Costs Avoided Detail'!AF19+BC21+$I21+BR21+$G21</f>
        <v>13.534626799080556</v>
      </c>
      <c r="CI21" s="160">
        <f>'Commodity Costs Avoided Detail'!AG19+BD21+$I21+BS21+$G21</f>
        <v>16.901907358621976</v>
      </c>
      <c r="CJ21" s="160">
        <f>'Commodity Costs Avoided Detail'!AH19+BE21+$I21+BT21+$G21</f>
        <v>12.399836298551302</v>
      </c>
      <c r="CK21" s="160">
        <f>'Commodity Costs Avoided Detail'!AH19+$I21+BU21+$G21</f>
        <v>11.448367393957664</v>
      </c>
    </row>
    <row r="22" spans="1:109" ht="13.7" customHeight="1" x14ac:dyDescent="0.25">
      <c r="A22" s="84">
        <f t="shared" si="40"/>
        <v>2039</v>
      </c>
      <c r="B22" s="164">
        <v>8.8999999999999996E-2</v>
      </c>
      <c r="C22" s="170">
        <v>0.77597173144876319</v>
      </c>
      <c r="D22" s="175">
        <v>0.46855123674911658</v>
      </c>
      <c r="E22" s="166">
        <v>0.50405321139056325</v>
      </c>
      <c r="F22" s="167">
        <f>'Commodity Costs Avoided Detail'!N20</f>
        <v>3.4113911203349385</v>
      </c>
      <c r="G22" s="168">
        <v>1.0430217644868609</v>
      </c>
      <c r="H22" s="179">
        <v>11.414</v>
      </c>
      <c r="I22" s="174">
        <f>('Greenhouse Gas Costs Avoided De'!O19)</f>
        <v>6.7431279958580985</v>
      </c>
      <c r="J22" s="138">
        <v>1.52651341164868</v>
      </c>
      <c r="K22" s="139">
        <f t="shared" si="41"/>
        <v>2.2725457644199719E-2</v>
      </c>
      <c r="L22" s="129"/>
      <c r="M22" s="7">
        <f t="shared" si="42"/>
        <v>2039</v>
      </c>
      <c r="N22" s="8">
        <f t="shared" si="0"/>
        <v>0.6442738338206585</v>
      </c>
      <c r="O22" s="8">
        <f t="shared" si="0"/>
        <v>0.6442738338206585</v>
      </c>
      <c r="P22" s="8">
        <f t="shared" si="1"/>
        <v>0.57472154494229177</v>
      </c>
      <c r="Q22" s="8">
        <f t="shared" si="2"/>
        <v>0.10720049999999999</v>
      </c>
      <c r="R22" s="8">
        <f t="shared" si="3"/>
        <v>0.11570000000000001</v>
      </c>
      <c r="S22" s="8">
        <f t="shared" si="4"/>
        <v>8.8999999999999996E-2</v>
      </c>
      <c r="T22" s="8">
        <f t="shared" si="5"/>
        <v>8.8999999999999996E-2</v>
      </c>
      <c r="U22" s="8">
        <f t="shared" si="6"/>
        <v>0.6442738338206585</v>
      </c>
      <c r="V22" s="8">
        <f t="shared" si="6"/>
        <v>0.6442738338206585</v>
      </c>
      <c r="W22" s="8">
        <f t="shared" si="7"/>
        <v>0.57472154494229177</v>
      </c>
      <c r="X22" s="8">
        <f t="shared" si="8"/>
        <v>0.10720049999999999</v>
      </c>
      <c r="Y22" s="8">
        <f t="shared" si="9"/>
        <v>0.11570000000000001</v>
      </c>
      <c r="Z22" s="8">
        <f t="shared" si="10"/>
        <v>8.8999999999999996E-2</v>
      </c>
      <c r="AA22" s="8">
        <f t="shared" si="11"/>
        <v>8.8999999999999996E-2</v>
      </c>
      <c r="AB22" s="48"/>
      <c r="AC22" s="7">
        <f t="shared" si="43"/>
        <v>2039</v>
      </c>
      <c r="AD22" s="8">
        <f t="shared" si="12"/>
        <v>4.71776518398263</v>
      </c>
      <c r="AE22" s="8">
        <f t="shared" si="13"/>
        <v>2.3743001252723031</v>
      </c>
      <c r="AF22" s="8">
        <f t="shared" si="14"/>
        <v>5.6890697806849353</v>
      </c>
      <c r="AG22" s="8">
        <f t="shared" si="15"/>
        <v>1.0661644757207067</v>
      </c>
      <c r="AH22" s="8">
        <f t="shared" si="16"/>
        <v>2.9237597173144878</v>
      </c>
      <c r="AI22" s="8">
        <f t="shared" si="17"/>
        <v>0.46855123674911658</v>
      </c>
      <c r="AJ22" s="8">
        <f t="shared" si="18"/>
        <v>0.46855123674911658</v>
      </c>
      <c r="AK22" s="8">
        <f t="shared" si="19"/>
        <v>7.8131314811658026</v>
      </c>
      <c r="AL22" s="8">
        <f t="shared" si="20"/>
        <v>3.932098849998475</v>
      </c>
      <c r="AM22" s="8">
        <f t="shared" si="21"/>
        <v>9.4217173743469971</v>
      </c>
      <c r="AN22" s="8">
        <f t="shared" si="22"/>
        <v>1.7656841543609891</v>
      </c>
      <c r="AO22" s="8">
        <f t="shared" si="23"/>
        <v>4.8420636042402831</v>
      </c>
      <c r="AP22" s="8">
        <f t="shared" si="24"/>
        <v>0.77597173144876308</v>
      </c>
      <c r="AQ22" s="8">
        <f t="shared" si="25"/>
        <v>0.77597173144876308</v>
      </c>
      <c r="AS22" s="7">
        <f t="shared" si="44"/>
        <v>2039</v>
      </c>
      <c r="AT22" s="8">
        <f t="shared" si="26"/>
        <v>5.3620390178032888</v>
      </c>
      <c r="AU22" s="8">
        <f t="shared" si="27"/>
        <v>3.0185739590929614</v>
      </c>
      <c r="AV22" s="8">
        <f t="shared" si="28"/>
        <v>6.2637913256272268</v>
      </c>
      <c r="AW22" s="8">
        <f t="shared" si="29"/>
        <v>1.1733649757207067</v>
      </c>
      <c r="AX22" s="8">
        <f t="shared" si="30"/>
        <v>3.0394597173144877</v>
      </c>
      <c r="AY22" s="8">
        <f t="shared" si="31"/>
        <v>0.55755123674911655</v>
      </c>
      <c r="AZ22" s="8">
        <f t="shared" si="32"/>
        <v>8.4574053149864614</v>
      </c>
      <c r="BA22" s="8">
        <f t="shared" si="33"/>
        <v>4.5763726838191339</v>
      </c>
      <c r="BB22" s="8">
        <f t="shared" si="34"/>
        <v>9.9964389192892895</v>
      </c>
      <c r="BC22" s="8">
        <f t="shared" si="35"/>
        <v>1.8728846543609892</v>
      </c>
      <c r="BD22" s="8">
        <f t="shared" si="36"/>
        <v>4.9577636042402835</v>
      </c>
      <c r="BE22" s="8">
        <f t="shared" si="37"/>
        <v>0.86497173144876305</v>
      </c>
      <c r="BF22" s="48"/>
      <c r="BG22" s="7">
        <f t="shared" si="45"/>
        <v>2039</v>
      </c>
      <c r="BH22" s="8">
        <f>(('Commodity Costs Avoided Detail'!$AE20+AT22)*0.1)</f>
        <v>0.9067335943335989</v>
      </c>
      <c r="BI22" s="8">
        <f>(('Commodity Costs Avoided Detail'!$AE20+AU22)*0.1)</f>
        <v>0.67238708846256623</v>
      </c>
      <c r="BJ22" s="8">
        <f>(('Commodity Costs Avoided Detail'!AE20+AV22)*0.1)</f>
        <v>0.99690882511599266</v>
      </c>
      <c r="BK22" s="8">
        <f>(('Commodity Costs Avoided Detail'!AF20+AW22)*0.1)</f>
        <v>0.4612593184268754</v>
      </c>
      <c r="BL22" s="8">
        <f>(('Commodity Costs Avoided Detail'!AG20+AX22)*0.1)</f>
        <v>0.64508508376494267</v>
      </c>
      <c r="BM22" s="8">
        <f>(('Commodity Costs Avoided Detail'!AH20+AY22)*0.1)</f>
        <v>0.39689423570840549</v>
      </c>
      <c r="BN22" s="8">
        <f>(('Commodity Costs Avoided Detail'!AH20)*0.1)</f>
        <v>0.34113911203349384</v>
      </c>
      <c r="BO22" s="8">
        <f>(('Commodity Costs Avoided Detail'!AE20+AZ22)*0.1)</f>
        <v>1.2162702240519163</v>
      </c>
      <c r="BP22" s="8">
        <f>(('Commodity Costs Avoided Detail'!AE20+BA22)*0.1)</f>
        <v>0.82816696093518338</v>
      </c>
      <c r="BQ22" s="8">
        <f>(('Commodity Costs Avoided Detail'!AE20+BB22)*0.1)</f>
        <v>1.3701735844821989</v>
      </c>
      <c r="BR22" s="8">
        <f>(('Commodity Costs Avoided Detail'!AF20+BC22)*0.1)</f>
        <v>0.53121128629090364</v>
      </c>
      <c r="BS22" s="8">
        <f>(('Commodity Costs Avoided Detail'!AG20+BD22)*0.1)</f>
        <v>0.83691547245752218</v>
      </c>
      <c r="BT22" s="8">
        <f>(('Commodity Costs Avoided Detail'!AH20+BE22)*0.1)</f>
        <v>0.42763628517837016</v>
      </c>
      <c r="BU22" s="8">
        <f>(('Commodity Costs Avoided Detail'!AH20)*0.1)</f>
        <v>0.34113911203349384</v>
      </c>
      <c r="BV22" s="48"/>
      <c r="BW22" s="7">
        <f t="shared" si="46"/>
        <v>2039</v>
      </c>
      <c r="BX22" s="158">
        <f>'Commodity Costs Avoided Detail'!$AE20+AT22+$H22+BH22+$G22</f>
        <v>22.431091302156446</v>
      </c>
      <c r="BY22" s="158">
        <f>'Commodity Costs Avoided Detail'!$AE20+AU22+$H22+BI22+$G22</f>
        <v>19.853279737575093</v>
      </c>
      <c r="BZ22" s="158">
        <f>'Commodity Costs Avoided Detail'!AE20+AV22+$H22+BJ22+G22</f>
        <v>23.423018840762779</v>
      </c>
      <c r="CA22" s="158">
        <f>'Commodity Costs Avoided Detail'!AF20+AW22+$H22+BK22+$G22</f>
        <v>17.53087426718249</v>
      </c>
      <c r="CB22" s="158">
        <f>'Commodity Costs Avoided Detail'!AG20+AX22+$H22+BL22+$G22</f>
        <v>19.552957685901234</v>
      </c>
      <c r="CC22" s="158">
        <f>'Commodity Costs Avoided Detail'!AH20+AY22+$H22+BM22+$G22</f>
        <v>16.822858357279323</v>
      </c>
      <c r="CD22" s="158">
        <f>'Commodity Costs Avoided Detail'!AH20+$H22+BN22+$G22</f>
        <v>16.209551996855293</v>
      </c>
      <c r="CE22" s="160">
        <f>'Commodity Costs Avoided Detail'!$AE20+AZ22+$I22+BO22+$G22</f>
        <v>21.165122224916033</v>
      </c>
      <c r="CF22" s="160">
        <f>'Commodity Costs Avoided Detail'!$AE20+BA22+$I22+BP22+$G22</f>
        <v>16.895986330631978</v>
      </c>
      <c r="CG22" s="160">
        <f>'Commodity Costs Avoided Detail'!AE20+BB22+$I22+BQ22+$G22</f>
        <v>22.858059189649147</v>
      </c>
      <c r="CH22" s="160">
        <f>'Commodity Costs Avoided Detail'!AF20+BC22+$I22+BR22+$G22</f>
        <v>13.629473909544899</v>
      </c>
      <c r="CI22" s="160">
        <f>'Commodity Costs Avoided Detail'!AG20+BD22+$I22+BS22+$G22</f>
        <v>16.992219957377703</v>
      </c>
      <c r="CJ22" s="160">
        <f>'Commodity Costs Avoided Detail'!AH20+BE22+$I22+BT22+$G22</f>
        <v>12.49014889730703</v>
      </c>
      <c r="CK22" s="160">
        <f>'Commodity Costs Avoided Detail'!AH20+$I22+BU22+$G22</f>
        <v>11.538679992713391</v>
      </c>
    </row>
    <row r="23" spans="1:109" ht="13.7" customHeight="1" x14ac:dyDescent="0.25">
      <c r="A23" s="85">
        <f t="shared" si="40"/>
        <v>2040</v>
      </c>
      <c r="B23" s="164">
        <v>8.8999999999999996E-2</v>
      </c>
      <c r="C23" s="170">
        <v>0.77597173144876319</v>
      </c>
      <c r="D23" s="175">
        <v>0.46855123674911658</v>
      </c>
      <c r="E23" s="169">
        <v>0.50405321139056325</v>
      </c>
      <c r="F23" s="167">
        <f>'Commodity Costs Avoided Detail'!N21</f>
        <v>3.4913426530781977</v>
      </c>
      <c r="G23" s="168">
        <v>1.1064120820750554</v>
      </c>
      <c r="H23" s="179">
        <v>10.836</v>
      </c>
      <c r="I23" s="174">
        <f>('Greenhouse Gas Costs Avoided De'!O20)</f>
        <v>6.844528416848445</v>
      </c>
      <c r="J23" s="140">
        <v>1.5613732486658825</v>
      </c>
      <c r="K23" s="139">
        <f t="shared" si="41"/>
        <v>2.2836246803460931E-2</v>
      </c>
      <c r="L23" s="129"/>
      <c r="M23" s="21">
        <f t="shared" si="42"/>
        <v>2040</v>
      </c>
      <c r="N23" s="8">
        <f t="shared" si="0"/>
        <v>0.6442738338206585</v>
      </c>
      <c r="O23" s="8">
        <f t="shared" si="0"/>
        <v>0.6442738338206585</v>
      </c>
      <c r="P23" s="8">
        <f t="shared" si="1"/>
        <v>0.57472154494229177</v>
      </c>
      <c r="Q23" s="8">
        <f t="shared" si="2"/>
        <v>0.10720049999999999</v>
      </c>
      <c r="R23" s="8">
        <f t="shared" si="3"/>
        <v>0.11570000000000001</v>
      </c>
      <c r="S23" s="8">
        <f t="shared" si="4"/>
        <v>8.8999999999999996E-2</v>
      </c>
      <c r="T23" s="8">
        <f t="shared" si="5"/>
        <v>8.8999999999999996E-2</v>
      </c>
      <c r="U23" s="8">
        <f t="shared" si="6"/>
        <v>0.6442738338206585</v>
      </c>
      <c r="V23" s="8">
        <f t="shared" si="6"/>
        <v>0.6442738338206585</v>
      </c>
      <c r="W23" s="8">
        <f t="shared" si="7"/>
        <v>0.57472154494229177</v>
      </c>
      <c r="X23" s="8">
        <f t="shared" si="8"/>
        <v>0.10720049999999999</v>
      </c>
      <c r="Y23" s="8">
        <f t="shared" si="9"/>
        <v>0.11570000000000001</v>
      </c>
      <c r="Z23" s="8">
        <f t="shared" si="10"/>
        <v>8.8999999999999996E-2</v>
      </c>
      <c r="AA23" s="9">
        <f t="shared" si="11"/>
        <v>8.8999999999999996E-2</v>
      </c>
      <c r="AB23" s="48"/>
      <c r="AC23" s="7">
        <f t="shared" si="43"/>
        <v>2040</v>
      </c>
      <c r="AD23" s="8">
        <f t="shared" si="12"/>
        <v>4.71776518398263</v>
      </c>
      <c r="AE23" s="8">
        <f t="shared" si="13"/>
        <v>2.3743001252723031</v>
      </c>
      <c r="AF23" s="8">
        <f t="shared" si="14"/>
        <v>5.6890697806849353</v>
      </c>
      <c r="AG23" s="8">
        <f t="shared" si="15"/>
        <v>1.0661644757207067</v>
      </c>
      <c r="AH23" s="8">
        <f t="shared" si="16"/>
        <v>2.9237597173144878</v>
      </c>
      <c r="AI23" s="8">
        <f t="shared" si="17"/>
        <v>0.46855123674911658</v>
      </c>
      <c r="AJ23" s="8">
        <f t="shared" si="18"/>
        <v>0.46855123674911658</v>
      </c>
      <c r="AK23" s="8">
        <f t="shared" si="19"/>
        <v>7.8131314811658026</v>
      </c>
      <c r="AL23" s="8">
        <f t="shared" si="20"/>
        <v>3.932098849998475</v>
      </c>
      <c r="AM23" s="8">
        <f t="shared" si="21"/>
        <v>9.4217173743469971</v>
      </c>
      <c r="AN23" s="8">
        <f t="shared" si="22"/>
        <v>1.7656841543609891</v>
      </c>
      <c r="AO23" s="8">
        <f t="shared" si="23"/>
        <v>4.8420636042402831</v>
      </c>
      <c r="AP23" s="8">
        <f t="shared" si="24"/>
        <v>0.77597173144876308</v>
      </c>
      <c r="AQ23" s="8">
        <f t="shared" si="25"/>
        <v>0.77597173144876308</v>
      </c>
      <c r="AS23" s="7">
        <f t="shared" si="44"/>
        <v>2040</v>
      </c>
      <c r="AT23" s="8">
        <f t="shared" si="26"/>
        <v>5.3620390178032888</v>
      </c>
      <c r="AU23" s="8">
        <f t="shared" si="27"/>
        <v>3.0185739590929614</v>
      </c>
      <c r="AV23" s="8">
        <f t="shared" si="28"/>
        <v>6.2637913256272268</v>
      </c>
      <c r="AW23" s="8">
        <f t="shared" si="29"/>
        <v>1.1733649757207067</v>
      </c>
      <c r="AX23" s="8">
        <f t="shared" si="30"/>
        <v>3.0394597173144877</v>
      </c>
      <c r="AY23" s="8">
        <f t="shared" si="31"/>
        <v>0.55755123674911655</v>
      </c>
      <c r="AZ23" s="8">
        <f t="shared" si="32"/>
        <v>8.4574053149864614</v>
      </c>
      <c r="BA23" s="8">
        <f t="shared" si="33"/>
        <v>4.5763726838191339</v>
      </c>
      <c r="BB23" s="8">
        <f t="shared" si="34"/>
        <v>9.9964389192892895</v>
      </c>
      <c r="BC23" s="8">
        <f t="shared" si="35"/>
        <v>1.8728846543609892</v>
      </c>
      <c r="BD23" s="8">
        <f t="shared" si="36"/>
        <v>4.9577636042402835</v>
      </c>
      <c r="BE23" s="8">
        <f t="shared" si="37"/>
        <v>0.86497173144876305</v>
      </c>
      <c r="BF23" s="48"/>
      <c r="BG23" s="7">
        <f t="shared" si="45"/>
        <v>2040</v>
      </c>
      <c r="BH23" s="8">
        <f>(('Commodity Costs Avoided Detail'!$AE21+AT23)*0.1)</f>
        <v>0.91123709446633683</v>
      </c>
      <c r="BI23" s="8">
        <f>(('Commodity Costs Avoided Detail'!$AE21+AU23)*0.1)</f>
        <v>0.67689058859530415</v>
      </c>
      <c r="BJ23" s="8">
        <f>(('Commodity Costs Avoided Detail'!AE21+AV23)*0.1)</f>
        <v>1.0014123252487306</v>
      </c>
      <c r="BK23" s="8">
        <f>(('Commodity Costs Avoided Detail'!AF21+AW23)*0.1)</f>
        <v>0.46848771221517449</v>
      </c>
      <c r="BL23" s="8">
        <f>(('Commodity Costs Avoided Detail'!AG21+AX23)*0.1)</f>
        <v>0.65308023703926865</v>
      </c>
      <c r="BM23" s="8">
        <f>(('Commodity Costs Avoided Detail'!AH21+AY23)*0.1)</f>
        <v>0.40488938898273147</v>
      </c>
      <c r="BN23" s="8">
        <f>(('Commodity Costs Avoided Detail'!AH21)*0.1)</f>
        <v>0.34913426530781982</v>
      </c>
      <c r="BO23" s="8">
        <f>(('Commodity Costs Avoided Detail'!AE21+AZ23)*0.1)</f>
        <v>1.2207737241846541</v>
      </c>
      <c r="BP23" s="8">
        <f>(('Commodity Costs Avoided Detail'!AE21+BA23)*0.1)</f>
        <v>0.83267046106792142</v>
      </c>
      <c r="BQ23" s="8">
        <f>(('Commodity Costs Avoided Detail'!AE21+BB23)*0.1)</f>
        <v>1.374677084614937</v>
      </c>
      <c r="BR23" s="8">
        <f>(('Commodity Costs Avoided Detail'!AF21+BC23)*0.1)</f>
        <v>0.53843968007920284</v>
      </c>
      <c r="BS23" s="8">
        <f>(('Commodity Costs Avoided Detail'!AG21+BD23)*0.1)</f>
        <v>0.84491062573184816</v>
      </c>
      <c r="BT23" s="8">
        <f>(('Commodity Costs Avoided Detail'!AH21+BE23)*0.1)</f>
        <v>0.43563143845269608</v>
      </c>
      <c r="BU23" s="8">
        <f>(('Commodity Costs Avoided Detail'!AH21)*0.1)</f>
        <v>0.34913426530781982</v>
      </c>
      <c r="BV23" s="48"/>
      <c r="BW23" s="21">
        <f t="shared" si="46"/>
        <v>2040</v>
      </c>
      <c r="BX23" s="158">
        <f>'Commodity Costs Avoided Detail'!$AE21+AT23+$H23+BH23+$G23</f>
        <v>21.96602012120476</v>
      </c>
      <c r="BY23" s="158">
        <f>'Commodity Costs Avoided Detail'!$AE21+AU23+$H23+BI23+$G23</f>
        <v>19.3882085566234</v>
      </c>
      <c r="BZ23" s="158">
        <f>'Commodity Costs Avoided Detail'!AE21+AV23+$H23+BJ23+G23</f>
        <v>22.957947659811094</v>
      </c>
      <c r="CA23" s="158">
        <f>'Commodity Costs Avoided Detail'!AF21+AW23+$H23+BK23+$G23</f>
        <v>17.095776916441977</v>
      </c>
      <c r="CB23" s="158">
        <f>'Commodity Costs Avoided Detail'!AG21+AX23+$H23+BL23+$G23</f>
        <v>19.126294689507013</v>
      </c>
      <c r="CC23" s="158">
        <f>'Commodity Costs Avoided Detail'!AH21+AY23+$H23+BM23+$G23</f>
        <v>16.396195360885102</v>
      </c>
      <c r="CD23" s="158">
        <f>'Commodity Costs Avoided Detail'!AH21+$H23+BN23+$G23</f>
        <v>15.782889000461072</v>
      </c>
      <c r="CE23" s="160">
        <f>'Commodity Costs Avoided Detail'!$AE21+AZ23+$I23+BO23+$G23</f>
        <v>21.379451464954695</v>
      </c>
      <c r="CF23" s="160">
        <f>'Commodity Costs Avoided Detail'!$AE21+BA23+$I23+BP23+$G23</f>
        <v>17.110315570670636</v>
      </c>
      <c r="CG23" s="160">
        <f>'Commodity Costs Avoided Detail'!AE21+BB23+$I23+BQ23+$G23</f>
        <v>23.072388429687809</v>
      </c>
      <c r="CH23" s="160">
        <f>'Commodity Costs Avoided Detail'!AF21+BC23+$I23+BR23+$G23</f>
        <v>13.87377697979473</v>
      </c>
      <c r="CI23" s="160">
        <f>'Commodity Costs Avoided Detail'!AG21+BD23+$I23+BS23+$G23</f>
        <v>17.244957381973833</v>
      </c>
      <c r="CJ23" s="160">
        <f>'Commodity Costs Avoided Detail'!AH21+BE23+$I23+BT23+$G23</f>
        <v>12.742886321903155</v>
      </c>
      <c r="CK23" s="160">
        <f>'Commodity Costs Avoided Detail'!AH21+$I23+BU23+$G23</f>
        <v>11.791417417309518</v>
      </c>
    </row>
    <row r="24" spans="1:109" ht="13.7" customHeight="1" x14ac:dyDescent="0.25">
      <c r="A24" s="84">
        <f t="shared" si="40"/>
        <v>2041</v>
      </c>
      <c r="B24" s="164">
        <v>8.8999999999999996E-2</v>
      </c>
      <c r="C24" s="170">
        <v>0.77597173144876319</v>
      </c>
      <c r="D24" s="175">
        <v>0.46855123674911658</v>
      </c>
      <c r="E24" s="169">
        <v>0.50405321139056325</v>
      </c>
      <c r="F24" s="167">
        <f>'Commodity Costs Avoided Detail'!N22</f>
        <v>3.4673627440041694</v>
      </c>
      <c r="G24" s="168">
        <v>1.1025056164197338</v>
      </c>
      <c r="H24" s="179">
        <v>10.35</v>
      </c>
      <c r="I24" s="174">
        <f>('Greenhouse Gas Costs Avoided De'!O21)</f>
        <v>6.9205787325912063</v>
      </c>
      <c r="J24" s="140">
        <v>1.5967874309925312</v>
      </c>
      <c r="K24" s="139">
        <f t="shared" si="41"/>
        <v>2.2681432743201169E-2</v>
      </c>
      <c r="L24" s="129"/>
      <c r="M24" s="21">
        <f t="shared" si="42"/>
        <v>2041</v>
      </c>
      <c r="N24" s="8">
        <f t="shared" ref="N24:O33" si="60">($B24*$H$39*365)</f>
        <v>0.6442738338206585</v>
      </c>
      <c r="O24" s="8">
        <f t="shared" si="60"/>
        <v>0.6442738338206585</v>
      </c>
      <c r="P24" s="8">
        <f t="shared" ref="P24:P33" si="61">($B24*$H$40*365)</f>
        <v>0.57472154494229177</v>
      </c>
      <c r="Q24" s="8">
        <f t="shared" ref="Q24:Q33" si="62">($B24*$H$41*365)</f>
        <v>0.10720049999999999</v>
      </c>
      <c r="R24" s="8">
        <f t="shared" ref="R24:R33" si="63">($B24*$H$42*365)</f>
        <v>0.11570000000000001</v>
      </c>
      <c r="S24" s="8">
        <f t="shared" ref="S24:S33" si="64">($B24*$H$43*365)</f>
        <v>8.8999999999999996E-2</v>
      </c>
      <c r="T24" s="8">
        <f t="shared" ref="T24:T33" si="65">S24</f>
        <v>8.8999999999999996E-2</v>
      </c>
      <c r="U24" s="8">
        <f t="shared" ref="U24:V33" si="66">($B24*$H$39*365)</f>
        <v>0.6442738338206585</v>
      </c>
      <c r="V24" s="8">
        <f t="shared" si="66"/>
        <v>0.6442738338206585</v>
      </c>
      <c r="W24" s="8">
        <f t="shared" ref="W24:W33" si="67">($B24*$H$40*365)</f>
        <v>0.57472154494229177</v>
      </c>
      <c r="X24" s="8">
        <f t="shared" ref="X24:X33" si="68">($B24*$H$41*365)</f>
        <v>0.10720049999999999</v>
      </c>
      <c r="Y24" s="8">
        <f t="shared" ref="Y24:Y33" si="69">($B24*$H$42*365)</f>
        <v>0.11570000000000001</v>
      </c>
      <c r="Z24" s="8">
        <f t="shared" ref="Z24:Z33" si="70">($B24*$H$43*365)</f>
        <v>8.8999999999999996E-2</v>
      </c>
      <c r="AA24" s="9">
        <f t="shared" ref="AA24:AA33" si="71">Z24</f>
        <v>8.8999999999999996E-2</v>
      </c>
      <c r="AB24" s="48"/>
      <c r="AC24" s="7">
        <f t="shared" si="43"/>
        <v>2041</v>
      </c>
      <c r="AD24" s="8">
        <f t="shared" ref="AD24:AD33" si="72">($D24*$H$46*8760)</f>
        <v>4.71776518398263</v>
      </c>
      <c r="AE24" s="8">
        <f t="shared" ref="AE24:AE33" si="73">($D24*$H$47*8760)</f>
        <v>2.3743001252723031</v>
      </c>
      <c r="AF24" s="8">
        <f t="shared" ref="AF24:AF33" si="74">($D24*$H$48*8760)</f>
        <v>5.6890697806849353</v>
      </c>
      <c r="AG24" s="8">
        <f t="shared" ref="AG24:AG33" si="75">($D24*$H$49*8760)</f>
        <v>1.0661644757207067</v>
      </c>
      <c r="AH24" s="8">
        <f t="shared" ref="AH24:AH33" si="76">($D24*$H$50*8760)</f>
        <v>2.9237597173144878</v>
      </c>
      <c r="AI24" s="8">
        <f t="shared" ref="AI24:AI33" si="77">($D24*$H$51*8760)</f>
        <v>0.46855123674911658</v>
      </c>
      <c r="AJ24" s="8">
        <f t="shared" ref="AJ24:AJ33" si="78">AI24</f>
        <v>0.46855123674911658</v>
      </c>
      <c r="AK24" s="8">
        <f t="shared" ref="AK24:AK33" si="79">($C24*$H$46*8760)</f>
        <v>7.8131314811658026</v>
      </c>
      <c r="AL24" s="8">
        <f t="shared" ref="AL24:AL33" si="80">($C24*$H$47*8760)</f>
        <v>3.932098849998475</v>
      </c>
      <c r="AM24" s="8">
        <f t="shared" ref="AM24:AM33" si="81">($C24*$H$48*8760)</f>
        <v>9.4217173743469971</v>
      </c>
      <c r="AN24" s="8">
        <f t="shared" ref="AN24:AN33" si="82">($C24*$H$49*8760)</f>
        <v>1.7656841543609891</v>
      </c>
      <c r="AO24" s="8">
        <f t="shared" ref="AO24:AO33" si="83">($C24*$H$50*8760)</f>
        <v>4.8420636042402831</v>
      </c>
      <c r="AP24" s="8">
        <f t="shared" ref="AP24:AP33" si="84">($C24*$H$51*8760)</f>
        <v>0.77597173144876308</v>
      </c>
      <c r="AQ24" s="8">
        <f t="shared" ref="AQ24:AQ33" si="85">AP24</f>
        <v>0.77597173144876308</v>
      </c>
      <c r="AS24" s="7">
        <f t="shared" si="44"/>
        <v>2041</v>
      </c>
      <c r="AT24" s="8">
        <f t="shared" ref="AT24:AT33" si="86">AD24+N24</f>
        <v>5.3620390178032888</v>
      </c>
      <c r="AU24" s="8">
        <f t="shared" ref="AU24:AU33" si="87">AE24+O24</f>
        <v>3.0185739590929614</v>
      </c>
      <c r="AV24" s="8">
        <f t="shared" ref="AV24:AV33" si="88">AF24+P24</f>
        <v>6.2637913256272268</v>
      </c>
      <c r="AW24" s="8">
        <f t="shared" ref="AW24:AW33" si="89">AG24+Q24</f>
        <v>1.1733649757207067</v>
      </c>
      <c r="AX24" s="8">
        <f t="shared" ref="AX24:AX33" si="90">AH24+R24</f>
        <v>3.0394597173144877</v>
      </c>
      <c r="AY24" s="8">
        <f t="shared" ref="AY24:AY33" si="91">AI24+S24</f>
        <v>0.55755123674911655</v>
      </c>
      <c r="AZ24" s="8">
        <f t="shared" ref="AZ24:AZ33" si="92">AK24+U24</f>
        <v>8.4574053149864614</v>
      </c>
      <c r="BA24" s="8">
        <f t="shared" ref="BA24:BA33" si="93">AL24+V24</f>
        <v>4.5763726838191339</v>
      </c>
      <c r="BB24" s="8">
        <f t="shared" ref="BB24:BB33" si="94">AM24+W24</f>
        <v>9.9964389192892895</v>
      </c>
      <c r="BC24" s="8">
        <f t="shared" ref="BC24:BC33" si="95">AN24+X24</f>
        <v>1.8728846543609892</v>
      </c>
      <c r="BD24" s="8">
        <f t="shared" ref="BD24:BD33" si="96">AO24+Y24</f>
        <v>4.9577636042402835</v>
      </c>
      <c r="BE24" s="8">
        <f t="shared" ref="BE24:BE33" si="97">AP24+Z24</f>
        <v>0.86497173144876305</v>
      </c>
      <c r="BF24" s="48"/>
      <c r="BG24" s="7">
        <f t="shared" si="45"/>
        <v>2041</v>
      </c>
      <c r="BH24" s="8">
        <f>(('Commodity Costs Avoided Detail'!$AE22+AT24)*0.1)</f>
        <v>0.91278884712415198</v>
      </c>
      <c r="BI24" s="8">
        <f>(('Commodity Costs Avoided Detail'!$AE22+AU24)*0.1)</f>
        <v>0.67844234125311931</v>
      </c>
      <c r="BJ24" s="8">
        <f>(('Commodity Costs Avoided Detail'!AE22+AV24)*0.1)</f>
        <v>1.0029640779065458</v>
      </c>
      <c r="BK24" s="8">
        <f>(('Commodity Costs Avoided Detail'!AF22+AW24)*0.1)</f>
        <v>0.46659636757451023</v>
      </c>
      <c r="BL24" s="8">
        <f>(('Commodity Costs Avoided Detail'!AG22+AX24)*0.1)</f>
        <v>0.65068224613186576</v>
      </c>
      <c r="BM24" s="8">
        <f>(('Commodity Costs Avoided Detail'!AH22+AY24)*0.1)</f>
        <v>0.40249139807532863</v>
      </c>
      <c r="BN24" s="8">
        <f>(('Commodity Costs Avoided Detail'!AH22)*0.1)</f>
        <v>0.34673627440041699</v>
      </c>
      <c r="BO24" s="8">
        <f>(('Commodity Costs Avoided Detail'!AE22+AZ24)*0.1)</f>
        <v>1.2223254768424692</v>
      </c>
      <c r="BP24" s="8">
        <f>(('Commodity Costs Avoided Detail'!AE22+BA24)*0.1)</f>
        <v>0.83422221372573668</v>
      </c>
      <c r="BQ24" s="8">
        <f>(('Commodity Costs Avoided Detail'!AE22+BB24)*0.1)</f>
        <v>1.3762288372727522</v>
      </c>
      <c r="BR24" s="8">
        <f>(('Commodity Costs Avoided Detail'!AF22+BC24)*0.1)</f>
        <v>0.53654833543853842</v>
      </c>
      <c r="BS24" s="8">
        <f>(('Commodity Costs Avoided Detail'!AG22+BD24)*0.1)</f>
        <v>0.84251263482444527</v>
      </c>
      <c r="BT24" s="8">
        <f>(('Commodity Costs Avoided Detail'!AH22+BE24)*0.1)</f>
        <v>0.43323344754529325</v>
      </c>
      <c r="BU24" s="8">
        <f>(('Commodity Costs Avoided Detail'!AH22)*0.1)</f>
        <v>0.34673627440041699</v>
      </c>
      <c r="BV24" s="48"/>
      <c r="BW24" s="21">
        <f t="shared" si="46"/>
        <v>2041</v>
      </c>
      <c r="BX24" s="158">
        <f>'Commodity Costs Avoided Detail'!$AE22+AT24+$H24+BH24+$G24</f>
        <v>21.493182934785406</v>
      </c>
      <c r="BY24" s="158">
        <f>'Commodity Costs Avoided Detail'!$AE22+AU24+$H24+BI24+$G24</f>
        <v>18.915371370204046</v>
      </c>
      <c r="BZ24" s="158">
        <f>'Commodity Costs Avoided Detail'!AE22+AV24+$H24+BJ24+G24</f>
        <v>22.485110473391739</v>
      </c>
      <c r="CA24" s="158">
        <f>'Commodity Costs Avoided Detail'!AF22+AW24+$H24+BK24+$G24</f>
        <v>16.585065659739346</v>
      </c>
      <c r="CB24" s="158">
        <f>'Commodity Costs Avoided Detail'!AG22+AX24+$H24+BL24+$G24</f>
        <v>18.610010323870256</v>
      </c>
      <c r="CC24" s="158">
        <f>'Commodity Costs Avoided Detail'!AH22+AY24+$H24+BM24+$G24</f>
        <v>15.879910995248348</v>
      </c>
      <c r="CD24" s="158">
        <f>'Commodity Costs Avoided Detail'!AH22+$H24+BN24+$G24</f>
        <v>15.26660463482432</v>
      </c>
      <c r="CE24" s="160">
        <f>'Commodity Costs Avoided Detail'!$AE22+AZ24+$I24+BO24+$G24</f>
        <v>21.468664594278103</v>
      </c>
      <c r="CF24" s="160">
        <f>'Commodity Costs Avoided Detail'!$AE22+BA24+$I24+BP24+$G24</f>
        <v>17.199528699994044</v>
      </c>
      <c r="CG24" s="160">
        <f>'Commodity Costs Avoided Detail'!AE22+BB24+$I24+BQ24+$G24</f>
        <v>23.161601559011213</v>
      </c>
      <c r="CH24" s="160">
        <f>'Commodity Costs Avoided Detail'!AF22+BC24+$I24+BR24+$G24</f>
        <v>13.925116038834863</v>
      </c>
      <c r="CI24" s="160">
        <f>'Commodity Costs Avoided Detail'!AG22+BD24+$I24+BS24+$G24</f>
        <v>17.290723332079839</v>
      </c>
      <c r="CJ24" s="160">
        <f>'Commodity Costs Avoided Detail'!AH22+BE24+$I24+BT24+$G24</f>
        <v>12.788652272009164</v>
      </c>
      <c r="CK24" s="160">
        <f>'Commodity Costs Avoided Detail'!AH22+$I24+BU24+$G24</f>
        <v>11.837183367415527</v>
      </c>
    </row>
    <row r="25" spans="1:109" ht="13.7" customHeight="1" x14ac:dyDescent="0.25">
      <c r="A25" s="85">
        <f t="shared" si="40"/>
        <v>2042</v>
      </c>
      <c r="B25" s="164">
        <v>8.8999999999999996E-2</v>
      </c>
      <c r="C25" s="170">
        <v>0.77597173144876319</v>
      </c>
      <c r="D25" s="175">
        <v>0.46855123674911658</v>
      </c>
      <c r="E25" s="169">
        <v>0.50405321139056325</v>
      </c>
      <c r="F25" s="167">
        <f>'Commodity Costs Avoided Detail'!N23</f>
        <v>3.6044269804777578</v>
      </c>
      <c r="G25" s="168">
        <v>1.1189897840548277</v>
      </c>
      <c r="H25" s="179">
        <v>9.8870000000000005</v>
      </c>
      <c r="I25" s="174">
        <f>('Greenhouse Gas Costs Avoided De'!O22)</f>
        <v>6.9966290483339666</v>
      </c>
      <c r="J25" s="140">
        <v>1.6333210909893976</v>
      </c>
      <c r="K25" s="139">
        <f t="shared" si="41"/>
        <v>2.2879476183099604E-2</v>
      </c>
      <c r="L25" s="129"/>
      <c r="M25" s="21">
        <f t="shared" si="42"/>
        <v>2042</v>
      </c>
      <c r="N25" s="8">
        <f t="shared" si="60"/>
        <v>0.6442738338206585</v>
      </c>
      <c r="O25" s="8">
        <f t="shared" si="60"/>
        <v>0.6442738338206585</v>
      </c>
      <c r="P25" s="8">
        <f t="shared" si="61"/>
        <v>0.57472154494229177</v>
      </c>
      <c r="Q25" s="8">
        <f t="shared" si="62"/>
        <v>0.10720049999999999</v>
      </c>
      <c r="R25" s="8">
        <f t="shared" si="63"/>
        <v>0.11570000000000001</v>
      </c>
      <c r="S25" s="8">
        <f t="shared" si="64"/>
        <v>8.8999999999999996E-2</v>
      </c>
      <c r="T25" s="8">
        <f t="shared" si="65"/>
        <v>8.8999999999999996E-2</v>
      </c>
      <c r="U25" s="8">
        <f t="shared" si="66"/>
        <v>0.6442738338206585</v>
      </c>
      <c r="V25" s="8">
        <f t="shared" si="66"/>
        <v>0.6442738338206585</v>
      </c>
      <c r="W25" s="8">
        <f t="shared" si="67"/>
        <v>0.57472154494229177</v>
      </c>
      <c r="X25" s="8">
        <f t="shared" si="68"/>
        <v>0.10720049999999999</v>
      </c>
      <c r="Y25" s="8">
        <f t="shared" si="69"/>
        <v>0.11570000000000001</v>
      </c>
      <c r="Z25" s="8">
        <f t="shared" si="70"/>
        <v>8.8999999999999996E-2</v>
      </c>
      <c r="AA25" s="9">
        <f t="shared" si="71"/>
        <v>8.8999999999999996E-2</v>
      </c>
      <c r="AB25" s="48"/>
      <c r="AC25" s="7">
        <f t="shared" si="43"/>
        <v>2042</v>
      </c>
      <c r="AD25" s="8">
        <f t="shared" si="72"/>
        <v>4.71776518398263</v>
      </c>
      <c r="AE25" s="8">
        <f t="shared" si="73"/>
        <v>2.3743001252723031</v>
      </c>
      <c r="AF25" s="8">
        <f t="shared" si="74"/>
        <v>5.6890697806849353</v>
      </c>
      <c r="AG25" s="8">
        <f t="shared" si="75"/>
        <v>1.0661644757207067</v>
      </c>
      <c r="AH25" s="8">
        <f t="shared" si="76"/>
        <v>2.9237597173144878</v>
      </c>
      <c r="AI25" s="8">
        <f t="shared" si="77"/>
        <v>0.46855123674911658</v>
      </c>
      <c r="AJ25" s="8">
        <f t="shared" si="78"/>
        <v>0.46855123674911658</v>
      </c>
      <c r="AK25" s="8">
        <f t="shared" si="79"/>
        <v>7.8131314811658026</v>
      </c>
      <c r="AL25" s="8">
        <f t="shared" si="80"/>
        <v>3.932098849998475</v>
      </c>
      <c r="AM25" s="8">
        <f t="shared" si="81"/>
        <v>9.4217173743469971</v>
      </c>
      <c r="AN25" s="8">
        <f t="shared" si="82"/>
        <v>1.7656841543609891</v>
      </c>
      <c r="AO25" s="8">
        <f t="shared" si="83"/>
        <v>4.8420636042402831</v>
      </c>
      <c r="AP25" s="8">
        <f t="shared" si="84"/>
        <v>0.77597173144876308</v>
      </c>
      <c r="AQ25" s="8">
        <f t="shared" si="85"/>
        <v>0.77597173144876308</v>
      </c>
      <c r="AS25" s="7">
        <f t="shared" si="44"/>
        <v>2042</v>
      </c>
      <c r="AT25" s="8">
        <f t="shared" si="86"/>
        <v>5.3620390178032888</v>
      </c>
      <c r="AU25" s="8">
        <f t="shared" si="87"/>
        <v>3.0185739590929614</v>
      </c>
      <c r="AV25" s="8">
        <f t="shared" si="88"/>
        <v>6.2637913256272268</v>
      </c>
      <c r="AW25" s="8">
        <f t="shared" si="89"/>
        <v>1.1733649757207067</v>
      </c>
      <c r="AX25" s="8">
        <f t="shared" si="90"/>
        <v>3.0394597173144877</v>
      </c>
      <c r="AY25" s="8">
        <f t="shared" si="91"/>
        <v>0.55755123674911655</v>
      </c>
      <c r="AZ25" s="8">
        <f t="shared" si="92"/>
        <v>8.4574053149864614</v>
      </c>
      <c r="BA25" s="8">
        <f t="shared" si="93"/>
        <v>4.5763726838191339</v>
      </c>
      <c r="BB25" s="8">
        <f t="shared" si="94"/>
        <v>9.9964389192892895</v>
      </c>
      <c r="BC25" s="8">
        <f t="shared" si="95"/>
        <v>1.8728846543609892</v>
      </c>
      <c r="BD25" s="8">
        <f t="shared" si="96"/>
        <v>4.9577636042402835</v>
      </c>
      <c r="BE25" s="8">
        <f t="shared" si="97"/>
        <v>0.86497173144876305</v>
      </c>
      <c r="BF25" s="48"/>
      <c r="BG25" s="7">
        <f t="shared" si="45"/>
        <v>2042</v>
      </c>
      <c r="BH25" s="8">
        <f>(('Commodity Costs Avoided Detail'!$AE23+AT25)*0.1)</f>
        <v>0.92602931653654152</v>
      </c>
      <c r="BI25" s="8">
        <f>(('Commodity Costs Avoided Detail'!$AE23+AU25)*0.1)</f>
        <v>0.69168281066550863</v>
      </c>
      <c r="BJ25" s="8">
        <f>(('Commodity Costs Avoided Detail'!AE23+AV25)*0.1)</f>
        <v>1.0162045473189352</v>
      </c>
      <c r="BK25" s="8">
        <f>(('Commodity Costs Avoided Detail'!AF23+AW25)*0.1)</f>
        <v>0.48034557992559218</v>
      </c>
      <c r="BL25" s="8">
        <f>(('Commodity Costs Avoided Detail'!AG23+AX25)*0.1)</f>
        <v>0.66438866977922473</v>
      </c>
      <c r="BM25" s="8">
        <f>(('Commodity Costs Avoided Detail'!AH23+AY25)*0.1)</f>
        <v>0.41619782172268754</v>
      </c>
      <c r="BN25" s="8">
        <f>(('Commodity Costs Avoided Detail'!AH23)*0.1)</f>
        <v>0.3604426980477759</v>
      </c>
      <c r="BO25" s="8">
        <f>(('Commodity Costs Avoided Detail'!AE23+AZ25)*0.1)</f>
        <v>1.2355659462548587</v>
      </c>
      <c r="BP25" s="8">
        <f>(('Commodity Costs Avoided Detail'!AE23+BA25)*0.1)</f>
        <v>0.84746268313812578</v>
      </c>
      <c r="BQ25" s="8">
        <f>(('Commodity Costs Avoided Detail'!AE23+BB25)*0.1)</f>
        <v>1.3894693066851413</v>
      </c>
      <c r="BR25" s="8">
        <f>(('Commodity Costs Avoided Detail'!AF23+BC25)*0.1)</f>
        <v>0.55029754778962037</v>
      </c>
      <c r="BS25" s="8">
        <f>(('Commodity Costs Avoided Detail'!AG23+BD25)*0.1)</f>
        <v>0.85621905847180424</v>
      </c>
      <c r="BT25" s="8">
        <f>(('Commodity Costs Avoided Detail'!AH23+BE25)*0.1)</f>
        <v>0.44693987119265216</v>
      </c>
      <c r="BU25" s="8">
        <f>(('Commodity Costs Avoided Detail'!AH23)*0.1)</f>
        <v>0.3604426980477759</v>
      </c>
      <c r="BV25" s="48"/>
      <c r="BW25" s="21">
        <f t="shared" si="46"/>
        <v>2042</v>
      </c>
      <c r="BX25" s="158">
        <f>'Commodity Costs Avoided Detail'!$AE23+AT25+$H25+BH25+$G25</f>
        <v>21.192312265956787</v>
      </c>
      <c r="BY25" s="158">
        <f>'Commodity Costs Avoided Detail'!$AE23+AU25+$H25+BI25+$G25</f>
        <v>18.614500701375423</v>
      </c>
      <c r="BZ25" s="158">
        <f>'Commodity Costs Avoided Detail'!AE23+AV25+$H25+BJ25+G25</f>
        <v>22.184239804563116</v>
      </c>
      <c r="CA25" s="158">
        <f>'Commodity Costs Avoided Detail'!AF23+AW25+$H25+BK25+$G25</f>
        <v>16.289791163236341</v>
      </c>
      <c r="CB25" s="158">
        <f>'Commodity Costs Avoided Detail'!AG23+AX25+$H25+BL25+$G25</f>
        <v>18.314265151626302</v>
      </c>
      <c r="CC25" s="158">
        <f>'Commodity Costs Avoided Detail'!AH23+AY25+$H25+BM25+$G25</f>
        <v>15.584165823004389</v>
      </c>
      <c r="CD25" s="158">
        <f>'Commodity Costs Avoided Detail'!AH23+$H25+BN25+$G25</f>
        <v>14.970859462580361</v>
      </c>
      <c r="CE25" s="160">
        <f>'Commodity Costs Avoided Detail'!$AE23+AZ25+$I25+BO25+$G25</f>
        <v>21.70684424119224</v>
      </c>
      <c r="CF25" s="160">
        <f>'Commodity Costs Avoided Detail'!$AE23+BA25+$I25+BP25+$G25</f>
        <v>17.437708346908178</v>
      </c>
      <c r="CG25" s="160">
        <f>'Commodity Costs Avoided Detail'!AE23+BB25+$I25+BQ25+$G25</f>
        <v>23.399781205925354</v>
      </c>
      <c r="CH25" s="160">
        <f>'Commodity Costs Avoided Detail'!AF23+BC25+$I25+BR25+$G25</f>
        <v>14.168891858074618</v>
      </c>
      <c r="CI25" s="160">
        <f>'Commodity Costs Avoided Detail'!AG23+BD25+$I25+BS25+$G25</f>
        <v>17.534028475578641</v>
      </c>
      <c r="CJ25" s="160">
        <f>'Commodity Costs Avoided Detail'!AH23+BE25+$I25+BT25+$G25</f>
        <v>13.031957415507968</v>
      </c>
      <c r="CK25" s="160">
        <f>'Commodity Costs Avoided Detail'!AH23+$I25+BU25+$G25</f>
        <v>12.080488510914329</v>
      </c>
    </row>
    <row r="26" spans="1:109" ht="13.7" customHeight="1" x14ac:dyDescent="0.25">
      <c r="A26" s="84">
        <f t="shared" si="40"/>
        <v>2043</v>
      </c>
      <c r="B26" s="164">
        <v>8.8999999999999996E-2</v>
      </c>
      <c r="C26" s="170">
        <v>0.77597173144876319</v>
      </c>
      <c r="D26" s="175">
        <v>0.46855123674911658</v>
      </c>
      <c r="E26" s="169">
        <v>0.50405321139056325</v>
      </c>
      <c r="F26" s="167">
        <f>'Commodity Costs Avoided Detail'!N24</f>
        <v>3.7284200774582263</v>
      </c>
      <c r="G26" s="168">
        <v>1.1202723279637365</v>
      </c>
      <c r="H26" s="179">
        <v>9.3360000000000003</v>
      </c>
      <c r="I26" s="174">
        <f>('Greenhouse Gas Costs Avoided De'!O23)</f>
        <v>7.0726793640767269</v>
      </c>
      <c r="J26" s="140">
        <v>1.6708931031353533</v>
      </c>
      <c r="K26" s="139">
        <f t="shared" si="41"/>
        <v>2.3003445160434548E-2</v>
      </c>
      <c r="L26" s="129"/>
      <c r="M26" s="21">
        <f t="shared" si="42"/>
        <v>2043</v>
      </c>
      <c r="N26" s="8">
        <f t="shared" si="60"/>
        <v>0.6442738338206585</v>
      </c>
      <c r="O26" s="8">
        <f t="shared" si="60"/>
        <v>0.6442738338206585</v>
      </c>
      <c r="P26" s="8">
        <f t="shared" si="61"/>
        <v>0.57472154494229177</v>
      </c>
      <c r="Q26" s="8">
        <f t="shared" si="62"/>
        <v>0.10720049999999999</v>
      </c>
      <c r="R26" s="8">
        <f t="shared" si="63"/>
        <v>0.11570000000000001</v>
      </c>
      <c r="S26" s="8">
        <f t="shared" si="64"/>
        <v>8.8999999999999996E-2</v>
      </c>
      <c r="T26" s="8">
        <f t="shared" si="65"/>
        <v>8.8999999999999996E-2</v>
      </c>
      <c r="U26" s="8">
        <f t="shared" si="66"/>
        <v>0.6442738338206585</v>
      </c>
      <c r="V26" s="8">
        <f t="shared" si="66"/>
        <v>0.6442738338206585</v>
      </c>
      <c r="W26" s="8">
        <f t="shared" si="67"/>
        <v>0.57472154494229177</v>
      </c>
      <c r="X26" s="8">
        <f t="shared" si="68"/>
        <v>0.10720049999999999</v>
      </c>
      <c r="Y26" s="8">
        <f t="shared" si="69"/>
        <v>0.11570000000000001</v>
      </c>
      <c r="Z26" s="8">
        <f t="shared" si="70"/>
        <v>8.8999999999999996E-2</v>
      </c>
      <c r="AA26" s="9">
        <f t="shared" si="71"/>
        <v>8.8999999999999996E-2</v>
      </c>
      <c r="AB26" s="48"/>
      <c r="AC26" s="7">
        <f t="shared" si="43"/>
        <v>2043</v>
      </c>
      <c r="AD26" s="8">
        <f t="shared" si="72"/>
        <v>4.71776518398263</v>
      </c>
      <c r="AE26" s="8">
        <f t="shared" si="73"/>
        <v>2.3743001252723031</v>
      </c>
      <c r="AF26" s="8">
        <f t="shared" si="74"/>
        <v>5.6890697806849353</v>
      </c>
      <c r="AG26" s="8">
        <f t="shared" si="75"/>
        <v>1.0661644757207067</v>
      </c>
      <c r="AH26" s="8">
        <f t="shared" si="76"/>
        <v>2.9237597173144878</v>
      </c>
      <c r="AI26" s="8">
        <f t="shared" si="77"/>
        <v>0.46855123674911658</v>
      </c>
      <c r="AJ26" s="8">
        <f t="shared" si="78"/>
        <v>0.46855123674911658</v>
      </c>
      <c r="AK26" s="8">
        <f t="shared" si="79"/>
        <v>7.8131314811658026</v>
      </c>
      <c r="AL26" s="8">
        <f t="shared" si="80"/>
        <v>3.932098849998475</v>
      </c>
      <c r="AM26" s="8">
        <f t="shared" si="81"/>
        <v>9.4217173743469971</v>
      </c>
      <c r="AN26" s="8">
        <f t="shared" si="82"/>
        <v>1.7656841543609891</v>
      </c>
      <c r="AO26" s="8">
        <f t="shared" si="83"/>
        <v>4.8420636042402831</v>
      </c>
      <c r="AP26" s="8">
        <f t="shared" si="84"/>
        <v>0.77597173144876308</v>
      </c>
      <c r="AQ26" s="8">
        <f t="shared" si="85"/>
        <v>0.77597173144876308</v>
      </c>
      <c r="AS26" s="7">
        <f t="shared" si="44"/>
        <v>2043</v>
      </c>
      <c r="AT26" s="8">
        <f t="shared" si="86"/>
        <v>5.3620390178032888</v>
      </c>
      <c r="AU26" s="8">
        <f t="shared" si="87"/>
        <v>3.0185739590929614</v>
      </c>
      <c r="AV26" s="8">
        <f t="shared" si="88"/>
        <v>6.2637913256272268</v>
      </c>
      <c r="AW26" s="8">
        <f t="shared" si="89"/>
        <v>1.1733649757207067</v>
      </c>
      <c r="AX26" s="8">
        <f t="shared" si="90"/>
        <v>3.0394597173144877</v>
      </c>
      <c r="AY26" s="8">
        <f t="shared" si="91"/>
        <v>0.55755123674911655</v>
      </c>
      <c r="AZ26" s="8">
        <f t="shared" si="92"/>
        <v>8.4574053149864614</v>
      </c>
      <c r="BA26" s="8">
        <f t="shared" si="93"/>
        <v>4.5763726838191339</v>
      </c>
      <c r="BB26" s="8">
        <f t="shared" si="94"/>
        <v>9.9964389192892895</v>
      </c>
      <c r="BC26" s="8">
        <f t="shared" si="95"/>
        <v>1.8728846543609892</v>
      </c>
      <c r="BD26" s="8">
        <f t="shared" si="96"/>
        <v>4.9577636042402835</v>
      </c>
      <c r="BE26" s="8">
        <f t="shared" si="97"/>
        <v>0.86497173144876305</v>
      </c>
      <c r="BF26" s="48"/>
      <c r="BG26" s="7">
        <f t="shared" si="45"/>
        <v>2043</v>
      </c>
      <c r="BH26" s="8">
        <f>(('Commodity Costs Avoided Detail'!$AE24+AT26)*0.1)</f>
        <v>0.93471581810350191</v>
      </c>
      <c r="BI26" s="8">
        <f>(('Commodity Costs Avoided Detail'!$AE24+AU26)*0.1)</f>
        <v>0.70036931223246912</v>
      </c>
      <c r="BJ26" s="8">
        <f>(('Commodity Costs Avoided Detail'!AE24+AV26)*0.1)</f>
        <v>1.0248910488858958</v>
      </c>
      <c r="BK26" s="8">
        <f>(('Commodity Costs Avoided Detail'!AF24+AW26)*0.1)</f>
        <v>0.49219188116004758</v>
      </c>
      <c r="BL26" s="8">
        <f>(('Commodity Costs Avoided Detail'!AG24+AX26)*0.1)</f>
        <v>0.67678797947727143</v>
      </c>
      <c r="BM26" s="8">
        <f>(('Commodity Costs Avoided Detail'!AH24+AY26)*0.1)</f>
        <v>0.42859713142073441</v>
      </c>
      <c r="BN26" s="8">
        <f>(('Commodity Costs Avoided Detail'!AH24)*0.1)</f>
        <v>0.37284200774582271</v>
      </c>
      <c r="BO26" s="8">
        <f>(('Commodity Costs Avoided Detail'!AE24+AZ26)*0.1)</f>
        <v>1.2442524478218191</v>
      </c>
      <c r="BP26" s="8">
        <f>(('Commodity Costs Avoided Detail'!AE24+BA26)*0.1)</f>
        <v>0.85614918470508639</v>
      </c>
      <c r="BQ26" s="8">
        <f>(('Commodity Costs Avoided Detail'!AE24+BB26)*0.1)</f>
        <v>1.398155808252102</v>
      </c>
      <c r="BR26" s="8">
        <f>(('Commodity Costs Avoided Detail'!AF24+BC26)*0.1)</f>
        <v>0.56214384902407577</v>
      </c>
      <c r="BS26" s="8">
        <f>(('Commodity Costs Avoided Detail'!AG24+BD26)*0.1)</f>
        <v>0.86861836816985116</v>
      </c>
      <c r="BT26" s="8">
        <f>(('Commodity Costs Avoided Detail'!AH24+BE26)*0.1)</f>
        <v>0.45933918089069903</v>
      </c>
      <c r="BU26" s="8">
        <f>(('Commodity Costs Avoided Detail'!AH24)*0.1)</f>
        <v>0.37284200774582271</v>
      </c>
      <c r="BV26" s="48"/>
      <c r="BW26" s="21">
        <f t="shared" si="46"/>
        <v>2043</v>
      </c>
      <c r="BX26" s="158">
        <f>'Commodity Costs Avoided Detail'!$AE24+AT26+$H26+BH26+$G26</f>
        <v>20.738146327102257</v>
      </c>
      <c r="BY26" s="158">
        <f>'Commodity Costs Avoided Detail'!$AE24+AU26+$H26+BI26+$G26</f>
        <v>18.160334762520893</v>
      </c>
      <c r="BZ26" s="158">
        <f>'Commodity Costs Avoided Detail'!AE24+AV26+$H26+BJ26+G26</f>
        <v>21.73007386570859</v>
      </c>
      <c r="CA26" s="158">
        <f>'Commodity Costs Avoided Detail'!AF24+AW26+$H26+BK26+$G26</f>
        <v>15.87038302072426</v>
      </c>
      <c r="CB26" s="158">
        <f>'Commodity Costs Avoided Detail'!AG24+AX26+$H26+BL26+$G26</f>
        <v>17.900940102213724</v>
      </c>
      <c r="CC26" s="158">
        <f>'Commodity Costs Avoided Detail'!AH24+AY26+$H26+BM26+$G26</f>
        <v>15.170840773591813</v>
      </c>
      <c r="CD26" s="158">
        <f>'Commodity Costs Avoided Detail'!AH24+$H26+BN26+$G26</f>
        <v>14.557534413167785</v>
      </c>
      <c r="CE26" s="160">
        <f>'Commodity Costs Avoided Detail'!$AE24+AZ26+$I26+BO26+$G26</f>
        <v>21.87972861808047</v>
      </c>
      <c r="CF26" s="160">
        <f>'Commodity Costs Avoided Detail'!$AE24+BA26+$I26+BP26+$G26</f>
        <v>17.610592723796412</v>
      </c>
      <c r="CG26" s="160">
        <f>'Commodity Costs Avoided Detail'!AE24+BB26+$I26+BQ26+$G26</f>
        <v>23.572665582813585</v>
      </c>
      <c r="CH26" s="160">
        <f>'Commodity Costs Avoided Detail'!AF24+BC26+$I26+BR26+$G26</f>
        <v>14.376534031305297</v>
      </c>
      <c r="CI26" s="160">
        <f>'Commodity Costs Avoided Detail'!AG24+BD26+$I26+BS26+$G26</f>
        <v>17.747753741908824</v>
      </c>
      <c r="CJ26" s="160">
        <f>'Commodity Costs Avoided Detail'!AH24+BE26+$I26+BT26+$G26</f>
        <v>13.245682681838153</v>
      </c>
      <c r="CK26" s="160">
        <f>'Commodity Costs Avoided Detail'!AH24+$I26+BU26+$G26</f>
        <v>12.294213777244511</v>
      </c>
    </row>
    <row r="27" spans="1:109" ht="13.7" customHeight="1" x14ac:dyDescent="0.25">
      <c r="A27" s="85">
        <f t="shared" si="40"/>
        <v>2044</v>
      </c>
      <c r="B27" s="164">
        <v>8.8999999999999996E-2</v>
      </c>
      <c r="C27" s="170">
        <v>0.77597173144876319</v>
      </c>
      <c r="D27" s="175">
        <v>0.46855123674911658</v>
      </c>
      <c r="E27" s="169">
        <v>0.50405321139056325</v>
      </c>
      <c r="F27" s="167">
        <f>'Commodity Costs Avoided Detail'!N25</f>
        <v>3.7605599559036946</v>
      </c>
      <c r="G27" s="168">
        <v>1.1430552130874769</v>
      </c>
      <c r="H27" s="179">
        <v>8.8710000000000004</v>
      </c>
      <c r="I27" s="174">
        <f>('Greenhouse Gas Costs Avoided De'!O24)</f>
        <v>7.1487296798194873</v>
      </c>
      <c r="J27" s="140">
        <v>1.7093522966897201</v>
      </c>
      <c r="K27" s="139">
        <f t="shared" si="41"/>
        <v>2.3017147824836839E-2</v>
      </c>
      <c r="L27" s="129"/>
      <c r="M27" s="21">
        <f t="shared" si="42"/>
        <v>2044</v>
      </c>
      <c r="N27" s="8">
        <f t="shared" si="60"/>
        <v>0.6442738338206585</v>
      </c>
      <c r="O27" s="8">
        <f t="shared" si="60"/>
        <v>0.6442738338206585</v>
      </c>
      <c r="P27" s="8">
        <f t="shared" si="61"/>
        <v>0.57472154494229177</v>
      </c>
      <c r="Q27" s="8">
        <f t="shared" si="62"/>
        <v>0.10720049999999999</v>
      </c>
      <c r="R27" s="8">
        <f t="shared" si="63"/>
        <v>0.11570000000000001</v>
      </c>
      <c r="S27" s="8">
        <f t="shared" si="64"/>
        <v>8.8999999999999996E-2</v>
      </c>
      <c r="T27" s="8">
        <f t="shared" si="65"/>
        <v>8.8999999999999996E-2</v>
      </c>
      <c r="U27" s="8">
        <f t="shared" si="66"/>
        <v>0.6442738338206585</v>
      </c>
      <c r="V27" s="8">
        <f t="shared" si="66"/>
        <v>0.6442738338206585</v>
      </c>
      <c r="W27" s="8">
        <f t="shared" si="67"/>
        <v>0.57472154494229177</v>
      </c>
      <c r="X27" s="8">
        <f t="shared" si="68"/>
        <v>0.10720049999999999</v>
      </c>
      <c r="Y27" s="8">
        <f t="shared" si="69"/>
        <v>0.11570000000000001</v>
      </c>
      <c r="Z27" s="8">
        <f t="shared" si="70"/>
        <v>8.8999999999999996E-2</v>
      </c>
      <c r="AA27" s="9">
        <f t="shared" si="71"/>
        <v>8.8999999999999996E-2</v>
      </c>
      <c r="AB27" s="48"/>
      <c r="AC27" s="7">
        <f t="shared" si="43"/>
        <v>2044</v>
      </c>
      <c r="AD27" s="8">
        <f t="shared" si="72"/>
        <v>4.71776518398263</v>
      </c>
      <c r="AE27" s="8">
        <f t="shared" si="73"/>
        <v>2.3743001252723031</v>
      </c>
      <c r="AF27" s="8">
        <f t="shared" si="74"/>
        <v>5.6890697806849353</v>
      </c>
      <c r="AG27" s="8">
        <f t="shared" si="75"/>
        <v>1.0661644757207067</v>
      </c>
      <c r="AH27" s="8">
        <f t="shared" si="76"/>
        <v>2.9237597173144878</v>
      </c>
      <c r="AI27" s="8">
        <f t="shared" si="77"/>
        <v>0.46855123674911658</v>
      </c>
      <c r="AJ27" s="8">
        <f t="shared" si="78"/>
        <v>0.46855123674911658</v>
      </c>
      <c r="AK27" s="8">
        <f t="shared" si="79"/>
        <v>7.8131314811658026</v>
      </c>
      <c r="AL27" s="8">
        <f t="shared" si="80"/>
        <v>3.932098849998475</v>
      </c>
      <c r="AM27" s="8">
        <f t="shared" si="81"/>
        <v>9.4217173743469971</v>
      </c>
      <c r="AN27" s="8">
        <f t="shared" si="82"/>
        <v>1.7656841543609891</v>
      </c>
      <c r="AO27" s="8">
        <f t="shared" si="83"/>
        <v>4.8420636042402831</v>
      </c>
      <c r="AP27" s="8">
        <f t="shared" si="84"/>
        <v>0.77597173144876308</v>
      </c>
      <c r="AQ27" s="8">
        <f t="shared" si="85"/>
        <v>0.77597173144876308</v>
      </c>
      <c r="AS27" s="7">
        <f t="shared" si="44"/>
        <v>2044</v>
      </c>
      <c r="AT27" s="8">
        <f t="shared" si="86"/>
        <v>5.3620390178032888</v>
      </c>
      <c r="AU27" s="8">
        <f t="shared" si="87"/>
        <v>3.0185739590929614</v>
      </c>
      <c r="AV27" s="8">
        <f t="shared" si="88"/>
        <v>6.2637913256272268</v>
      </c>
      <c r="AW27" s="8">
        <f t="shared" si="89"/>
        <v>1.1733649757207067</v>
      </c>
      <c r="AX27" s="8">
        <f t="shared" si="90"/>
        <v>3.0394597173144877</v>
      </c>
      <c r="AY27" s="8">
        <f t="shared" si="91"/>
        <v>0.55755123674911655</v>
      </c>
      <c r="AZ27" s="8">
        <f t="shared" si="92"/>
        <v>8.4574053149864614</v>
      </c>
      <c r="BA27" s="8">
        <f t="shared" si="93"/>
        <v>4.5763726838191339</v>
      </c>
      <c r="BB27" s="8">
        <f t="shared" si="94"/>
        <v>9.9964389192892895</v>
      </c>
      <c r="BC27" s="8">
        <f t="shared" si="95"/>
        <v>1.8728846543609892</v>
      </c>
      <c r="BD27" s="8">
        <f t="shared" si="96"/>
        <v>4.9577636042402835</v>
      </c>
      <c r="BE27" s="8">
        <f t="shared" si="97"/>
        <v>0.86497173144876305</v>
      </c>
      <c r="BF27" s="48"/>
      <c r="BG27" s="7">
        <f t="shared" si="45"/>
        <v>2044</v>
      </c>
      <c r="BH27" s="8">
        <f>(('Commodity Costs Avoided Detail'!$AE25+AT27)*0.1)</f>
        <v>0.94100223131740468</v>
      </c>
      <c r="BI27" s="8">
        <f>(('Commodity Costs Avoided Detail'!$AE25+AU27)*0.1)</f>
        <v>0.7066557254463719</v>
      </c>
      <c r="BJ27" s="8">
        <f>(('Commodity Costs Avoided Detail'!AE25+AV27)*0.1)</f>
        <v>1.0311774620997984</v>
      </c>
      <c r="BK27" s="8">
        <f>(('Commodity Costs Avoided Detail'!AF25+AW27)*0.1)</f>
        <v>0.49583857029423212</v>
      </c>
      <c r="BL27" s="8">
        <f>(('Commodity Costs Avoided Detail'!AG25+AX27)*0.1)</f>
        <v>0.68000196732181839</v>
      </c>
      <c r="BM27" s="8">
        <f>(('Commodity Costs Avoided Detail'!AH25+AY27)*0.1)</f>
        <v>0.43181111926528121</v>
      </c>
      <c r="BN27" s="8">
        <f>(('Commodity Costs Avoided Detail'!AH25)*0.1)</f>
        <v>0.37605599559036956</v>
      </c>
      <c r="BO27" s="8">
        <f>(('Commodity Costs Avoided Detail'!AE25+AZ27)*0.1)</f>
        <v>1.250538861035722</v>
      </c>
      <c r="BP27" s="8">
        <f>(('Commodity Costs Avoided Detail'!AE25+BA27)*0.1)</f>
        <v>0.86243559791898905</v>
      </c>
      <c r="BQ27" s="8">
        <f>(('Commodity Costs Avoided Detail'!AE25+BB27)*0.1)</f>
        <v>1.4044422214660046</v>
      </c>
      <c r="BR27" s="8">
        <f>(('Commodity Costs Avoided Detail'!AF25+BC27)*0.1)</f>
        <v>0.5657905381582603</v>
      </c>
      <c r="BS27" s="8">
        <f>(('Commodity Costs Avoided Detail'!AG25+BD27)*0.1)</f>
        <v>0.8718323560143979</v>
      </c>
      <c r="BT27" s="8">
        <f>(('Commodity Costs Avoided Detail'!AH25+BE27)*0.1)</f>
        <v>0.46255316873524582</v>
      </c>
      <c r="BU27" s="8">
        <f>(('Commodity Costs Avoided Detail'!AH25)*0.1)</f>
        <v>0.37605599559036956</v>
      </c>
      <c r="BV27" s="48"/>
      <c r="BW27" s="21">
        <f t="shared" si="46"/>
        <v>2044</v>
      </c>
      <c r="BX27" s="158">
        <f>'Commodity Costs Avoided Detail'!$AE25+AT27+$H27+BH27+$G27</f>
        <v>20.365079757578933</v>
      </c>
      <c r="BY27" s="158">
        <f>'Commodity Costs Avoided Detail'!$AE25+AU27+$H27+BI27+$G27</f>
        <v>17.787268192997566</v>
      </c>
      <c r="BZ27" s="158">
        <f>'Commodity Costs Avoided Detail'!AE25+AV27+$H27+BJ27+G27</f>
        <v>21.357007296185259</v>
      </c>
      <c r="CA27" s="158">
        <f>'Commodity Costs Avoided Detail'!AF25+AW27+$H27+BK27+$G27</f>
        <v>15.468279486324031</v>
      </c>
      <c r="CB27" s="158">
        <f>'Commodity Costs Avoided Detail'!AG25+AX27+$H27+BL27+$G27</f>
        <v>17.494076853627476</v>
      </c>
      <c r="CC27" s="158">
        <f>'Commodity Costs Avoided Detail'!AH25+AY27+$H27+BM27+$G27</f>
        <v>14.763977525005572</v>
      </c>
      <c r="CD27" s="158">
        <f>'Commodity Costs Avoided Detail'!AH25+$H27+BN27+$G27</f>
        <v>14.150671164581544</v>
      </c>
      <c r="CE27" s="160">
        <f>'Commodity Costs Avoided Detail'!$AE25+AZ27+$I27+BO27+$G27</f>
        <v>22.047712364299905</v>
      </c>
      <c r="CF27" s="160">
        <f>'Commodity Costs Avoided Detail'!$AE25+BA27+$I27+BP27+$G27</f>
        <v>17.778576470015842</v>
      </c>
      <c r="CG27" s="160">
        <f>'Commodity Costs Avoided Detail'!AE25+BB27+$I27+BQ27+$G27</f>
        <v>23.740649329033019</v>
      </c>
      <c r="CH27" s="160">
        <f>'Commodity Costs Avoided Detail'!AF25+BC27+$I27+BR27+$G27</f>
        <v>14.515480812647828</v>
      </c>
      <c r="CI27" s="160">
        <f>'Commodity Costs Avoided Detail'!AG25+BD27+$I27+BS27+$G27</f>
        <v>17.881940809065341</v>
      </c>
      <c r="CJ27" s="160">
        <f>'Commodity Costs Avoided Detail'!AH25+BE27+$I27+BT27+$G27</f>
        <v>13.379869748994668</v>
      </c>
      <c r="CK27" s="160">
        <f>'Commodity Costs Avoided Detail'!AH25+$I27+BU27+$G27</f>
        <v>12.428400844401031</v>
      </c>
    </row>
    <row r="28" spans="1:109" ht="13.7" customHeight="1" x14ac:dyDescent="0.25">
      <c r="A28" s="84">
        <f t="shared" si="40"/>
        <v>2045</v>
      </c>
      <c r="B28" s="164">
        <v>8.8999999999999996E-2</v>
      </c>
      <c r="C28" s="170">
        <v>0.77597173144876319</v>
      </c>
      <c r="D28" s="175">
        <v>0.46855123674911658</v>
      </c>
      <c r="E28" s="169">
        <v>0.50405321139056325</v>
      </c>
      <c r="F28" s="167">
        <f>'Commodity Costs Avoided Detail'!N26</f>
        <v>3.8356551815391207</v>
      </c>
      <c r="G28" s="168">
        <v>1.1541454312745167</v>
      </c>
      <c r="H28" s="179">
        <v>8.2829999999999995</v>
      </c>
      <c r="I28" s="174">
        <f>('Greenhouse Gas Costs Avoided De'!O25)</f>
        <v>7.2247799955622476</v>
      </c>
      <c r="J28" s="140">
        <v>1.7487378103358373</v>
      </c>
      <c r="K28" s="139">
        <f t="shared" si="41"/>
        <v>2.3041191521718483E-2</v>
      </c>
      <c r="L28" s="129"/>
      <c r="M28" s="21">
        <f t="shared" si="42"/>
        <v>2045</v>
      </c>
      <c r="N28" s="8">
        <f t="shared" si="60"/>
        <v>0.6442738338206585</v>
      </c>
      <c r="O28" s="8">
        <f t="shared" si="60"/>
        <v>0.6442738338206585</v>
      </c>
      <c r="P28" s="8">
        <f t="shared" si="61"/>
        <v>0.57472154494229177</v>
      </c>
      <c r="Q28" s="8">
        <f t="shared" si="62"/>
        <v>0.10720049999999999</v>
      </c>
      <c r="R28" s="8">
        <f t="shared" si="63"/>
        <v>0.11570000000000001</v>
      </c>
      <c r="S28" s="8">
        <f t="shared" si="64"/>
        <v>8.8999999999999996E-2</v>
      </c>
      <c r="T28" s="8">
        <f t="shared" si="65"/>
        <v>8.8999999999999996E-2</v>
      </c>
      <c r="U28" s="8">
        <f t="shared" si="66"/>
        <v>0.6442738338206585</v>
      </c>
      <c r="V28" s="8">
        <f t="shared" si="66"/>
        <v>0.6442738338206585</v>
      </c>
      <c r="W28" s="8">
        <f t="shared" si="67"/>
        <v>0.57472154494229177</v>
      </c>
      <c r="X28" s="8">
        <f t="shared" si="68"/>
        <v>0.10720049999999999</v>
      </c>
      <c r="Y28" s="8">
        <f t="shared" si="69"/>
        <v>0.11570000000000001</v>
      </c>
      <c r="Z28" s="8">
        <f t="shared" si="70"/>
        <v>8.8999999999999996E-2</v>
      </c>
      <c r="AA28" s="9">
        <f t="shared" si="71"/>
        <v>8.8999999999999996E-2</v>
      </c>
      <c r="AB28" s="48"/>
      <c r="AC28" s="7">
        <f t="shared" si="43"/>
        <v>2045</v>
      </c>
      <c r="AD28" s="8">
        <f t="shared" si="72"/>
        <v>4.71776518398263</v>
      </c>
      <c r="AE28" s="8">
        <f t="shared" si="73"/>
        <v>2.3743001252723031</v>
      </c>
      <c r="AF28" s="8">
        <f t="shared" si="74"/>
        <v>5.6890697806849353</v>
      </c>
      <c r="AG28" s="8">
        <f t="shared" si="75"/>
        <v>1.0661644757207067</v>
      </c>
      <c r="AH28" s="8">
        <f t="shared" si="76"/>
        <v>2.9237597173144878</v>
      </c>
      <c r="AI28" s="8">
        <f t="shared" si="77"/>
        <v>0.46855123674911658</v>
      </c>
      <c r="AJ28" s="8">
        <f t="shared" si="78"/>
        <v>0.46855123674911658</v>
      </c>
      <c r="AK28" s="8">
        <f t="shared" si="79"/>
        <v>7.8131314811658026</v>
      </c>
      <c r="AL28" s="8">
        <f t="shared" si="80"/>
        <v>3.932098849998475</v>
      </c>
      <c r="AM28" s="8">
        <f t="shared" si="81"/>
        <v>9.4217173743469971</v>
      </c>
      <c r="AN28" s="8">
        <f t="shared" si="82"/>
        <v>1.7656841543609891</v>
      </c>
      <c r="AO28" s="8">
        <f t="shared" si="83"/>
        <v>4.8420636042402831</v>
      </c>
      <c r="AP28" s="8">
        <f t="shared" si="84"/>
        <v>0.77597173144876308</v>
      </c>
      <c r="AQ28" s="8">
        <f t="shared" si="85"/>
        <v>0.77597173144876308</v>
      </c>
      <c r="AS28" s="7">
        <f t="shared" si="44"/>
        <v>2045</v>
      </c>
      <c r="AT28" s="8">
        <f t="shared" si="86"/>
        <v>5.3620390178032888</v>
      </c>
      <c r="AU28" s="8">
        <f t="shared" si="87"/>
        <v>3.0185739590929614</v>
      </c>
      <c r="AV28" s="8">
        <f t="shared" si="88"/>
        <v>6.2637913256272268</v>
      </c>
      <c r="AW28" s="8">
        <f t="shared" si="89"/>
        <v>1.1733649757207067</v>
      </c>
      <c r="AX28" s="8">
        <f t="shared" si="90"/>
        <v>3.0394597173144877</v>
      </c>
      <c r="AY28" s="8">
        <f t="shared" si="91"/>
        <v>0.55755123674911655</v>
      </c>
      <c r="AZ28" s="8">
        <f t="shared" si="92"/>
        <v>8.4574053149864614</v>
      </c>
      <c r="BA28" s="8">
        <f t="shared" si="93"/>
        <v>4.5763726838191339</v>
      </c>
      <c r="BB28" s="8">
        <f t="shared" si="94"/>
        <v>9.9964389192892895</v>
      </c>
      <c r="BC28" s="8">
        <f t="shared" si="95"/>
        <v>1.8728846543609892</v>
      </c>
      <c r="BD28" s="8">
        <f t="shared" si="96"/>
        <v>4.9577636042402835</v>
      </c>
      <c r="BE28" s="8">
        <f t="shared" si="97"/>
        <v>0.86497173144876305</v>
      </c>
      <c r="BF28" s="48"/>
      <c r="BG28" s="7">
        <f t="shared" si="45"/>
        <v>2045</v>
      </c>
      <c r="BH28" s="8">
        <f>(('Commodity Costs Avoided Detail'!$AE26+AT28)*0.1)</f>
        <v>0.94490756867835735</v>
      </c>
      <c r="BI28" s="8">
        <f>(('Commodity Costs Avoided Detail'!$AE26+AU28)*0.1)</f>
        <v>0.71056106280732467</v>
      </c>
      <c r="BJ28" s="8">
        <f>(('Commodity Costs Avoided Detail'!AE26+AV28)*0.1)</f>
        <v>1.0350827994607512</v>
      </c>
      <c r="BK28" s="8">
        <f>(('Commodity Costs Avoided Detail'!AF26+AW28)*0.1)</f>
        <v>0.50296703408910981</v>
      </c>
      <c r="BL28" s="8">
        <f>(('Commodity Costs Avoided Detail'!AG26+AX28)*0.1)</f>
        <v>0.68751148988536093</v>
      </c>
      <c r="BM28" s="8">
        <f>(('Commodity Costs Avoided Detail'!AH26+AY28)*0.1)</f>
        <v>0.4393206418288238</v>
      </c>
      <c r="BN28" s="8">
        <f>(('Commodity Costs Avoided Detail'!AH26)*0.1)</f>
        <v>0.38356551815391215</v>
      </c>
      <c r="BO28" s="8">
        <f>(('Commodity Costs Avoided Detail'!AE26+AZ28)*0.1)</f>
        <v>1.2544441983966745</v>
      </c>
      <c r="BP28" s="8">
        <f>(('Commodity Costs Avoided Detail'!AE26+BA28)*0.1)</f>
        <v>0.86634093527994205</v>
      </c>
      <c r="BQ28" s="8">
        <f>(('Commodity Costs Avoided Detail'!AE26+BB28)*0.1)</f>
        <v>1.4083475588269576</v>
      </c>
      <c r="BR28" s="8">
        <f>(('Commodity Costs Avoided Detail'!AF26+BC28)*0.1)</f>
        <v>0.57291900195313805</v>
      </c>
      <c r="BS28" s="8">
        <f>(('Commodity Costs Avoided Detail'!AG26+BD28)*0.1)</f>
        <v>0.87934187857794055</v>
      </c>
      <c r="BT28" s="8">
        <f>(('Commodity Costs Avoided Detail'!AH26+BE28)*0.1)</f>
        <v>0.47006269129878842</v>
      </c>
      <c r="BU28" s="8">
        <f>(('Commodity Costs Avoided Detail'!AH26)*0.1)</f>
        <v>0.38356551815391215</v>
      </c>
      <c r="BV28" s="48"/>
      <c r="BW28" s="21">
        <f t="shared" si="46"/>
        <v>2045</v>
      </c>
      <c r="BX28" s="158">
        <f>'Commodity Costs Avoided Detail'!$AE26+AT28+$H28+BH28+$G28</f>
        <v>19.831128686736449</v>
      </c>
      <c r="BY28" s="158">
        <f>'Commodity Costs Avoided Detail'!$AE26+AU28+$H28+BI28+$G28</f>
        <v>17.253317122155089</v>
      </c>
      <c r="BZ28" s="158">
        <f>'Commodity Costs Avoided Detail'!AE26+AV28+$H28+BJ28+G28</f>
        <v>20.823056225342782</v>
      </c>
      <c r="CA28" s="158">
        <f>'Commodity Costs Avoided Detail'!AF26+AW28+$H28+BK28+$G28</f>
        <v>14.969782806254724</v>
      </c>
      <c r="CB28" s="158">
        <f>'Commodity Costs Avoided Detail'!AG26+AX28+$H28+BL28+$G28</f>
        <v>16.999771820013486</v>
      </c>
      <c r="CC28" s="158">
        <f>'Commodity Costs Avoided Detail'!AH26+AY28+$H28+BM28+$G28</f>
        <v>14.269672491391578</v>
      </c>
      <c r="CD28" s="158">
        <f>'Commodity Costs Avoided Detail'!AH26+$H28+BN28+$G28</f>
        <v>13.65636613096755</v>
      </c>
      <c r="CE28" s="160">
        <f>'Commodity Costs Avoided Detail'!$AE26+AZ28+$I28+BO28+$G28</f>
        <v>22.177811609200187</v>
      </c>
      <c r="CF28" s="160">
        <f>'Commodity Costs Avoided Detail'!$AE26+BA28+$I28+BP28+$G28</f>
        <v>17.908675714916129</v>
      </c>
      <c r="CG28" s="160">
        <f>'Commodity Costs Avoided Detail'!AE26+BB28+$I28+BQ28+$G28</f>
        <v>23.870748573933298</v>
      </c>
      <c r="CH28" s="160">
        <f>'Commodity Costs Avoided Detail'!AF26+BC28+$I28+BR28+$G28</f>
        <v>14.681034448321283</v>
      </c>
      <c r="CI28" s="160">
        <f>'Commodity Costs Avoided Detail'!AG26+BD28+$I28+BS28+$G28</f>
        <v>18.05168609119411</v>
      </c>
      <c r="CJ28" s="160">
        <f>'Commodity Costs Avoided Detail'!AH26+BE28+$I28+BT28+$G28</f>
        <v>13.549615031123436</v>
      </c>
      <c r="CK28" s="160">
        <f>'Commodity Costs Avoided Detail'!AH26+$I28+BU28+$G28</f>
        <v>12.598146126529796</v>
      </c>
    </row>
    <row r="29" spans="1:109" ht="13.7" customHeight="1" x14ac:dyDescent="0.25">
      <c r="A29" s="85">
        <f t="shared" si="40"/>
        <v>2046</v>
      </c>
      <c r="B29" s="164">
        <v>8.8999999999999996E-2</v>
      </c>
      <c r="C29" s="170">
        <v>0.77597173144876319</v>
      </c>
      <c r="D29" s="175">
        <v>0.46855123674911658</v>
      </c>
      <c r="E29" s="169">
        <v>0.50405321139056325</v>
      </c>
      <c r="F29" s="167">
        <f>'Commodity Costs Avoided Detail'!N27</f>
        <v>3.8375326304879738</v>
      </c>
      <c r="G29" s="168">
        <v>1.2643753089176268</v>
      </c>
      <c r="H29" s="179">
        <v>7.7060000000000004</v>
      </c>
      <c r="I29" s="174">
        <f>('Greenhouse Gas Costs Avoided De'!O26)</f>
        <v>7.326180416552595</v>
      </c>
      <c r="J29" s="140">
        <v>1.7891256014636547</v>
      </c>
      <c r="K29" s="139">
        <f t="shared" si="41"/>
        <v>2.3095395369795962E-2</v>
      </c>
      <c r="L29" s="129"/>
      <c r="M29" s="21">
        <f t="shared" si="42"/>
        <v>2046</v>
      </c>
      <c r="N29" s="8">
        <f t="shared" si="60"/>
        <v>0.6442738338206585</v>
      </c>
      <c r="O29" s="8">
        <f t="shared" si="60"/>
        <v>0.6442738338206585</v>
      </c>
      <c r="P29" s="8">
        <f t="shared" si="61"/>
        <v>0.57472154494229177</v>
      </c>
      <c r="Q29" s="8">
        <f t="shared" si="62"/>
        <v>0.10720049999999999</v>
      </c>
      <c r="R29" s="8">
        <f t="shared" si="63"/>
        <v>0.11570000000000001</v>
      </c>
      <c r="S29" s="8">
        <f t="shared" si="64"/>
        <v>8.8999999999999996E-2</v>
      </c>
      <c r="T29" s="8">
        <f t="shared" si="65"/>
        <v>8.8999999999999996E-2</v>
      </c>
      <c r="U29" s="8">
        <f t="shared" si="66"/>
        <v>0.6442738338206585</v>
      </c>
      <c r="V29" s="8">
        <f t="shared" si="66"/>
        <v>0.6442738338206585</v>
      </c>
      <c r="W29" s="8">
        <f t="shared" si="67"/>
        <v>0.57472154494229177</v>
      </c>
      <c r="X29" s="8">
        <f t="shared" si="68"/>
        <v>0.10720049999999999</v>
      </c>
      <c r="Y29" s="8">
        <f t="shared" si="69"/>
        <v>0.11570000000000001</v>
      </c>
      <c r="Z29" s="8">
        <f t="shared" si="70"/>
        <v>8.8999999999999996E-2</v>
      </c>
      <c r="AA29" s="9">
        <f t="shared" si="71"/>
        <v>8.8999999999999996E-2</v>
      </c>
      <c r="AB29" s="48"/>
      <c r="AC29" s="7">
        <f t="shared" si="43"/>
        <v>2046</v>
      </c>
      <c r="AD29" s="8">
        <f t="shared" si="72"/>
        <v>4.71776518398263</v>
      </c>
      <c r="AE29" s="8">
        <f t="shared" si="73"/>
        <v>2.3743001252723031</v>
      </c>
      <c r="AF29" s="8">
        <f t="shared" si="74"/>
        <v>5.6890697806849353</v>
      </c>
      <c r="AG29" s="8">
        <f t="shared" si="75"/>
        <v>1.0661644757207067</v>
      </c>
      <c r="AH29" s="8">
        <f t="shared" si="76"/>
        <v>2.9237597173144878</v>
      </c>
      <c r="AI29" s="8">
        <f t="shared" si="77"/>
        <v>0.46855123674911658</v>
      </c>
      <c r="AJ29" s="8">
        <f t="shared" si="78"/>
        <v>0.46855123674911658</v>
      </c>
      <c r="AK29" s="8">
        <f t="shared" si="79"/>
        <v>7.8131314811658026</v>
      </c>
      <c r="AL29" s="8">
        <f t="shared" si="80"/>
        <v>3.932098849998475</v>
      </c>
      <c r="AM29" s="8">
        <f t="shared" si="81"/>
        <v>9.4217173743469971</v>
      </c>
      <c r="AN29" s="8">
        <f t="shared" si="82"/>
        <v>1.7656841543609891</v>
      </c>
      <c r="AO29" s="8">
        <f t="shared" si="83"/>
        <v>4.8420636042402831</v>
      </c>
      <c r="AP29" s="8">
        <f t="shared" si="84"/>
        <v>0.77597173144876308</v>
      </c>
      <c r="AQ29" s="8">
        <f t="shared" si="85"/>
        <v>0.77597173144876308</v>
      </c>
      <c r="AS29" s="7">
        <f t="shared" si="44"/>
        <v>2046</v>
      </c>
      <c r="AT29" s="8">
        <f t="shared" si="86"/>
        <v>5.3620390178032888</v>
      </c>
      <c r="AU29" s="8">
        <f t="shared" si="87"/>
        <v>3.0185739590929614</v>
      </c>
      <c r="AV29" s="8">
        <f t="shared" si="88"/>
        <v>6.2637913256272268</v>
      </c>
      <c r="AW29" s="8">
        <f t="shared" si="89"/>
        <v>1.1733649757207067</v>
      </c>
      <c r="AX29" s="8">
        <f t="shared" si="90"/>
        <v>3.0394597173144877</v>
      </c>
      <c r="AY29" s="8">
        <f t="shared" si="91"/>
        <v>0.55755123674911655</v>
      </c>
      <c r="AZ29" s="8">
        <f t="shared" si="92"/>
        <v>8.4574053149864614</v>
      </c>
      <c r="BA29" s="8">
        <f t="shared" si="93"/>
        <v>4.5763726838191339</v>
      </c>
      <c r="BB29" s="8">
        <f t="shared" si="94"/>
        <v>9.9964389192892895</v>
      </c>
      <c r="BC29" s="8">
        <f t="shared" si="95"/>
        <v>1.8728846543609892</v>
      </c>
      <c r="BD29" s="8">
        <f t="shared" si="96"/>
        <v>4.9577636042402835</v>
      </c>
      <c r="BE29" s="8">
        <f t="shared" si="97"/>
        <v>0.86497173144876305</v>
      </c>
      <c r="BF29" s="48"/>
      <c r="BG29" s="7">
        <f t="shared" si="45"/>
        <v>2046</v>
      </c>
      <c r="BH29" s="8">
        <f>(('Commodity Costs Avoided Detail'!$AE27+AT29)*0.1)</f>
        <v>0.94866421208117235</v>
      </c>
      <c r="BI29" s="8">
        <f>(('Commodity Costs Avoided Detail'!$AE27+AU29)*0.1)</f>
        <v>0.71431770621013957</v>
      </c>
      <c r="BJ29" s="8">
        <f>(('Commodity Costs Avoided Detail'!AE27+AV29)*0.1)</f>
        <v>1.0388394428635661</v>
      </c>
      <c r="BK29" s="8">
        <f>(('Commodity Costs Avoided Detail'!AF27+AW29)*0.1)</f>
        <v>0.50358670280609752</v>
      </c>
      <c r="BL29" s="8">
        <f>(('Commodity Costs Avoided Detail'!AG27+AX29)*0.1)</f>
        <v>0.68769923478024619</v>
      </c>
      <c r="BM29" s="8">
        <f>(('Commodity Costs Avoided Detail'!AH27+AY29)*0.1)</f>
        <v>0.43950838672370907</v>
      </c>
      <c r="BN29" s="8">
        <f>(('Commodity Costs Avoided Detail'!AH27)*0.1)</f>
        <v>0.38375326304879742</v>
      </c>
      <c r="BO29" s="8">
        <f>(('Commodity Costs Avoided Detail'!AE27+AZ29)*0.1)</f>
        <v>1.2582008417994897</v>
      </c>
      <c r="BP29" s="8">
        <f>(('Commodity Costs Avoided Detail'!AE27+BA29)*0.1)</f>
        <v>0.87009757868275672</v>
      </c>
      <c r="BQ29" s="8">
        <f>(('Commodity Costs Avoided Detail'!AE27+BB29)*0.1)</f>
        <v>1.4121042022297723</v>
      </c>
      <c r="BR29" s="8">
        <f>(('Commodity Costs Avoided Detail'!AF27+BC29)*0.1)</f>
        <v>0.57353867067012576</v>
      </c>
      <c r="BS29" s="8">
        <f>(('Commodity Costs Avoided Detail'!AG27+BD29)*0.1)</f>
        <v>0.87952962347282571</v>
      </c>
      <c r="BT29" s="8">
        <f>(('Commodity Costs Avoided Detail'!AH27+BE29)*0.1)</f>
        <v>0.47025043619367368</v>
      </c>
      <c r="BU29" s="8">
        <f>(('Commodity Costs Avoided Detail'!AH27)*0.1)</f>
        <v>0.38375326304879742</v>
      </c>
      <c r="BV29" s="48"/>
      <c r="BW29" s="21">
        <f t="shared" si="46"/>
        <v>2046</v>
      </c>
      <c r="BX29" s="158">
        <f>'Commodity Costs Avoided Detail'!$AE27+AT29+$H29+BH29+$G29</f>
        <v>19.405681641810524</v>
      </c>
      <c r="BY29" s="158">
        <f>'Commodity Costs Avoided Detail'!$AE27+AU29+$H29+BI29+$G29</f>
        <v>16.827870077229164</v>
      </c>
      <c r="BZ29" s="158">
        <f>'Commodity Costs Avoided Detail'!AE27+AV29+$H29+BJ29+G29</f>
        <v>20.39760918041685</v>
      </c>
      <c r="CA29" s="158">
        <f>'Commodity Costs Avoided Detail'!AF27+AW29+$H29+BK29+$G29</f>
        <v>14.509829039784702</v>
      </c>
      <c r="CB29" s="158">
        <f>'Commodity Costs Avoided Detail'!AG27+AX29+$H29+BL29+$G29</f>
        <v>16.535066891500335</v>
      </c>
      <c r="CC29" s="158">
        <f>'Commodity Costs Avoided Detail'!AH27+AY29+$H29+BM29+$G29</f>
        <v>13.804967562878426</v>
      </c>
      <c r="CD29" s="158">
        <f>'Commodity Costs Avoided Detail'!AH27+$H29+BN29+$G29</f>
        <v>13.191661202454398</v>
      </c>
      <c r="CE29" s="160">
        <f>'Commodity Costs Avoided Detail'!$AE27+AZ29+$I29+BO29+$G29</f>
        <v>22.430764985264609</v>
      </c>
      <c r="CF29" s="160">
        <f>'Commodity Costs Avoided Detail'!$AE27+BA29+$I29+BP29+$G29</f>
        <v>18.161629090980547</v>
      </c>
      <c r="CG29" s="160">
        <f>'Commodity Costs Avoided Detail'!AE27+BB29+$I29+BQ29+$G29</f>
        <v>24.123701949997717</v>
      </c>
      <c r="CH29" s="160">
        <f>'Commodity Costs Avoided Detail'!AF27+BC29+$I29+BR29+$G29</f>
        <v>14.899481102841603</v>
      </c>
      <c r="CI29" s="160">
        <f>'Commodity Costs Avoided Detail'!AG27+BD29+$I29+BS29+$G29</f>
        <v>18.265381583671306</v>
      </c>
      <c r="CJ29" s="160">
        <f>'Commodity Costs Avoided Detail'!AH27+BE29+$I29+BT29+$G29</f>
        <v>13.763310523600632</v>
      </c>
      <c r="CK29" s="160">
        <f>'Commodity Costs Avoided Detail'!AH27+$I29+BU29+$G29</f>
        <v>12.811841619006993</v>
      </c>
    </row>
    <row r="30" spans="1:109" ht="13.7" customHeight="1" x14ac:dyDescent="0.25">
      <c r="A30" s="84">
        <f t="shared" si="40"/>
        <v>2047</v>
      </c>
      <c r="B30" s="164">
        <v>8.8999999999999996E-2</v>
      </c>
      <c r="C30" s="170">
        <v>0.77597173144876319</v>
      </c>
      <c r="D30" s="175">
        <v>0.46855123674911658</v>
      </c>
      <c r="E30" s="169">
        <v>0.50405321139056325</v>
      </c>
      <c r="F30" s="167">
        <f>'Commodity Costs Avoided Detail'!N28</f>
        <v>3.926874780373014</v>
      </c>
      <c r="G30" s="168">
        <v>1.207893446635762</v>
      </c>
      <c r="H30" s="179">
        <v>7.2619999999999996</v>
      </c>
      <c r="I30" s="174">
        <f>('Greenhouse Gas Costs Avoided De'!O27)</f>
        <v>7.4275808375429424</v>
      </c>
      <c r="J30" s="140">
        <v>1.8304950959722899</v>
      </c>
      <c r="K30" s="139">
        <f t="shared" si="41"/>
        <v>2.3122744694274916E-2</v>
      </c>
      <c r="L30" s="129"/>
      <c r="M30" s="21">
        <f t="shared" si="42"/>
        <v>2047</v>
      </c>
      <c r="N30" s="8">
        <f t="shared" si="60"/>
        <v>0.6442738338206585</v>
      </c>
      <c r="O30" s="8">
        <f t="shared" si="60"/>
        <v>0.6442738338206585</v>
      </c>
      <c r="P30" s="8">
        <f t="shared" si="61"/>
        <v>0.57472154494229177</v>
      </c>
      <c r="Q30" s="8">
        <f t="shared" si="62"/>
        <v>0.10720049999999999</v>
      </c>
      <c r="R30" s="8">
        <f t="shared" si="63"/>
        <v>0.11570000000000001</v>
      </c>
      <c r="S30" s="8">
        <f t="shared" si="64"/>
        <v>8.8999999999999996E-2</v>
      </c>
      <c r="T30" s="8">
        <f t="shared" si="65"/>
        <v>8.8999999999999996E-2</v>
      </c>
      <c r="U30" s="8">
        <f t="shared" si="66"/>
        <v>0.6442738338206585</v>
      </c>
      <c r="V30" s="8">
        <f t="shared" si="66"/>
        <v>0.6442738338206585</v>
      </c>
      <c r="W30" s="8">
        <f t="shared" si="67"/>
        <v>0.57472154494229177</v>
      </c>
      <c r="X30" s="8">
        <f t="shared" si="68"/>
        <v>0.10720049999999999</v>
      </c>
      <c r="Y30" s="8">
        <f t="shared" si="69"/>
        <v>0.11570000000000001</v>
      </c>
      <c r="Z30" s="8">
        <f t="shared" si="70"/>
        <v>8.8999999999999996E-2</v>
      </c>
      <c r="AA30" s="9">
        <f t="shared" si="71"/>
        <v>8.8999999999999996E-2</v>
      </c>
      <c r="AB30" s="48"/>
      <c r="AC30" s="7">
        <f t="shared" si="43"/>
        <v>2047</v>
      </c>
      <c r="AD30" s="8">
        <f t="shared" si="72"/>
        <v>4.71776518398263</v>
      </c>
      <c r="AE30" s="8">
        <f t="shared" si="73"/>
        <v>2.3743001252723031</v>
      </c>
      <c r="AF30" s="8">
        <f t="shared" si="74"/>
        <v>5.6890697806849353</v>
      </c>
      <c r="AG30" s="8">
        <f t="shared" si="75"/>
        <v>1.0661644757207067</v>
      </c>
      <c r="AH30" s="8">
        <f t="shared" si="76"/>
        <v>2.9237597173144878</v>
      </c>
      <c r="AI30" s="8">
        <f t="shared" si="77"/>
        <v>0.46855123674911658</v>
      </c>
      <c r="AJ30" s="8">
        <f t="shared" si="78"/>
        <v>0.46855123674911658</v>
      </c>
      <c r="AK30" s="8">
        <f t="shared" si="79"/>
        <v>7.8131314811658026</v>
      </c>
      <c r="AL30" s="8">
        <f t="shared" si="80"/>
        <v>3.932098849998475</v>
      </c>
      <c r="AM30" s="8">
        <f t="shared" si="81"/>
        <v>9.4217173743469971</v>
      </c>
      <c r="AN30" s="8">
        <f t="shared" si="82"/>
        <v>1.7656841543609891</v>
      </c>
      <c r="AO30" s="8">
        <f t="shared" si="83"/>
        <v>4.8420636042402831</v>
      </c>
      <c r="AP30" s="8">
        <f t="shared" si="84"/>
        <v>0.77597173144876308</v>
      </c>
      <c r="AQ30" s="8">
        <f t="shared" si="85"/>
        <v>0.77597173144876308</v>
      </c>
      <c r="AS30" s="7">
        <f t="shared" si="44"/>
        <v>2047</v>
      </c>
      <c r="AT30" s="8">
        <f t="shared" si="86"/>
        <v>5.3620390178032888</v>
      </c>
      <c r="AU30" s="8">
        <f t="shared" si="87"/>
        <v>3.0185739590929614</v>
      </c>
      <c r="AV30" s="8">
        <f t="shared" si="88"/>
        <v>6.2637913256272268</v>
      </c>
      <c r="AW30" s="8">
        <f t="shared" si="89"/>
        <v>1.1733649757207067</v>
      </c>
      <c r="AX30" s="8">
        <f t="shared" si="90"/>
        <v>3.0394597173144877</v>
      </c>
      <c r="AY30" s="8">
        <f t="shared" si="91"/>
        <v>0.55755123674911655</v>
      </c>
      <c r="AZ30" s="8">
        <f t="shared" si="92"/>
        <v>8.4574053149864614</v>
      </c>
      <c r="BA30" s="8">
        <f t="shared" si="93"/>
        <v>4.5763726838191339</v>
      </c>
      <c r="BB30" s="8">
        <f t="shared" si="94"/>
        <v>9.9964389192892895</v>
      </c>
      <c r="BC30" s="8">
        <f t="shared" si="95"/>
        <v>1.8728846543609892</v>
      </c>
      <c r="BD30" s="8">
        <f t="shared" si="96"/>
        <v>4.9577636042402835</v>
      </c>
      <c r="BE30" s="8">
        <f t="shared" si="97"/>
        <v>0.86497173144876305</v>
      </c>
      <c r="BF30" s="48"/>
      <c r="BG30" s="7">
        <f t="shared" si="45"/>
        <v>2047</v>
      </c>
      <c r="BH30" s="8">
        <f>(('Commodity Costs Avoided Detail'!$AE28+AT30)*0.1)</f>
        <v>0.95693473592392619</v>
      </c>
      <c r="BI30" s="8">
        <f>(('Commodity Costs Avoided Detail'!$AE28+AU30)*0.1)</f>
        <v>0.72258823005289341</v>
      </c>
      <c r="BJ30" s="8">
        <f>(('Commodity Costs Avoided Detail'!AE28+AV30)*0.1)</f>
        <v>1.04710996670632</v>
      </c>
      <c r="BK30" s="8">
        <f>(('Commodity Costs Avoided Detail'!AF28+AW30)*0.1)</f>
        <v>0.51228568510770156</v>
      </c>
      <c r="BL30" s="8">
        <f>(('Commodity Costs Avoided Detail'!AG28+AX30)*0.1)</f>
        <v>0.69663344976875041</v>
      </c>
      <c r="BM30" s="8">
        <f>(('Commodity Costs Avoided Detail'!AH28+AY30)*0.1)</f>
        <v>0.44844260171221323</v>
      </c>
      <c r="BN30" s="8">
        <f>(('Commodity Costs Avoided Detail'!AH28)*0.1)</f>
        <v>0.39268747803730153</v>
      </c>
      <c r="BO30" s="8">
        <f>(('Commodity Costs Avoided Detail'!AE28+AZ30)*0.1)</f>
        <v>1.2664713656422435</v>
      </c>
      <c r="BP30" s="8">
        <f>(('Commodity Costs Avoided Detail'!AE28+BA30)*0.1)</f>
        <v>0.87836810252551067</v>
      </c>
      <c r="BQ30" s="8">
        <f>(('Commodity Costs Avoided Detail'!AE28+BB30)*0.1)</f>
        <v>1.4203747260725264</v>
      </c>
      <c r="BR30" s="8">
        <f>(('Commodity Costs Avoided Detail'!AF28+BC30)*0.1)</f>
        <v>0.5822376529717298</v>
      </c>
      <c r="BS30" s="8">
        <f>(('Commodity Costs Avoided Detail'!AG28+BD30)*0.1)</f>
        <v>0.88846383846132992</v>
      </c>
      <c r="BT30" s="8">
        <f>(('Commodity Costs Avoided Detail'!AH28+BE30)*0.1)</f>
        <v>0.47918465118217785</v>
      </c>
      <c r="BU30" s="8">
        <f>(('Commodity Costs Avoided Detail'!AH28)*0.1)</f>
        <v>0.39268747803730153</v>
      </c>
      <c r="BV30" s="48"/>
      <c r="BW30" s="21">
        <f t="shared" si="46"/>
        <v>2047</v>
      </c>
      <c r="BX30" s="158">
        <f>'Commodity Costs Avoided Detail'!$AE28+AT30+$H30+BH30+$G30</f>
        <v>18.996175541798948</v>
      </c>
      <c r="BY30" s="158">
        <f>'Commodity Costs Avoided Detail'!$AE28+AU30+$H30+BI30+$G30</f>
        <v>16.418363977217592</v>
      </c>
      <c r="BZ30" s="158">
        <f>'Commodity Costs Avoided Detail'!AE28+AV30+$H30+BJ30+G30</f>
        <v>19.988103080405281</v>
      </c>
      <c r="CA30" s="158">
        <f>'Commodity Costs Avoided Detail'!AF28+AW30+$H30+BK30+$G30</f>
        <v>14.105035982820478</v>
      </c>
      <c r="CB30" s="158">
        <f>'Commodity Costs Avoided Detail'!AG28+AX30+$H30+BL30+$G30</f>
        <v>16.132861394092014</v>
      </c>
      <c r="CC30" s="158">
        <f>'Commodity Costs Avoided Detail'!AH28+AY30+$H30+BM30+$G30</f>
        <v>13.402762065470107</v>
      </c>
      <c r="CD30" s="158">
        <f>'Commodity Costs Avoided Detail'!AH28+$H30+BN30+$G30</f>
        <v>12.789455705046077</v>
      </c>
      <c r="CE30" s="160">
        <f>'Commodity Costs Avoided Detail'!$AE28+AZ30+$I30+BO30+$G30</f>
        <v>22.56665930624338</v>
      </c>
      <c r="CF30" s="160">
        <f>'Commodity Costs Avoided Detail'!$AE28+BA30+$I30+BP30+$G30</f>
        <v>18.297523411959318</v>
      </c>
      <c r="CG30" s="160">
        <f>'Commodity Costs Avoided Detail'!AE28+BB30+$I30+BQ30+$G30</f>
        <v>24.259596270976495</v>
      </c>
      <c r="CH30" s="160">
        <f>'Commodity Costs Avoided Detail'!AF28+BC30+$I30+BR30+$G30</f>
        <v>15.040088466867731</v>
      </c>
      <c r="CI30" s="160">
        <f>'Commodity Costs Avoided Detail'!AG28+BD30+$I30+BS30+$G30</f>
        <v>18.408576507253333</v>
      </c>
      <c r="CJ30" s="160">
        <f>'Commodity Costs Avoided Detail'!AH28+BE30+$I30+BT30+$G30</f>
        <v>13.906505447182662</v>
      </c>
      <c r="CK30" s="160">
        <f>'Commodity Costs Avoided Detail'!AH28+$I30+BU30+$G30</f>
        <v>12.955036542589021</v>
      </c>
    </row>
    <row r="31" spans="1:109" ht="13.7" customHeight="1" x14ac:dyDescent="0.25">
      <c r="A31" s="85">
        <f t="shared" si="40"/>
        <v>2048</v>
      </c>
      <c r="B31" s="164">
        <v>8.8999999999999996E-2</v>
      </c>
      <c r="C31" s="170">
        <v>0.77597173144876319</v>
      </c>
      <c r="D31" s="175">
        <v>0.46855123674911658</v>
      </c>
      <c r="E31" s="169">
        <v>0.50405321139056325</v>
      </c>
      <c r="F31" s="167">
        <f>'Commodity Costs Avoided Detail'!N29</f>
        <v>4.0192667766519419</v>
      </c>
      <c r="G31" s="168">
        <v>1.2730401947527064</v>
      </c>
      <c r="H31" s="179">
        <v>6.8239999999999998</v>
      </c>
      <c r="I31" s="174">
        <f>('Greenhouse Gas Costs Avoided De'!O28)</f>
        <v>7.5289812585332898</v>
      </c>
      <c r="J31" s="140">
        <v>1.8730069980952111</v>
      </c>
      <c r="K31" s="139">
        <f t="shared" si="41"/>
        <v>2.3224264417021287E-2</v>
      </c>
      <c r="L31" s="129"/>
      <c r="M31" s="21">
        <f t="shared" si="42"/>
        <v>2048</v>
      </c>
      <c r="N31" s="8">
        <f t="shared" si="60"/>
        <v>0.6442738338206585</v>
      </c>
      <c r="O31" s="8">
        <f t="shared" si="60"/>
        <v>0.6442738338206585</v>
      </c>
      <c r="P31" s="8">
        <f t="shared" si="61"/>
        <v>0.57472154494229177</v>
      </c>
      <c r="Q31" s="8">
        <f t="shared" si="62"/>
        <v>0.10720049999999999</v>
      </c>
      <c r="R31" s="8">
        <f t="shared" si="63"/>
        <v>0.11570000000000001</v>
      </c>
      <c r="S31" s="8">
        <f t="shared" si="64"/>
        <v>8.8999999999999996E-2</v>
      </c>
      <c r="T31" s="8">
        <f t="shared" si="65"/>
        <v>8.8999999999999996E-2</v>
      </c>
      <c r="U31" s="8">
        <f t="shared" si="66"/>
        <v>0.6442738338206585</v>
      </c>
      <c r="V31" s="8">
        <f t="shared" si="66"/>
        <v>0.6442738338206585</v>
      </c>
      <c r="W31" s="8">
        <f t="shared" si="67"/>
        <v>0.57472154494229177</v>
      </c>
      <c r="X31" s="8">
        <f t="shared" si="68"/>
        <v>0.10720049999999999</v>
      </c>
      <c r="Y31" s="8">
        <f t="shared" si="69"/>
        <v>0.11570000000000001</v>
      </c>
      <c r="Z31" s="8">
        <f t="shared" si="70"/>
        <v>8.8999999999999996E-2</v>
      </c>
      <c r="AA31" s="9">
        <f t="shared" si="71"/>
        <v>8.8999999999999996E-2</v>
      </c>
      <c r="AB31" s="48"/>
      <c r="AC31" s="7">
        <f t="shared" si="43"/>
        <v>2048</v>
      </c>
      <c r="AD31" s="8">
        <f t="shared" si="72"/>
        <v>4.71776518398263</v>
      </c>
      <c r="AE31" s="8">
        <f t="shared" si="73"/>
        <v>2.3743001252723031</v>
      </c>
      <c r="AF31" s="8">
        <f t="shared" si="74"/>
        <v>5.6890697806849353</v>
      </c>
      <c r="AG31" s="8">
        <f t="shared" si="75"/>
        <v>1.0661644757207067</v>
      </c>
      <c r="AH31" s="8">
        <f t="shared" si="76"/>
        <v>2.9237597173144878</v>
      </c>
      <c r="AI31" s="8">
        <f t="shared" si="77"/>
        <v>0.46855123674911658</v>
      </c>
      <c r="AJ31" s="8">
        <f t="shared" si="78"/>
        <v>0.46855123674911658</v>
      </c>
      <c r="AK31" s="8">
        <f t="shared" si="79"/>
        <v>7.8131314811658026</v>
      </c>
      <c r="AL31" s="8">
        <f t="shared" si="80"/>
        <v>3.932098849998475</v>
      </c>
      <c r="AM31" s="8">
        <f t="shared" si="81"/>
        <v>9.4217173743469971</v>
      </c>
      <c r="AN31" s="8">
        <f t="shared" si="82"/>
        <v>1.7656841543609891</v>
      </c>
      <c r="AO31" s="8">
        <f t="shared" si="83"/>
        <v>4.8420636042402831</v>
      </c>
      <c r="AP31" s="8">
        <f t="shared" si="84"/>
        <v>0.77597173144876308</v>
      </c>
      <c r="AQ31" s="8">
        <f t="shared" si="85"/>
        <v>0.77597173144876308</v>
      </c>
      <c r="AS31" s="7">
        <f t="shared" si="44"/>
        <v>2048</v>
      </c>
      <c r="AT31" s="8">
        <f t="shared" si="86"/>
        <v>5.3620390178032888</v>
      </c>
      <c r="AU31" s="8">
        <f t="shared" si="87"/>
        <v>3.0185739590929614</v>
      </c>
      <c r="AV31" s="8">
        <f t="shared" si="88"/>
        <v>6.2637913256272268</v>
      </c>
      <c r="AW31" s="8">
        <f t="shared" si="89"/>
        <v>1.1733649757207067</v>
      </c>
      <c r="AX31" s="8">
        <f t="shared" si="90"/>
        <v>3.0394597173144877</v>
      </c>
      <c r="AY31" s="8">
        <f t="shared" si="91"/>
        <v>0.55755123674911655</v>
      </c>
      <c r="AZ31" s="8">
        <f t="shared" si="92"/>
        <v>8.4574053149864614</v>
      </c>
      <c r="BA31" s="8">
        <f t="shared" si="93"/>
        <v>4.5763726838191339</v>
      </c>
      <c r="BB31" s="8">
        <f t="shared" si="94"/>
        <v>9.9964389192892895</v>
      </c>
      <c r="BC31" s="8">
        <f t="shared" si="95"/>
        <v>1.8728846543609892</v>
      </c>
      <c r="BD31" s="8">
        <f t="shared" si="96"/>
        <v>4.9577636042402835</v>
      </c>
      <c r="BE31" s="8">
        <f t="shared" si="97"/>
        <v>0.86497173144876305</v>
      </c>
      <c r="BF31" s="48"/>
      <c r="BG31" s="7">
        <f t="shared" si="45"/>
        <v>2048</v>
      </c>
      <c r="BH31" s="8">
        <f>(('Commodity Costs Avoided Detail'!$AE29+AT31)*0.1)</f>
        <v>0.96401682687826451</v>
      </c>
      <c r="BI31" s="8">
        <f>(('Commodity Costs Avoided Detail'!$AE29+AU31)*0.1)</f>
        <v>0.72967032100723184</v>
      </c>
      <c r="BJ31" s="8">
        <f>(('Commodity Costs Avoided Detail'!AE29+AV31)*0.1)</f>
        <v>1.0541920576606583</v>
      </c>
      <c r="BK31" s="8">
        <f>(('Commodity Costs Avoided Detail'!AF29+AW31)*0.1)</f>
        <v>0.52116339583559257</v>
      </c>
      <c r="BL31" s="8">
        <f>(('Commodity Costs Avoided Detail'!AG29+AX31)*0.1)</f>
        <v>0.70587264939664318</v>
      </c>
      <c r="BM31" s="8">
        <f>(('Commodity Costs Avoided Detail'!AH29+AY31)*0.1)</f>
        <v>0.45768180134010605</v>
      </c>
      <c r="BN31" s="8">
        <f>(('Commodity Costs Avoided Detail'!AH29)*0.1)</f>
        <v>0.40192667766519441</v>
      </c>
      <c r="BO31" s="8">
        <f>(('Commodity Costs Avoided Detail'!AE29+AZ31)*0.1)</f>
        <v>1.2735534565965818</v>
      </c>
      <c r="BP31" s="8">
        <f>(('Commodity Costs Avoided Detail'!AE29+BA31)*0.1)</f>
        <v>0.8854501934798491</v>
      </c>
      <c r="BQ31" s="8">
        <f>(('Commodity Costs Avoided Detail'!AE29+BB31)*0.1)</f>
        <v>1.4274568170268647</v>
      </c>
      <c r="BR31" s="8">
        <f>(('Commodity Costs Avoided Detail'!AF29+BC31)*0.1)</f>
        <v>0.59111536369962081</v>
      </c>
      <c r="BS31" s="8">
        <f>(('Commodity Costs Avoided Detail'!AG29+BD31)*0.1)</f>
        <v>0.8977030380892228</v>
      </c>
      <c r="BT31" s="8">
        <f>(('Commodity Costs Avoided Detail'!AH29+BE31)*0.1)</f>
        <v>0.48842385081007067</v>
      </c>
      <c r="BU31" s="8">
        <f>(('Commodity Costs Avoided Detail'!AH29)*0.1)</f>
        <v>0.40192667766519441</v>
      </c>
      <c r="BV31" s="48"/>
      <c r="BW31" s="21">
        <f t="shared" si="46"/>
        <v>2048</v>
      </c>
      <c r="BX31" s="158">
        <f>'Commodity Costs Avoided Detail'!$AE29+AT31+$H31+BH31+$G31</f>
        <v>18.701225290413614</v>
      </c>
      <c r="BY31" s="158">
        <f>'Commodity Costs Avoided Detail'!$AE29+AU31+$H31+BI31+$G31</f>
        <v>16.123413725832258</v>
      </c>
      <c r="BZ31" s="158">
        <f>'Commodity Costs Avoided Detail'!AE29+AV31+$H31+BJ31+G31</f>
        <v>19.693152829019947</v>
      </c>
      <c r="CA31" s="158">
        <f>'Commodity Costs Avoided Detail'!AF29+AW31+$H31+BK31+$G31</f>
        <v>13.829837548944225</v>
      </c>
      <c r="CB31" s="158">
        <f>'Commodity Costs Avoided Detail'!AG29+AX31+$H31+BL31+$G31</f>
        <v>15.861639338115779</v>
      </c>
      <c r="CC31" s="158">
        <f>'Commodity Costs Avoided Detail'!AH29+AY31+$H31+BM31+$G31</f>
        <v>13.131540009493873</v>
      </c>
      <c r="CD31" s="158">
        <f>'Commodity Costs Avoided Detail'!AH29+$H31+BN31+$G31</f>
        <v>12.518233649069845</v>
      </c>
      <c r="CE31" s="160">
        <f>'Commodity Costs Avoided Detail'!$AE29+AZ31+$I31+BO31+$G31</f>
        <v>22.811109475848394</v>
      </c>
      <c r="CF31" s="160">
        <f>'Commodity Costs Avoided Detail'!$AE29+BA31+$I31+BP31+$G31</f>
        <v>18.541973581564335</v>
      </c>
      <c r="CG31" s="160">
        <f>'Commodity Costs Avoided Detail'!AE29+BB31+$I31+BQ31+$G31</f>
        <v>24.504046440581508</v>
      </c>
      <c r="CH31" s="160">
        <f>'Commodity Costs Avoided Detail'!AF29+BC31+$I31+BR31+$G31</f>
        <v>15.304290453981823</v>
      </c>
      <c r="CI31" s="160">
        <f>'Commodity Costs Avoided Detail'!AG29+BD31+$I31+BS31+$G31</f>
        <v>18.676754872267445</v>
      </c>
      <c r="CJ31" s="160">
        <f>'Commodity Costs Avoided Detail'!AH29+BE31+$I31+BT31+$G31</f>
        <v>14.174683812196774</v>
      </c>
      <c r="CK31" s="160">
        <f>'Commodity Costs Avoided Detail'!AH29+$I31+BU31+$G31</f>
        <v>13.223214907603134</v>
      </c>
    </row>
    <row r="32" spans="1:109" ht="13.7" customHeight="1" x14ac:dyDescent="0.25">
      <c r="A32" s="84">
        <f t="shared" si="40"/>
        <v>2049</v>
      </c>
      <c r="B32" s="164">
        <v>8.8999999999999996E-2</v>
      </c>
      <c r="C32" s="170">
        <v>0.77597173144876319</v>
      </c>
      <c r="D32" s="175">
        <v>0.46855123674911658</v>
      </c>
      <c r="E32" s="169">
        <v>0.50405321139056325</v>
      </c>
      <c r="F32" s="167">
        <f>'Commodity Costs Avoided Detail'!N30</f>
        <v>4.0480926551704561</v>
      </c>
      <c r="G32" s="168">
        <v>1.2484376301133508</v>
      </c>
      <c r="H32" s="179">
        <v>6.3360000000000003</v>
      </c>
      <c r="I32" s="174">
        <f>('Greenhouse Gas Costs Avoided De'!O29)</f>
        <v>7.6303816795236381</v>
      </c>
      <c r="J32" s="140">
        <v>1.9165296937583356</v>
      </c>
      <c r="K32" s="139">
        <f t="shared" si="41"/>
        <v>2.3236803550326136E-2</v>
      </c>
      <c r="L32" s="129"/>
      <c r="M32" s="21">
        <f t="shared" si="42"/>
        <v>2049</v>
      </c>
      <c r="N32" s="8">
        <f t="shared" si="60"/>
        <v>0.6442738338206585</v>
      </c>
      <c r="O32" s="8">
        <f t="shared" si="60"/>
        <v>0.6442738338206585</v>
      </c>
      <c r="P32" s="8">
        <f t="shared" si="61"/>
        <v>0.57472154494229177</v>
      </c>
      <c r="Q32" s="8">
        <f t="shared" si="62"/>
        <v>0.10720049999999999</v>
      </c>
      <c r="R32" s="8">
        <f t="shared" si="63"/>
        <v>0.11570000000000001</v>
      </c>
      <c r="S32" s="8">
        <f t="shared" si="64"/>
        <v>8.8999999999999996E-2</v>
      </c>
      <c r="T32" s="8">
        <f t="shared" si="65"/>
        <v>8.8999999999999996E-2</v>
      </c>
      <c r="U32" s="8">
        <f t="shared" si="66"/>
        <v>0.6442738338206585</v>
      </c>
      <c r="V32" s="8">
        <f t="shared" si="66"/>
        <v>0.6442738338206585</v>
      </c>
      <c r="W32" s="8">
        <f t="shared" si="67"/>
        <v>0.57472154494229177</v>
      </c>
      <c r="X32" s="8">
        <f t="shared" si="68"/>
        <v>0.10720049999999999</v>
      </c>
      <c r="Y32" s="8">
        <f t="shared" si="69"/>
        <v>0.11570000000000001</v>
      </c>
      <c r="Z32" s="8">
        <f t="shared" si="70"/>
        <v>8.8999999999999996E-2</v>
      </c>
      <c r="AA32" s="9">
        <f t="shared" si="71"/>
        <v>8.8999999999999996E-2</v>
      </c>
      <c r="AB32" s="48"/>
      <c r="AC32" s="7">
        <f t="shared" si="43"/>
        <v>2049</v>
      </c>
      <c r="AD32" s="8">
        <f t="shared" si="72"/>
        <v>4.71776518398263</v>
      </c>
      <c r="AE32" s="8">
        <f t="shared" si="73"/>
        <v>2.3743001252723031</v>
      </c>
      <c r="AF32" s="8">
        <f t="shared" si="74"/>
        <v>5.6890697806849353</v>
      </c>
      <c r="AG32" s="8">
        <f t="shared" si="75"/>
        <v>1.0661644757207067</v>
      </c>
      <c r="AH32" s="8">
        <f t="shared" si="76"/>
        <v>2.9237597173144878</v>
      </c>
      <c r="AI32" s="8">
        <f t="shared" si="77"/>
        <v>0.46855123674911658</v>
      </c>
      <c r="AJ32" s="8">
        <f t="shared" si="78"/>
        <v>0.46855123674911658</v>
      </c>
      <c r="AK32" s="8">
        <f t="shared" si="79"/>
        <v>7.8131314811658026</v>
      </c>
      <c r="AL32" s="8">
        <f t="shared" si="80"/>
        <v>3.932098849998475</v>
      </c>
      <c r="AM32" s="8">
        <f t="shared" si="81"/>
        <v>9.4217173743469971</v>
      </c>
      <c r="AN32" s="8">
        <f t="shared" si="82"/>
        <v>1.7656841543609891</v>
      </c>
      <c r="AO32" s="8">
        <f t="shared" si="83"/>
        <v>4.8420636042402831</v>
      </c>
      <c r="AP32" s="8">
        <f t="shared" si="84"/>
        <v>0.77597173144876308</v>
      </c>
      <c r="AQ32" s="8">
        <f t="shared" si="85"/>
        <v>0.77597173144876308</v>
      </c>
      <c r="AS32" s="7">
        <f t="shared" si="44"/>
        <v>2049</v>
      </c>
      <c r="AT32" s="8">
        <f t="shared" si="86"/>
        <v>5.3620390178032888</v>
      </c>
      <c r="AU32" s="8">
        <f t="shared" si="87"/>
        <v>3.0185739590929614</v>
      </c>
      <c r="AV32" s="8">
        <f t="shared" si="88"/>
        <v>6.2637913256272268</v>
      </c>
      <c r="AW32" s="8">
        <f t="shared" si="89"/>
        <v>1.1733649757207067</v>
      </c>
      <c r="AX32" s="8">
        <f t="shared" si="90"/>
        <v>3.0394597173144877</v>
      </c>
      <c r="AY32" s="8">
        <f t="shared" si="91"/>
        <v>0.55755123674911655</v>
      </c>
      <c r="AZ32" s="8">
        <f t="shared" si="92"/>
        <v>8.4574053149864614</v>
      </c>
      <c r="BA32" s="8">
        <f t="shared" si="93"/>
        <v>4.5763726838191339</v>
      </c>
      <c r="BB32" s="8">
        <f t="shared" si="94"/>
        <v>9.9964389192892895</v>
      </c>
      <c r="BC32" s="8">
        <f t="shared" si="95"/>
        <v>1.8728846543609892</v>
      </c>
      <c r="BD32" s="8">
        <f t="shared" si="96"/>
        <v>4.9577636042402835</v>
      </c>
      <c r="BE32" s="8">
        <f t="shared" si="97"/>
        <v>0.86497173144876305</v>
      </c>
      <c r="BF32" s="48"/>
      <c r="BG32" s="7">
        <f t="shared" si="45"/>
        <v>2049</v>
      </c>
      <c r="BH32" s="8">
        <f>(('Commodity Costs Avoided Detail'!$AE30+AT32)*0.1)</f>
        <v>0.96800014361134312</v>
      </c>
      <c r="BI32" s="8">
        <f>(('Commodity Costs Avoided Detail'!$AE30+AU32)*0.1)</f>
        <v>0.73365363774031034</v>
      </c>
      <c r="BJ32" s="8">
        <f>(('Commodity Costs Avoided Detail'!AE30+AV32)*0.1)</f>
        <v>1.058175374393737</v>
      </c>
      <c r="BK32" s="8">
        <f>(('Commodity Costs Avoided Detail'!AF30+AW32)*0.1)</f>
        <v>0.52443941197387545</v>
      </c>
      <c r="BL32" s="8">
        <f>(('Commodity Costs Avoided Detail'!AG30+AX32)*0.1)</f>
        <v>0.70875523724849443</v>
      </c>
      <c r="BM32" s="8">
        <f>(('Commodity Costs Avoided Detail'!AH30+AY32)*0.1)</f>
        <v>0.4605643891919573</v>
      </c>
      <c r="BN32" s="8">
        <f>(('Commodity Costs Avoided Detail'!AH30)*0.1)</f>
        <v>0.40480926551704566</v>
      </c>
      <c r="BO32" s="8">
        <f>(('Commodity Costs Avoided Detail'!AE30+AZ32)*0.1)</f>
        <v>1.2775367733296603</v>
      </c>
      <c r="BP32" s="8">
        <f>(('Commodity Costs Avoided Detail'!AE30+BA32)*0.1)</f>
        <v>0.8894335102129276</v>
      </c>
      <c r="BQ32" s="8">
        <f>(('Commodity Costs Avoided Detail'!AE30+BB32)*0.1)</f>
        <v>1.4314401337599432</v>
      </c>
      <c r="BR32" s="8">
        <f>(('Commodity Costs Avoided Detail'!AF30+BC32)*0.1)</f>
        <v>0.59439137983790369</v>
      </c>
      <c r="BS32" s="8">
        <f>(('Commodity Costs Avoided Detail'!AG30+BD32)*0.1)</f>
        <v>0.90058562594107405</v>
      </c>
      <c r="BT32" s="8">
        <f>(('Commodity Costs Avoided Detail'!AH30+BE32)*0.1)</f>
        <v>0.49130643866192192</v>
      </c>
      <c r="BU32" s="8">
        <f>(('Commodity Costs Avoided Detail'!AH30)*0.1)</f>
        <v>0.40480926551704566</v>
      </c>
      <c r="BV32" s="48"/>
      <c r="BW32" s="21">
        <f t="shared" si="46"/>
        <v>2049</v>
      </c>
      <c r="BX32" s="158">
        <f>'Commodity Costs Avoided Detail'!$AE30+AT32+$H32+BH32+$G32</f>
        <v>18.232439209838123</v>
      </c>
      <c r="BY32" s="158">
        <f>'Commodity Costs Avoided Detail'!$AE30+AU32+$H32+BI32+$G32</f>
        <v>15.654627645256765</v>
      </c>
      <c r="BZ32" s="158">
        <f>'Commodity Costs Avoided Detail'!AE30+AV32+$H32+BJ32+G32</f>
        <v>19.224366748444456</v>
      </c>
      <c r="CA32" s="158">
        <f>'Commodity Costs Avoided Detail'!AF30+AW32+$H32+BK32+$G32</f>
        <v>13.35327116182598</v>
      </c>
      <c r="CB32" s="158">
        <f>'Commodity Costs Avoided Detail'!AG30+AX32+$H32+BL32+$G32</f>
        <v>15.380745239846791</v>
      </c>
      <c r="CC32" s="158">
        <f>'Commodity Costs Avoided Detail'!AH30+AY32+$H32+BM32+$G32</f>
        <v>12.650645911224879</v>
      </c>
      <c r="CD32" s="158">
        <f>'Commodity Costs Avoided Detail'!AH30+$H32+BN32+$G32</f>
        <v>12.037339550800851</v>
      </c>
      <c r="CE32" s="160">
        <f>'Commodity Costs Avoided Detail'!$AE30+AZ32+$I32+BO32+$G32</f>
        <v>22.931723816263254</v>
      </c>
      <c r="CF32" s="160">
        <f>'Commodity Costs Avoided Detail'!$AE30+BA32+$I32+BP32+$G32</f>
        <v>18.662587921979192</v>
      </c>
      <c r="CG32" s="160">
        <f>'Commodity Costs Avoided Detail'!AE30+BB32+$I32+BQ32+$G32</f>
        <v>24.624660780996361</v>
      </c>
      <c r="CH32" s="160">
        <f>'Commodity Costs Avoided Detail'!AF30+BC32+$I32+BR32+$G32</f>
        <v>15.417124487853929</v>
      </c>
      <c r="CI32" s="160">
        <f>'Commodity Costs Avoided Detail'!AG30+BD32+$I32+BS32+$G32</f>
        <v>18.785261194988802</v>
      </c>
      <c r="CJ32" s="160">
        <f>'Commodity Costs Avoided Detail'!AH30+BE32+$I32+BT32+$G32</f>
        <v>14.283190134918129</v>
      </c>
      <c r="CK32" s="160">
        <f>'Commodity Costs Avoided Detail'!AH30+$I32+BU32+$G32</f>
        <v>13.33172123032449</v>
      </c>
    </row>
    <row r="33" spans="1:142" ht="13.7" customHeight="1" thickBot="1" x14ac:dyDescent="0.3">
      <c r="A33" s="85">
        <f t="shared" si="40"/>
        <v>2050</v>
      </c>
      <c r="B33" s="164">
        <v>8.8999999999999996E-2</v>
      </c>
      <c r="C33" s="170">
        <v>0.77597173144876319</v>
      </c>
      <c r="D33" s="175">
        <v>0.46855123674911658</v>
      </c>
      <c r="E33" s="169">
        <v>0.50405321139056325</v>
      </c>
      <c r="F33" s="167">
        <f>'Commodity Costs Avoided Detail'!N31</f>
        <v>4.1134170994973136</v>
      </c>
      <c r="G33" s="168">
        <v>1.2821042176259949</v>
      </c>
      <c r="H33" s="180">
        <v>5.8319999999999999</v>
      </c>
      <c r="I33" s="174">
        <f>('Greenhouse Gas Costs Avoided De'!O30)</f>
        <v>7.7317821005139846</v>
      </c>
      <c r="J33" s="140">
        <v>1.9611238173003955</v>
      </c>
      <c r="K33" s="139">
        <f t="shared" si="41"/>
        <v>2.326816207820416E-2</v>
      </c>
      <c r="L33" s="129"/>
      <c r="M33" s="21">
        <f t="shared" si="42"/>
        <v>2050</v>
      </c>
      <c r="N33" s="8">
        <f t="shared" si="60"/>
        <v>0.6442738338206585</v>
      </c>
      <c r="O33" s="8">
        <f t="shared" si="60"/>
        <v>0.6442738338206585</v>
      </c>
      <c r="P33" s="8">
        <f t="shared" si="61"/>
        <v>0.57472154494229177</v>
      </c>
      <c r="Q33" s="8">
        <f t="shared" si="62"/>
        <v>0.10720049999999999</v>
      </c>
      <c r="R33" s="8">
        <f t="shared" si="63"/>
        <v>0.11570000000000001</v>
      </c>
      <c r="S33" s="8">
        <f t="shared" si="64"/>
        <v>8.8999999999999996E-2</v>
      </c>
      <c r="T33" s="8">
        <f t="shared" si="65"/>
        <v>8.8999999999999996E-2</v>
      </c>
      <c r="U33" s="8">
        <f t="shared" si="66"/>
        <v>0.6442738338206585</v>
      </c>
      <c r="V33" s="8">
        <f t="shared" si="66"/>
        <v>0.6442738338206585</v>
      </c>
      <c r="W33" s="8">
        <f t="shared" si="67"/>
        <v>0.57472154494229177</v>
      </c>
      <c r="X33" s="8">
        <f t="shared" si="68"/>
        <v>0.10720049999999999</v>
      </c>
      <c r="Y33" s="8">
        <f t="shared" si="69"/>
        <v>0.11570000000000001</v>
      </c>
      <c r="Z33" s="8">
        <f t="shared" si="70"/>
        <v>8.8999999999999996E-2</v>
      </c>
      <c r="AA33" s="9">
        <f t="shared" si="71"/>
        <v>8.8999999999999996E-2</v>
      </c>
      <c r="AB33" s="48"/>
      <c r="AC33" s="7">
        <f t="shared" si="43"/>
        <v>2050</v>
      </c>
      <c r="AD33" s="8">
        <f t="shared" si="72"/>
        <v>4.71776518398263</v>
      </c>
      <c r="AE33" s="8">
        <f t="shared" si="73"/>
        <v>2.3743001252723031</v>
      </c>
      <c r="AF33" s="8">
        <f t="shared" si="74"/>
        <v>5.6890697806849353</v>
      </c>
      <c r="AG33" s="8">
        <f t="shared" si="75"/>
        <v>1.0661644757207067</v>
      </c>
      <c r="AH33" s="8">
        <f t="shared" si="76"/>
        <v>2.9237597173144878</v>
      </c>
      <c r="AI33" s="8">
        <f t="shared" si="77"/>
        <v>0.46855123674911658</v>
      </c>
      <c r="AJ33" s="8">
        <f t="shared" si="78"/>
        <v>0.46855123674911658</v>
      </c>
      <c r="AK33" s="8">
        <f t="shared" si="79"/>
        <v>7.8131314811658026</v>
      </c>
      <c r="AL33" s="8">
        <f t="shared" si="80"/>
        <v>3.932098849998475</v>
      </c>
      <c r="AM33" s="8">
        <f t="shared" si="81"/>
        <v>9.4217173743469971</v>
      </c>
      <c r="AN33" s="8">
        <f t="shared" si="82"/>
        <v>1.7656841543609891</v>
      </c>
      <c r="AO33" s="8">
        <f t="shared" si="83"/>
        <v>4.8420636042402831</v>
      </c>
      <c r="AP33" s="8">
        <f t="shared" si="84"/>
        <v>0.77597173144876308</v>
      </c>
      <c r="AQ33" s="8">
        <f t="shared" si="85"/>
        <v>0.77597173144876308</v>
      </c>
      <c r="AS33" s="7">
        <f t="shared" si="44"/>
        <v>2050</v>
      </c>
      <c r="AT33" s="8">
        <f t="shared" si="86"/>
        <v>5.3620390178032888</v>
      </c>
      <c r="AU33" s="8">
        <f t="shared" si="87"/>
        <v>3.0185739590929614</v>
      </c>
      <c r="AV33" s="8">
        <f t="shared" si="88"/>
        <v>6.2637913256272268</v>
      </c>
      <c r="AW33" s="8">
        <f t="shared" si="89"/>
        <v>1.1733649757207067</v>
      </c>
      <c r="AX33" s="8">
        <f t="shared" si="90"/>
        <v>3.0394597173144877</v>
      </c>
      <c r="AY33" s="8">
        <f t="shared" si="91"/>
        <v>0.55755123674911655</v>
      </c>
      <c r="AZ33" s="8">
        <f t="shared" si="92"/>
        <v>8.4574053149864614</v>
      </c>
      <c r="BA33" s="8">
        <f t="shared" si="93"/>
        <v>4.5763726838191339</v>
      </c>
      <c r="BB33" s="8">
        <f t="shared" si="94"/>
        <v>9.9964389192892895</v>
      </c>
      <c r="BC33" s="8">
        <f t="shared" si="95"/>
        <v>1.8728846543609892</v>
      </c>
      <c r="BD33" s="8">
        <f t="shared" si="96"/>
        <v>4.9577636042402835</v>
      </c>
      <c r="BE33" s="8">
        <f t="shared" si="97"/>
        <v>0.86497173144876305</v>
      </c>
      <c r="BF33" s="48"/>
      <c r="BG33" s="7">
        <f t="shared" si="45"/>
        <v>2050</v>
      </c>
      <c r="BH33" s="8">
        <f>(('Commodity Costs Avoided Detail'!$AE31+AT33)*0.1)</f>
        <v>0.98438781596711</v>
      </c>
      <c r="BI33" s="8">
        <f>(('Commodity Costs Avoided Detail'!$AE31+AU33)*0.1)</f>
        <v>0.75004131009607733</v>
      </c>
      <c r="BJ33" s="8">
        <f>(('Commodity Costs Avoided Detail'!AE31+AV33)*0.1)</f>
        <v>1.074563046749504</v>
      </c>
      <c r="BK33" s="8">
        <f>(('Commodity Costs Avoided Detail'!AF31+AW33)*0.1)</f>
        <v>0.53165807871599269</v>
      </c>
      <c r="BL33" s="8">
        <f>(('Commodity Costs Avoided Detail'!AG31+AX33)*0.1)</f>
        <v>0.71528768168118018</v>
      </c>
      <c r="BM33" s="8">
        <f>(('Commodity Costs Avoided Detail'!AH31+AY33)*0.1)</f>
        <v>0.46709683362464305</v>
      </c>
      <c r="BN33" s="8">
        <f>(('Commodity Costs Avoided Detail'!AH31)*0.1)</f>
        <v>0.4113417099497314</v>
      </c>
      <c r="BO33" s="8">
        <f>(('Commodity Costs Avoided Detail'!AE31+AZ33)*0.1)</f>
        <v>1.2939244456854273</v>
      </c>
      <c r="BP33" s="8">
        <f>(('Commodity Costs Avoided Detail'!AE31+BA33)*0.1)</f>
        <v>0.9058211825686947</v>
      </c>
      <c r="BQ33" s="8">
        <f>(('Commodity Costs Avoided Detail'!AE31+BB33)*0.1)</f>
        <v>1.4478278061157104</v>
      </c>
      <c r="BR33" s="8">
        <f>(('Commodity Costs Avoided Detail'!AF31+BC33)*0.1)</f>
        <v>0.60161004658002093</v>
      </c>
      <c r="BS33" s="8">
        <f>(('Commodity Costs Avoided Detail'!AG31+BD33)*0.1)</f>
        <v>0.90711807037375969</v>
      </c>
      <c r="BT33" s="8">
        <f>(('Commodity Costs Avoided Detail'!AH31+BE33)*0.1)</f>
        <v>0.49783888309460772</v>
      </c>
      <c r="BU33" s="8">
        <f>(('Commodity Costs Avoided Detail'!AH31)*0.1)</f>
        <v>0.4113417099497314</v>
      </c>
      <c r="BV33" s="48"/>
      <c r="BW33" s="155">
        <f t="shared" si="46"/>
        <v>2050</v>
      </c>
      <c r="BX33" s="158">
        <f>'Commodity Costs Avoided Detail'!$AE31+AT33+$H33+BH33+$G33</f>
        <v>17.942370193264207</v>
      </c>
      <c r="BY33" s="158">
        <f>'Commodity Costs Avoided Detail'!$AE31+AU33+$H33+BI33+$G33</f>
        <v>15.364558628682847</v>
      </c>
      <c r="BZ33" s="158">
        <f>'Commodity Costs Avoided Detail'!AE31+AV33+$H33+BJ33+G33</f>
        <v>18.934297731870537</v>
      </c>
      <c r="CA33" s="158">
        <f>'Commodity Costs Avoided Detail'!AF31+AW33+$H33+BK33+$G33</f>
        <v>12.962343083501914</v>
      </c>
      <c r="CB33" s="158">
        <f>'Commodity Costs Avoided Detail'!AG31+AX33+$H33+BL33+$G33</f>
        <v>14.982268716118977</v>
      </c>
      <c r="CC33" s="158">
        <f>'Commodity Costs Avoided Detail'!AH31+AY33+$H33+BM33+$G33</f>
        <v>12.252169387497066</v>
      </c>
      <c r="CD33" s="158">
        <f>'Commodity Costs Avoided Detail'!AH31+$H33+BN33+$G33</f>
        <v>11.63886302707304</v>
      </c>
      <c r="CE33" s="160">
        <f>'Commodity Costs Avoided Detail'!$AE31+AZ33+$I33+BO33+$G33</f>
        <v>23.24705522067968</v>
      </c>
      <c r="CF33" s="160">
        <f>'Commodity Costs Avoided Detail'!$AE31+BA33+$I33+BP33+$G33</f>
        <v>18.977919326395622</v>
      </c>
      <c r="CG33" s="160">
        <f>'Commodity Costs Avoided Detail'!AE31+BB33+$I33+BQ33+$G33</f>
        <v>24.939992185412795</v>
      </c>
      <c r="CH33" s="160">
        <f>'Commodity Costs Avoided Detail'!AF31+BC33+$I33+BR33+$G33</f>
        <v>15.631596830520209</v>
      </c>
      <c r="CI33" s="160">
        <f>'Commodity Costs Avoided Detail'!AG31+BD33+$I33+BS33+$G33</f>
        <v>18.992185092251336</v>
      </c>
      <c r="CJ33" s="160">
        <f>'Commodity Costs Avoided Detail'!AH31+BE33+$I33+BT33+$G33</f>
        <v>14.490114032180664</v>
      </c>
      <c r="CK33" s="160">
        <f>'Commodity Costs Avoided Detail'!AH31+$I33+BU33+$G33</f>
        <v>13.538645127587024</v>
      </c>
    </row>
    <row r="34" spans="1:142" ht="13.7" customHeight="1" thickBot="1" x14ac:dyDescent="0.3">
      <c r="A34" s="86" t="s">
        <v>29</v>
      </c>
      <c r="B34" s="165">
        <f>PMT($G$35,29,NPV($G$35,B5:B33))*-1</f>
        <v>8.899999999999994E-2</v>
      </c>
      <c r="C34" s="171">
        <f>PMT($G$35,29,NPV($G$35,C5:C33))*-1</f>
        <v>0.77597173144876297</v>
      </c>
      <c r="D34" s="176">
        <f t="shared" ref="D34:H34" si="98">PMT($G$35,29,NPV($G$35,D5:D33))*-1</f>
        <v>0.46855123674911642</v>
      </c>
      <c r="E34" s="165">
        <f t="shared" si="98"/>
        <v>0.50405321139056314</v>
      </c>
      <c r="F34" s="165">
        <f t="shared" si="98"/>
        <v>3.5536024262489918</v>
      </c>
      <c r="G34" s="165">
        <f t="shared" si="98"/>
        <v>0.86193161558388465</v>
      </c>
      <c r="H34" s="176">
        <f t="shared" si="98"/>
        <v>7.6081257875462978</v>
      </c>
      <c r="I34" s="171">
        <f>PMT($G$35,29,NPV($G$35,I5:I33))*-1</f>
        <v>6.2625351212148033</v>
      </c>
      <c r="J34" s="141"/>
      <c r="K34" s="141"/>
      <c r="L34" s="22"/>
      <c r="M34" s="23" t="s">
        <v>29</v>
      </c>
      <c r="N34" s="24">
        <f>PMT($B$35,29,NPV($B$35,N5:N33))*-1</f>
        <v>0.64427383382065762</v>
      </c>
      <c r="O34" s="24">
        <f t="shared" ref="O34:AA34" si="99">PMT($B$35,29,NPV($B$35,O5:O33))*-1</f>
        <v>0.64427383382065762</v>
      </c>
      <c r="P34" s="24">
        <f t="shared" si="99"/>
        <v>0.57472154494229122</v>
      </c>
      <c r="Q34" s="24">
        <f t="shared" si="99"/>
        <v>0.10720049999999989</v>
      </c>
      <c r="R34" s="24">
        <f t="shared" si="99"/>
        <v>0.11569999999999987</v>
      </c>
      <c r="S34" s="24">
        <f t="shared" si="99"/>
        <v>8.8999999999999913E-2</v>
      </c>
      <c r="T34" s="24">
        <f t="shared" si="99"/>
        <v>8.8999999999999913E-2</v>
      </c>
      <c r="U34" s="24">
        <f t="shared" si="99"/>
        <v>0.64427383382065762</v>
      </c>
      <c r="V34" s="24">
        <f t="shared" si="99"/>
        <v>0.64427383382065762</v>
      </c>
      <c r="W34" s="24">
        <f t="shared" si="99"/>
        <v>0.57472154494229122</v>
      </c>
      <c r="X34" s="24">
        <f t="shared" si="99"/>
        <v>0.10720049999999989</v>
      </c>
      <c r="Y34" s="24">
        <f t="shared" si="99"/>
        <v>0.11569999999999987</v>
      </c>
      <c r="Z34" s="24">
        <f t="shared" si="99"/>
        <v>8.8999999999999913E-2</v>
      </c>
      <c r="AA34" s="24">
        <f t="shared" si="99"/>
        <v>8.8999999999999913E-2</v>
      </c>
      <c r="AB34" s="49"/>
      <c r="AC34" s="123" t="s">
        <v>29</v>
      </c>
      <c r="AD34" s="24">
        <f>PMT($B$35,29,NPV($B$35,AD5:AD33))*-1</f>
        <v>4.7177651839826265</v>
      </c>
      <c r="AE34" s="24">
        <f t="shared" ref="AE34:AQ34" si="100">PMT($B$35,29,NPV($B$35,AE5:AE33))*-1</f>
        <v>2.3743001252722999</v>
      </c>
      <c r="AF34" s="24">
        <f t="shared" si="100"/>
        <v>5.6890697806849282</v>
      </c>
      <c r="AG34" s="24">
        <f t="shared" si="100"/>
        <v>1.0661644757207054</v>
      </c>
      <c r="AH34" s="24">
        <f t="shared" si="100"/>
        <v>2.9237597173144843</v>
      </c>
      <c r="AI34" s="24">
        <f t="shared" si="100"/>
        <v>0.46855123674911614</v>
      </c>
      <c r="AJ34" s="24">
        <f t="shared" si="100"/>
        <v>0.46855123674911614</v>
      </c>
      <c r="AK34" s="24">
        <f t="shared" si="100"/>
        <v>7.8131314811657946</v>
      </c>
      <c r="AL34" s="24">
        <f t="shared" si="100"/>
        <v>3.9320988499984701</v>
      </c>
      <c r="AM34" s="24">
        <f t="shared" si="100"/>
        <v>9.4217173743469882</v>
      </c>
      <c r="AN34" s="24">
        <f t="shared" si="100"/>
        <v>1.7656841543609871</v>
      </c>
      <c r="AO34" s="24">
        <f t="shared" si="100"/>
        <v>4.8420636042402787</v>
      </c>
      <c r="AP34" s="24">
        <f t="shared" si="100"/>
        <v>0.77597173144876241</v>
      </c>
      <c r="AQ34" s="24">
        <f t="shared" si="100"/>
        <v>0.77597173144876241</v>
      </c>
      <c r="AR34" s="22"/>
      <c r="AS34" s="121" t="s">
        <v>29</v>
      </c>
      <c r="AT34" s="24">
        <f>PMT($B$35,29,NPV($B$35,AT5:AT33))*-1</f>
        <v>5.3620390178032835</v>
      </c>
      <c r="AU34" s="24">
        <f t="shared" ref="AU34:BE34" si="101">PMT($B$35,29,NPV($B$35,AU5:AU33))*-1</f>
        <v>3.018573959092957</v>
      </c>
      <c r="AV34" s="24">
        <f t="shared" si="101"/>
        <v>6.263791325627218</v>
      </c>
      <c r="AW34" s="24">
        <f t="shared" si="101"/>
        <v>1.1733649757207056</v>
      </c>
      <c r="AX34" s="24">
        <f t="shared" si="101"/>
        <v>3.0394597173144846</v>
      </c>
      <c r="AY34" s="24">
        <f t="shared" si="101"/>
        <v>0.55755123674911611</v>
      </c>
      <c r="AZ34" s="24">
        <f t="shared" si="101"/>
        <v>8.4574053149864508</v>
      </c>
      <c r="BA34" s="24">
        <f t="shared" si="101"/>
        <v>4.5763726838191277</v>
      </c>
      <c r="BB34" s="24">
        <f t="shared" si="101"/>
        <v>9.9964389192892789</v>
      </c>
      <c r="BC34" s="24">
        <f t="shared" si="101"/>
        <v>1.8728846543609876</v>
      </c>
      <c r="BD34" s="24">
        <f t="shared" si="101"/>
        <v>4.9577636042402773</v>
      </c>
      <c r="BE34" s="24">
        <f t="shared" si="101"/>
        <v>0.86497173144876205</v>
      </c>
      <c r="BF34" s="49"/>
      <c r="BG34" s="121" t="s">
        <v>29</v>
      </c>
      <c r="BH34" s="24">
        <f>PMT($B$35,29,NPV($B$35,BH5:BH33))*-1</f>
        <v>0.91919614457124565</v>
      </c>
      <c r="BI34" s="24">
        <f t="shared" ref="BI34:BU34" si="102">PMT($B$35,29,NPV($B$35,BI5:BI33))*-1</f>
        <v>0.68484963870021287</v>
      </c>
      <c r="BJ34" s="24">
        <f t="shared" si="102"/>
        <v>1.0093713753536389</v>
      </c>
      <c r="BK34" s="24">
        <f t="shared" si="102"/>
        <v>0.47528299063915569</v>
      </c>
      <c r="BL34" s="24">
        <f t="shared" si="102"/>
        <v>0.65930588218771835</v>
      </c>
      <c r="BM34" s="24">
        <f t="shared" si="102"/>
        <v>0.41111503413118122</v>
      </c>
      <c r="BN34" s="24">
        <f t="shared" si="102"/>
        <v>0.35535991045626975</v>
      </c>
      <c r="BO34" s="24">
        <f t="shared" si="102"/>
        <v>1.2287327742895617</v>
      </c>
      <c r="BP34" s="24">
        <f t="shared" si="102"/>
        <v>0.84062951117282991</v>
      </c>
      <c r="BQ34" s="24">
        <f t="shared" si="102"/>
        <v>1.3826361347198446</v>
      </c>
      <c r="BR34" s="24">
        <f t="shared" si="102"/>
        <v>0.54523495850318393</v>
      </c>
      <c r="BS34" s="24">
        <f t="shared" si="102"/>
        <v>0.85113627088029742</v>
      </c>
      <c r="BT34" s="24">
        <f t="shared" si="102"/>
        <v>0.44185708360114589</v>
      </c>
      <c r="BU34" s="24">
        <f t="shared" si="102"/>
        <v>0.35535991045626975</v>
      </c>
      <c r="BV34" s="49"/>
      <c r="BW34" s="23" t="s">
        <v>29</v>
      </c>
      <c r="BX34" s="159">
        <f>PMT($B$35,29,NPV($B$35,BX5:BX33))*-1</f>
        <v>18.581089213868761</v>
      </c>
      <c r="BY34" s="159">
        <f t="shared" ref="BY34:CK34" si="103">PMT($B$35,29,NPV($B$35,BY5:BY33))*-1</f>
        <v>16.003277649287408</v>
      </c>
      <c r="BZ34" s="159">
        <f t="shared" si="103"/>
        <v>19.573016752475098</v>
      </c>
      <c r="CA34" s="159">
        <f t="shared" si="103"/>
        <v>13.698044520615781</v>
      </c>
      <c r="CB34" s="159">
        <f t="shared" si="103"/>
        <v>15.722296327649968</v>
      </c>
      <c r="CC34" s="159">
        <f t="shared" si="103"/>
        <v>12.99219699902806</v>
      </c>
      <c r="CD34" s="159">
        <f t="shared" si="103"/>
        <v>12.378890638604032</v>
      </c>
      <c r="CE34" s="161">
        <f t="shared" si="103"/>
        <v>20.640438405749467</v>
      </c>
      <c r="CF34" s="161">
        <f t="shared" si="103"/>
        <v>16.371302511465409</v>
      </c>
      <c r="CG34" s="161">
        <f t="shared" si="103"/>
        <v>22.333375370482578</v>
      </c>
      <c r="CH34" s="161">
        <f t="shared" si="103"/>
        <v>13.121962432099307</v>
      </c>
      <c r="CI34" s="161">
        <f t="shared" si="103"/>
        <v>16.486876868247556</v>
      </c>
      <c r="CJ34" s="161">
        <f t="shared" si="103"/>
        <v>11.98480580817689</v>
      </c>
      <c r="CK34" s="161">
        <f t="shared" si="103"/>
        <v>11.033336903583248</v>
      </c>
      <c r="CS34" s="131"/>
    </row>
    <row r="35" spans="1:142" s="22" customFormat="1" ht="13.7" customHeight="1" thickBot="1" x14ac:dyDescent="0.3">
      <c r="A35" s="130" t="s">
        <v>30</v>
      </c>
      <c r="B35" s="143">
        <v>3.4009999999999999E-2</v>
      </c>
      <c r="C35" s="144" t="s">
        <v>31</v>
      </c>
      <c r="D35" s="145">
        <v>3.3890000000000003E-2</v>
      </c>
      <c r="E35" s="146"/>
      <c r="F35" s="130" t="s">
        <v>32</v>
      </c>
      <c r="G35" s="147">
        <v>3.3998652165016144E-2</v>
      </c>
      <c r="H35" s="25"/>
      <c r="I35" s="25"/>
      <c r="J35" s="25"/>
      <c r="K35" s="2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</row>
    <row r="36" spans="1:142" ht="54.6" customHeight="1" thickBot="1" x14ac:dyDescent="0.3">
      <c r="A36" s="148" t="s">
        <v>103</v>
      </c>
      <c r="B36" s="149">
        <v>6.3529944199999994E-2</v>
      </c>
      <c r="C36" s="150"/>
      <c r="D36" s="151">
        <v>6.3402999000000002E-2</v>
      </c>
      <c r="E36" s="150"/>
      <c r="F36" s="150"/>
      <c r="G36" s="151">
        <v>6.3517249679999999E-2</v>
      </c>
      <c r="H36" s="152">
        <f>B36-B35</f>
        <v>2.9519944199999995E-2</v>
      </c>
      <c r="CM36" s="183" t="s">
        <v>105</v>
      </c>
      <c r="CN36" s="184"/>
      <c r="CO36" s="184"/>
      <c r="CP36" s="184"/>
      <c r="CQ36" s="184"/>
      <c r="CR36" s="184"/>
      <c r="CS36" s="184"/>
      <c r="CT36" s="184"/>
      <c r="CU36" s="185"/>
      <c r="CV36" s="309" t="s">
        <v>113</v>
      </c>
      <c r="CW36" s="278" t="s">
        <v>114</v>
      </c>
      <c r="CX36" s="279"/>
      <c r="CY36" s="279"/>
      <c r="CZ36" s="279"/>
      <c r="DA36" s="279"/>
      <c r="DB36" s="280"/>
      <c r="DD36" s="183" t="s">
        <v>115</v>
      </c>
      <c r="DE36" s="184"/>
      <c r="DF36" s="184"/>
      <c r="DG36" s="184"/>
      <c r="DH36" s="184"/>
      <c r="DI36" s="184"/>
      <c r="DJ36" s="184"/>
      <c r="DK36" s="184"/>
      <c r="DL36" s="185"/>
      <c r="DN36" s="183" t="s">
        <v>116</v>
      </c>
      <c r="DO36" s="184"/>
      <c r="DP36" s="184"/>
      <c r="DQ36" s="184"/>
      <c r="DR36" s="184"/>
      <c r="DS36" s="184"/>
      <c r="DT36" s="184"/>
      <c r="DU36" s="184"/>
      <c r="DV36" s="185"/>
      <c r="DX36" s="303" t="s">
        <v>117</v>
      </c>
      <c r="DY36" s="304"/>
      <c r="DZ36" s="304"/>
      <c r="EA36" s="304"/>
      <c r="EB36" s="304"/>
      <c r="EC36" s="304"/>
      <c r="ED36" s="305"/>
      <c r="EF36" s="186" t="s">
        <v>118</v>
      </c>
      <c r="EG36" s="187"/>
      <c r="EH36" s="187"/>
      <c r="EI36" s="187"/>
      <c r="EJ36" s="187"/>
      <c r="EK36" s="187"/>
      <c r="EL36" s="187"/>
    </row>
    <row r="37" spans="1:142" ht="13.7" customHeight="1" thickBot="1" x14ac:dyDescent="0.3">
      <c r="K37" s="25" t="s">
        <v>38</v>
      </c>
      <c r="CM37" s="300"/>
      <c r="CN37" s="300"/>
      <c r="CO37" s="91"/>
      <c r="CP37" s="91"/>
      <c r="CQ37" s="91"/>
      <c r="CR37" s="182" t="s">
        <v>82</v>
      </c>
      <c r="CS37" s="182"/>
      <c r="CT37" s="182"/>
      <c r="CU37" s="182"/>
      <c r="CV37" s="309"/>
      <c r="CW37" s="313"/>
      <c r="CX37" s="314"/>
      <c r="CY37" s="310" t="s">
        <v>104</v>
      </c>
      <c r="CZ37" s="310" t="s">
        <v>86</v>
      </c>
      <c r="DA37" s="312" t="s">
        <v>84</v>
      </c>
      <c r="DB37" s="276" t="s">
        <v>106</v>
      </c>
      <c r="DC37" s="22"/>
      <c r="DD37" s="300"/>
      <c r="DE37" s="300"/>
      <c r="DF37" s="204" t="s">
        <v>16</v>
      </c>
      <c r="DG37" s="204" t="s">
        <v>17</v>
      </c>
      <c r="DH37" s="204" t="s">
        <v>83</v>
      </c>
      <c r="DI37" s="182" t="s">
        <v>82</v>
      </c>
      <c r="DJ37" s="182"/>
      <c r="DK37" s="182"/>
      <c r="DL37" s="182"/>
      <c r="DN37" s="295"/>
      <c r="DO37" s="296"/>
      <c r="DP37" s="204" t="s">
        <v>89</v>
      </c>
      <c r="DQ37" s="204" t="s">
        <v>90</v>
      </c>
      <c r="DR37" s="204" t="s">
        <v>87</v>
      </c>
      <c r="DS37" s="204" t="s">
        <v>91</v>
      </c>
      <c r="DT37" s="204" t="s">
        <v>88</v>
      </c>
      <c r="DU37" s="204" t="s">
        <v>20</v>
      </c>
      <c r="DV37" s="301" t="s">
        <v>100</v>
      </c>
      <c r="DX37" s="200" t="s">
        <v>89</v>
      </c>
      <c r="DY37" s="200" t="s">
        <v>90</v>
      </c>
      <c r="DZ37" s="200" t="s">
        <v>87</v>
      </c>
      <c r="EA37" s="200" t="s">
        <v>91</v>
      </c>
      <c r="EB37" s="200" t="s">
        <v>88</v>
      </c>
      <c r="EC37" s="200" t="s">
        <v>20</v>
      </c>
      <c r="ED37" s="294" t="s">
        <v>21</v>
      </c>
      <c r="EF37" s="186"/>
      <c r="EG37" s="187"/>
      <c r="EH37" s="187"/>
      <c r="EI37" s="187"/>
      <c r="EJ37" s="187"/>
      <c r="EK37" s="187"/>
      <c r="EL37" s="187"/>
    </row>
    <row r="38" spans="1:142" ht="13.7" customHeight="1" thickBot="1" x14ac:dyDescent="0.3">
      <c r="A38" s="252" t="s">
        <v>33</v>
      </c>
      <c r="B38" s="253"/>
      <c r="C38" s="253"/>
      <c r="D38" s="253"/>
      <c r="E38" s="253"/>
      <c r="F38" s="253"/>
      <c r="G38" s="253"/>
      <c r="H38" s="254"/>
      <c r="I38" s="1" t="s">
        <v>34</v>
      </c>
      <c r="K38" s="25" t="s">
        <v>39</v>
      </c>
      <c r="CM38" s="300"/>
      <c r="CN38" s="300"/>
      <c r="CO38" s="182" t="s">
        <v>16</v>
      </c>
      <c r="CP38" s="182" t="s">
        <v>17</v>
      </c>
      <c r="CQ38" s="182" t="s">
        <v>83</v>
      </c>
      <c r="CR38" s="182" t="s">
        <v>18</v>
      </c>
      <c r="CS38" s="182" t="s">
        <v>19</v>
      </c>
      <c r="CT38" s="182" t="s">
        <v>20</v>
      </c>
      <c r="CU38" s="181" t="s">
        <v>21</v>
      </c>
      <c r="CV38" s="309"/>
      <c r="CW38" s="313"/>
      <c r="CX38" s="314"/>
      <c r="CY38" s="311"/>
      <c r="CZ38" s="311"/>
      <c r="DA38" s="183"/>
      <c r="DB38" s="277"/>
      <c r="DD38" s="300"/>
      <c r="DE38" s="300"/>
      <c r="DF38" s="299"/>
      <c r="DG38" s="299"/>
      <c r="DH38" s="299"/>
      <c r="DI38" s="182" t="s">
        <v>18</v>
      </c>
      <c r="DJ38" s="182" t="s">
        <v>19</v>
      </c>
      <c r="DK38" s="182" t="s">
        <v>20</v>
      </c>
      <c r="DL38" s="181" t="s">
        <v>21</v>
      </c>
      <c r="DN38" s="297"/>
      <c r="DO38" s="298"/>
      <c r="DP38" s="299"/>
      <c r="DQ38" s="299"/>
      <c r="DR38" s="299"/>
      <c r="DS38" s="299"/>
      <c r="DT38" s="299"/>
      <c r="DU38" s="299"/>
      <c r="DV38" s="302"/>
      <c r="DX38" s="182"/>
      <c r="DY38" s="182"/>
      <c r="DZ38" s="182"/>
      <c r="EA38" s="182"/>
      <c r="EB38" s="182"/>
      <c r="EC38" s="182"/>
      <c r="ED38" s="181"/>
      <c r="EF38" s="186"/>
      <c r="EG38" s="187"/>
      <c r="EH38" s="187"/>
      <c r="EI38" s="187"/>
      <c r="EJ38" s="187"/>
      <c r="EK38" s="187"/>
      <c r="EL38" s="187"/>
    </row>
    <row r="39" spans="1:142" ht="13.7" customHeight="1" thickBot="1" x14ac:dyDescent="0.3">
      <c r="A39" s="247" t="s">
        <v>35</v>
      </c>
      <c r="B39" s="247"/>
      <c r="C39" s="247"/>
      <c r="D39" s="247"/>
      <c r="E39" s="247"/>
      <c r="F39" s="247"/>
      <c r="G39" s="247"/>
      <c r="H39" s="125">
        <v>1.9832963947072756E-2</v>
      </c>
      <c r="K39" s="25" t="s">
        <v>10</v>
      </c>
      <c r="CM39" s="300"/>
      <c r="CN39" s="300"/>
      <c r="CO39" s="182"/>
      <c r="CP39" s="182"/>
      <c r="CQ39" s="182"/>
      <c r="CR39" s="182"/>
      <c r="CS39" s="182"/>
      <c r="CT39" s="182"/>
      <c r="CU39" s="181"/>
      <c r="CV39" s="309"/>
      <c r="CW39" s="315"/>
      <c r="CX39" s="282"/>
      <c r="CY39" s="311"/>
      <c r="CZ39" s="311"/>
      <c r="DA39" s="183"/>
      <c r="DB39" s="277"/>
      <c r="DD39" s="300"/>
      <c r="DE39" s="300"/>
      <c r="DF39" s="200"/>
      <c r="DG39" s="200"/>
      <c r="DH39" s="200"/>
      <c r="DI39" s="182"/>
      <c r="DJ39" s="182"/>
      <c r="DK39" s="182"/>
      <c r="DL39" s="181"/>
      <c r="DN39" s="297"/>
      <c r="DO39" s="298"/>
      <c r="DP39" s="299"/>
      <c r="DQ39" s="299"/>
      <c r="DR39" s="299"/>
      <c r="DS39" s="299"/>
      <c r="DT39" s="299"/>
      <c r="DU39" s="299"/>
      <c r="DV39" s="302"/>
      <c r="DX39" s="182"/>
      <c r="DY39" s="182"/>
      <c r="DZ39" s="182"/>
      <c r="EA39" s="182"/>
      <c r="EB39" s="182"/>
      <c r="EC39" s="182"/>
      <c r="ED39" s="181"/>
      <c r="EF39" s="313"/>
      <c r="EG39" s="314"/>
      <c r="EH39" s="127" t="s">
        <v>85</v>
      </c>
      <c r="EI39" s="127" t="s">
        <v>107</v>
      </c>
      <c r="EJ39" s="126" t="s">
        <v>86</v>
      </c>
      <c r="EK39" s="126" t="s">
        <v>92</v>
      </c>
      <c r="EL39" s="128" t="s">
        <v>93</v>
      </c>
    </row>
    <row r="40" spans="1:142" ht="13.7" customHeight="1" x14ac:dyDescent="0.25">
      <c r="A40" s="251" t="s">
        <v>10</v>
      </c>
      <c r="B40" s="251"/>
      <c r="C40" s="251"/>
      <c r="D40" s="251"/>
      <c r="E40" s="251"/>
      <c r="F40" s="251"/>
      <c r="G40" s="251"/>
      <c r="H40" s="27">
        <v>1.7691905339150125E-2</v>
      </c>
      <c r="K40" s="25" t="s">
        <v>11</v>
      </c>
      <c r="L40" s="29"/>
      <c r="M40" s="29"/>
      <c r="N40" s="29"/>
      <c r="O40" s="29"/>
      <c r="P40" s="29"/>
      <c r="Q40" s="29"/>
      <c r="R40" s="29"/>
      <c r="CM40" s="255" t="s">
        <v>25</v>
      </c>
      <c r="CN40" s="16" t="s">
        <v>8</v>
      </c>
      <c r="CO40" s="87">
        <v>3.7835151335193462</v>
      </c>
      <c r="CP40" s="87">
        <v>4.877598332779872</v>
      </c>
      <c r="CQ40" s="281">
        <v>0.51</v>
      </c>
      <c r="CR40" s="90">
        <v>0.36404787329477722</v>
      </c>
      <c r="CS40" s="90">
        <v>3.9493583999999946</v>
      </c>
      <c r="CT40" s="90">
        <v>0.80454581316040341</v>
      </c>
      <c r="CU40" s="92">
        <v>14.289065552754394</v>
      </c>
      <c r="CV40" s="95">
        <f>CU40/0.9507</f>
        <v>15.030046863105495</v>
      </c>
      <c r="CW40" s="307" t="s">
        <v>25</v>
      </c>
      <c r="CX40" s="67" t="s">
        <v>8</v>
      </c>
      <c r="CY40" s="76">
        <f>CU5</f>
        <v>18.58121499341388</v>
      </c>
      <c r="CZ40" s="76">
        <f>CV40</f>
        <v>15.030046863105495</v>
      </c>
      <c r="DA40" s="97">
        <f>(CY40-CZ40)/CZ40</f>
        <v>0.23627126133754756</v>
      </c>
      <c r="DB40" s="99">
        <f>CY40-CZ40</f>
        <v>3.5511681303083851</v>
      </c>
      <c r="DD40" s="255" t="s">
        <v>25</v>
      </c>
      <c r="DE40" s="16" t="s">
        <v>8</v>
      </c>
      <c r="DF40" s="87">
        <f t="shared" ref="DF40:DL40" si="104">CO40/0.9507</f>
        <v>3.9797150873244411</v>
      </c>
      <c r="DG40" s="87">
        <f t="shared" si="104"/>
        <v>5.1305336412957523</v>
      </c>
      <c r="DH40" s="87">
        <f t="shared" si="104"/>
        <v>0.53644682865257176</v>
      </c>
      <c r="DI40" s="87">
        <f t="shared" si="104"/>
        <v>0.38292613158175787</v>
      </c>
      <c r="DJ40" s="87">
        <f t="shared" si="104"/>
        <v>4.1541584095929256</v>
      </c>
      <c r="DK40" s="87">
        <f t="shared" si="104"/>
        <v>0.84626676465804507</v>
      </c>
      <c r="DL40" s="87">
        <f t="shared" si="104"/>
        <v>15.030046863105495</v>
      </c>
      <c r="DN40" s="290" t="s">
        <v>25</v>
      </c>
      <c r="DO40" s="88" t="s">
        <v>8</v>
      </c>
      <c r="DP40" s="109">
        <f t="shared" ref="DP40:DP53" si="105">CY5-DF40</f>
        <v>-0.14979265941527142</v>
      </c>
      <c r="DQ40" s="109">
        <f t="shared" ref="DQ40:DQ53" si="106">CZ5-DG40</f>
        <v>2.4775921462505455</v>
      </c>
      <c r="DR40" s="109">
        <f t="shared" ref="DR40:DR53" si="107">DA5-DH40</f>
        <v>0.32548478693131289</v>
      </c>
      <c r="DS40" s="109">
        <f t="shared" ref="DS40:DS53" si="108">DB5-DI40</f>
        <v>0.26134770223889975</v>
      </c>
      <c r="DT40" s="109">
        <f t="shared" ref="DT40:DT53" si="109">DC5-DJ40</f>
        <v>0.56360677438970086</v>
      </c>
      <c r="DU40" s="109">
        <f t="shared" ref="DU40:DU53" si="110">DD5-DK40</f>
        <v>7.2929379913200587E-2</v>
      </c>
      <c r="DV40" s="110">
        <f t="shared" ref="DV40:DV53" si="111">DE5-DL40</f>
        <v>3.5511681303083851</v>
      </c>
      <c r="DX40" s="101">
        <f>DP40/$DV40</f>
        <v>-4.2181235559315342E-2</v>
      </c>
      <c r="DY40" s="101">
        <f t="shared" ref="DY40:ED40" si="112">DQ40/$DV40</f>
        <v>0.69768370725814954</v>
      </c>
      <c r="DZ40" s="101">
        <f t="shared" si="112"/>
        <v>9.1655696094301131E-2</v>
      </c>
      <c r="EA40" s="101">
        <f t="shared" si="112"/>
        <v>7.3594854608081933E-2</v>
      </c>
      <c r="EB40" s="101">
        <f t="shared" si="112"/>
        <v>0.15871024792643568</v>
      </c>
      <c r="EC40" s="101">
        <f t="shared" si="112"/>
        <v>2.0536729672347945E-2</v>
      </c>
      <c r="ED40" s="101">
        <f t="shared" si="112"/>
        <v>1</v>
      </c>
      <c r="EE40" s="96"/>
      <c r="EF40" s="306" t="s">
        <v>25</v>
      </c>
      <c r="EG40" s="88" t="s">
        <v>8</v>
      </c>
      <c r="EH40" s="73">
        <f>CY40</f>
        <v>18.58121499341388</v>
      </c>
      <c r="EI40" s="73">
        <f>CZ40</f>
        <v>15.030046863105495</v>
      </c>
      <c r="EJ40" s="133">
        <f>('[1]Avoided Costs'!$DG6*1.06)/0.9622</f>
        <v>9.8225061983196973</v>
      </c>
      <c r="EK40" s="133">
        <f>('[2]Avoided Costs'!$DV6*(105/102))/0.9622</f>
        <v>6.5946048624679694</v>
      </c>
      <c r="EL40" s="134">
        <f>('[2]Avoided Costs'!$DW$6*(105/102))/0.9622</f>
        <v>5.004767479508228</v>
      </c>
    </row>
    <row r="41" spans="1:142" ht="13.7" customHeight="1" x14ac:dyDescent="0.25">
      <c r="A41" s="193" t="s">
        <v>11</v>
      </c>
      <c r="B41" s="193"/>
      <c r="C41" s="193"/>
      <c r="D41" s="193"/>
      <c r="E41" s="193"/>
      <c r="F41" s="193"/>
      <c r="G41" s="193"/>
      <c r="H41" s="28">
        <v>3.3E-3</v>
      </c>
      <c r="K41" s="25" t="s">
        <v>12</v>
      </c>
      <c r="L41" s="29"/>
      <c r="M41" s="30"/>
      <c r="N41" s="30"/>
      <c r="O41" s="30"/>
      <c r="P41" s="34"/>
      <c r="Q41" s="34"/>
      <c r="R41" s="29"/>
      <c r="CM41" s="255"/>
      <c r="CN41" s="16" t="s">
        <v>9</v>
      </c>
      <c r="CO41" s="87">
        <v>3.7835151335193462</v>
      </c>
      <c r="CP41" s="87">
        <v>4.877598332779872</v>
      </c>
      <c r="CQ41" s="281"/>
      <c r="CR41" s="90">
        <v>0.36404787329477722</v>
      </c>
      <c r="CS41" s="90">
        <v>1.9875855999999974</v>
      </c>
      <c r="CT41" s="90">
        <v>0.60836853316040385</v>
      </c>
      <c r="CU41" s="92">
        <v>12.131115472754397</v>
      </c>
      <c r="CV41" s="95">
        <f t="shared" ref="CV41:CV53" si="113">CU41/0.9507</f>
        <v>12.760192987014197</v>
      </c>
      <c r="CW41" s="307"/>
      <c r="CX41" s="67" t="s">
        <v>9</v>
      </c>
      <c r="CY41" s="76">
        <f t="shared" ref="CY41:CY53" si="114">CU6</f>
        <v>16.003403428832524</v>
      </c>
      <c r="CZ41" s="76">
        <f t="shared" ref="CZ41:CZ53" si="115">CV41</f>
        <v>12.760192987014197</v>
      </c>
      <c r="DA41" s="97">
        <f t="shared" ref="DA41:DA53" si="116">(CY41-CZ41)/CZ41</f>
        <v>0.25416625321567471</v>
      </c>
      <c r="DB41" s="99">
        <f t="shared" ref="DB41:DB53" si="117">CY41-CZ41</f>
        <v>3.2432104418183272</v>
      </c>
      <c r="DD41" s="255"/>
      <c r="DE41" s="16" t="s">
        <v>9</v>
      </c>
      <c r="DF41" s="87">
        <f t="shared" ref="DF41:DJ53" si="118">CO41/0.9507</f>
        <v>3.9797150873244411</v>
      </c>
      <c r="DG41" s="87">
        <f t="shared" si="118"/>
        <v>5.1305336412957523</v>
      </c>
      <c r="DH41" s="87">
        <f>DH40</f>
        <v>0.53644682865257176</v>
      </c>
      <c r="DI41" s="87">
        <f t="shared" ref="DI41:DI45" si="119">CR41/0.9507</f>
        <v>0.38292613158175787</v>
      </c>
      <c r="DJ41" s="87">
        <f t="shared" ref="DJ41:DJ45" si="120">CS41/0.9507</f>
        <v>2.0906548858735641</v>
      </c>
      <c r="DK41" s="87">
        <f t="shared" ref="DK41:DK53" si="121">CT41/0.9507</f>
        <v>0.63991641228610907</v>
      </c>
      <c r="DL41" s="87">
        <f t="shared" ref="DL41:DL53" si="122">CU41/0.9507</f>
        <v>12.760192987014197</v>
      </c>
      <c r="DN41" s="291"/>
      <c r="DO41" s="16" t="s">
        <v>9</v>
      </c>
      <c r="DP41" s="106">
        <f t="shared" si="105"/>
        <v>-0.14979265941527142</v>
      </c>
      <c r="DQ41" s="106">
        <f t="shared" si="106"/>
        <v>2.4775921462505455</v>
      </c>
      <c r="DR41" s="106">
        <f t="shared" si="107"/>
        <v>0.32548478693131289</v>
      </c>
      <c r="DS41" s="106">
        <f t="shared" si="108"/>
        <v>0.26134770223889975</v>
      </c>
      <c r="DT41" s="106">
        <f t="shared" si="109"/>
        <v>0.28364523939873587</v>
      </c>
      <c r="DU41" s="106">
        <f t="shared" si="110"/>
        <v>4.49332264141038E-2</v>
      </c>
      <c r="DV41" s="111">
        <f t="shared" si="111"/>
        <v>3.2432104418183272</v>
      </c>
      <c r="DX41" s="101">
        <f t="shared" ref="DX41:DX53" si="123">DP41/$DV41</f>
        <v>-4.6186537106512639E-2</v>
      </c>
      <c r="DY41" s="101">
        <f t="shared" ref="DY41:DY53" si="124">DQ41/$DV41</f>
        <v>0.7639319713282211</v>
      </c>
      <c r="DZ41" s="101">
        <f t="shared" ref="DZ41:DZ53" si="125">DR41/$DV41</f>
        <v>0.10035882431015722</v>
      </c>
      <c r="EA41" s="101">
        <f t="shared" ref="EA41:EA53" si="126">DS41/$DV41</f>
        <v>8.0583023188706013E-2</v>
      </c>
      <c r="EB41" s="101">
        <f t="shared" ref="EB41:EB53" si="127">DT41/$DV41</f>
        <v>8.7458166679960592E-2</v>
      </c>
      <c r="EC41" s="101">
        <f t="shared" ref="EC41:EC53" si="128">DU41/$DV41</f>
        <v>1.38545515994675E-2</v>
      </c>
      <c r="ED41" s="101">
        <f t="shared" ref="ED41:ED53" si="129">DV41/$DV41</f>
        <v>1</v>
      </c>
      <c r="EE41" s="96"/>
      <c r="EF41" s="307"/>
      <c r="EG41" s="16" t="s">
        <v>9</v>
      </c>
      <c r="EH41" s="76">
        <f t="shared" ref="EH41:EH53" si="130">CY41</f>
        <v>16.003403428832524</v>
      </c>
      <c r="EI41" s="76">
        <f t="shared" ref="EI41:EI53" si="131">CZ41</f>
        <v>12.760192987014197</v>
      </c>
      <c r="EJ41" s="132">
        <f>('[1]Avoided Costs'!$DG7*1.06)/0.9622</f>
        <v>8.456372029124104</v>
      </c>
      <c r="EK41" s="132">
        <f>('[2]Avoided Costs'!$DV7*(105/102))/0.9622</f>
        <v>6.5946048624679694</v>
      </c>
      <c r="EL41" s="135">
        <f>('[2]Avoided Costs'!$DW$6*(105/102))/0.9622</f>
        <v>5.004767479508228</v>
      </c>
    </row>
    <row r="42" spans="1:142" ht="13.7" customHeight="1" x14ac:dyDescent="0.25">
      <c r="A42" s="251" t="s">
        <v>12</v>
      </c>
      <c r="B42" s="251"/>
      <c r="C42" s="251"/>
      <c r="D42" s="251"/>
      <c r="E42" s="251"/>
      <c r="F42" s="251"/>
      <c r="G42" s="251"/>
      <c r="H42" s="27">
        <v>3.5616438356164386E-3</v>
      </c>
      <c r="K42" s="25" t="s">
        <v>13</v>
      </c>
      <c r="L42" s="29"/>
      <c r="M42" s="30"/>
      <c r="N42" s="30"/>
      <c r="O42" s="30"/>
      <c r="P42" s="34"/>
      <c r="Q42" s="34"/>
      <c r="R42" s="29"/>
      <c r="CM42" s="255"/>
      <c r="CN42" s="16" t="s">
        <v>10</v>
      </c>
      <c r="CO42" s="87">
        <v>3.7835151335193462</v>
      </c>
      <c r="CP42" s="87">
        <v>4.877598332779872</v>
      </c>
      <c r="CQ42" s="281"/>
      <c r="CR42" s="90">
        <v>0.3247472506095454</v>
      </c>
      <c r="CS42" s="90">
        <v>4.7624615999999929</v>
      </c>
      <c r="CT42" s="90">
        <v>0.88192607089188024</v>
      </c>
      <c r="CU42" s="92">
        <v>15.140248387800638</v>
      </c>
      <c r="CV42" s="95">
        <f t="shared" si="113"/>
        <v>15.925369083623265</v>
      </c>
      <c r="CW42" s="307"/>
      <c r="CX42" s="67" t="s">
        <v>10</v>
      </c>
      <c r="CY42" s="76">
        <f t="shared" si="114"/>
        <v>19.573142532020206</v>
      </c>
      <c r="CZ42" s="76">
        <f t="shared" si="115"/>
        <v>15.925369083623265</v>
      </c>
      <c r="DA42" s="97">
        <f t="shared" si="116"/>
        <v>0.22905424855415768</v>
      </c>
      <c r="DB42" s="99">
        <f t="shared" si="117"/>
        <v>3.6477734483969417</v>
      </c>
      <c r="DD42" s="255"/>
      <c r="DE42" s="16" t="s">
        <v>10</v>
      </c>
      <c r="DF42" s="87">
        <f t="shared" si="118"/>
        <v>3.9797150873244411</v>
      </c>
      <c r="DG42" s="87">
        <f t="shared" si="118"/>
        <v>5.1305336412957523</v>
      </c>
      <c r="DH42" s="87">
        <f t="shared" ref="DH42:DH46" si="132">DH41</f>
        <v>0.53644682865257176</v>
      </c>
      <c r="DI42" s="87">
        <f t="shared" si="119"/>
        <v>0.34158751510418156</v>
      </c>
      <c r="DJ42" s="87">
        <f t="shared" si="120"/>
        <v>5.0094263174502922</v>
      </c>
      <c r="DK42" s="87">
        <f t="shared" si="121"/>
        <v>0.9276596937960242</v>
      </c>
      <c r="DL42" s="87">
        <f t="shared" si="122"/>
        <v>15.925369083623265</v>
      </c>
      <c r="DN42" s="291"/>
      <c r="DO42" s="16" t="s">
        <v>10</v>
      </c>
      <c r="DP42" s="106">
        <f t="shared" si="105"/>
        <v>-0.14979265941527142</v>
      </c>
      <c r="DQ42" s="106">
        <f t="shared" si="106"/>
        <v>2.4775921462505455</v>
      </c>
      <c r="DR42" s="106">
        <f t="shared" si="107"/>
        <v>0.32548478693131289</v>
      </c>
      <c r="DS42" s="106">
        <f t="shared" si="108"/>
        <v>0.23313402983810966</v>
      </c>
      <c r="DT42" s="106">
        <f t="shared" si="109"/>
        <v>0.67964346323463598</v>
      </c>
      <c r="DU42" s="106">
        <f t="shared" si="110"/>
        <v>8.1711681557614657E-2</v>
      </c>
      <c r="DV42" s="111">
        <f t="shared" si="111"/>
        <v>3.6477734483969417</v>
      </c>
      <c r="DX42" s="101">
        <f t="shared" si="123"/>
        <v>-4.1064134473893829E-2</v>
      </c>
      <c r="DY42" s="101">
        <f t="shared" si="124"/>
        <v>0.67920669452192906</v>
      </c>
      <c r="DZ42" s="101">
        <f t="shared" si="125"/>
        <v>8.9228344779567148E-2</v>
      </c>
      <c r="EA42" s="101">
        <f t="shared" si="126"/>
        <v>6.3911323753004248E-2</v>
      </c>
      <c r="EB42" s="101">
        <f t="shared" si="127"/>
        <v>0.1863173447718672</v>
      </c>
      <c r="EC42" s="101">
        <f t="shared" si="128"/>
        <v>2.2400426647527644E-2</v>
      </c>
      <c r="ED42" s="101">
        <f t="shared" si="129"/>
        <v>1</v>
      </c>
      <c r="EE42" s="96"/>
      <c r="EF42" s="307"/>
      <c r="EG42" s="16" t="s">
        <v>10</v>
      </c>
      <c r="EH42" s="76">
        <f t="shared" si="130"/>
        <v>19.573142532020206</v>
      </c>
      <c r="EI42" s="76">
        <f t="shared" si="131"/>
        <v>15.925369083623265</v>
      </c>
      <c r="EJ42" s="132">
        <f>('[1]Avoided Costs'!$DG8*1.06)/0.9622</f>
        <v>10.225224608954179</v>
      </c>
      <c r="EK42" s="132">
        <f>('[2]Avoided Costs'!$DV8*(105/102))/0.9622</f>
        <v>6.3934292365616319</v>
      </c>
      <c r="EL42" s="135">
        <f>('[2]Avoided Costs'!$DW$6*(105/102))/0.9622</f>
        <v>5.004767479508228</v>
      </c>
    </row>
    <row r="43" spans="1:142" ht="13.7" customHeight="1" x14ac:dyDescent="0.25">
      <c r="A43" s="193" t="s">
        <v>13</v>
      </c>
      <c r="B43" s="193"/>
      <c r="C43" s="193"/>
      <c r="D43" s="193"/>
      <c r="E43" s="193"/>
      <c r="F43" s="193"/>
      <c r="G43" s="193"/>
      <c r="H43" s="27">
        <v>2.7397260273972603E-3</v>
      </c>
      <c r="L43" s="29"/>
      <c r="M43" s="30"/>
      <c r="N43" s="30"/>
      <c r="O43" s="30"/>
      <c r="P43" s="30"/>
      <c r="Q43" s="30"/>
      <c r="R43" s="29"/>
      <c r="CM43" s="255"/>
      <c r="CN43" s="16" t="s">
        <v>11</v>
      </c>
      <c r="CO43" s="87">
        <v>3.6069361933842154</v>
      </c>
      <c r="CP43" s="87">
        <v>4.877598332779872</v>
      </c>
      <c r="CQ43" s="281"/>
      <c r="CR43" s="90">
        <v>6.8258976242770719E-2</v>
      </c>
      <c r="CS43" s="90">
        <v>1.0057484887631989</v>
      </c>
      <c r="CT43" s="90">
        <v>0.463639610080886</v>
      </c>
      <c r="CU43" s="92">
        <v>10.532181601250942</v>
      </c>
      <c r="CV43" s="95">
        <f t="shared" si="113"/>
        <v>11.078343958400065</v>
      </c>
      <c r="CW43" s="307"/>
      <c r="CX43" s="67" t="s">
        <v>11</v>
      </c>
      <c r="CY43" s="76">
        <f t="shared" si="114"/>
        <v>13.698170300160895</v>
      </c>
      <c r="CZ43" s="76">
        <f t="shared" si="115"/>
        <v>11.078343958400065</v>
      </c>
      <c r="DA43" s="97">
        <f t="shared" si="116"/>
        <v>0.23648176583056593</v>
      </c>
      <c r="DB43" s="99">
        <f t="shared" si="117"/>
        <v>2.6198263417608292</v>
      </c>
      <c r="DD43" s="255"/>
      <c r="DE43" s="16" t="s">
        <v>11</v>
      </c>
      <c r="DF43" s="87">
        <f t="shared" si="118"/>
        <v>3.793979376653219</v>
      </c>
      <c r="DG43" s="87">
        <f t="shared" si="118"/>
        <v>5.1305336412957523</v>
      </c>
      <c r="DH43" s="87">
        <f t="shared" si="132"/>
        <v>0.53644682865257176</v>
      </c>
      <c r="DI43" s="87">
        <f t="shared" si="119"/>
        <v>7.179864967157959E-2</v>
      </c>
      <c r="DJ43" s="87">
        <f t="shared" si="120"/>
        <v>1.0579031121943818</v>
      </c>
      <c r="DK43" s="87">
        <f t="shared" si="121"/>
        <v>0.48768234993256127</v>
      </c>
      <c r="DL43" s="87">
        <f t="shared" si="122"/>
        <v>11.078343958400065</v>
      </c>
      <c r="DN43" s="291"/>
      <c r="DO43" s="16" t="s">
        <v>11</v>
      </c>
      <c r="DP43" s="106">
        <f t="shared" si="105"/>
        <v>-0.21451444598236868</v>
      </c>
      <c r="DQ43" s="106">
        <f t="shared" si="106"/>
        <v>2.4775921462505455</v>
      </c>
      <c r="DR43" s="106">
        <f t="shared" si="107"/>
        <v>0.32548478693131289</v>
      </c>
      <c r="DS43" s="106">
        <f t="shared" si="108"/>
        <v>3.5401850328420303E-2</v>
      </c>
      <c r="DT43" s="106">
        <f t="shared" si="109"/>
        <v>8.2613635263235619E-3</v>
      </c>
      <c r="DU43" s="106">
        <f t="shared" si="110"/>
        <v>-1.2399359293405576E-2</v>
      </c>
      <c r="DV43" s="111">
        <f t="shared" si="111"/>
        <v>2.6198263417608292</v>
      </c>
      <c r="DX43" s="101">
        <f t="shared" si="123"/>
        <v>-8.1881169970292739E-2</v>
      </c>
      <c r="DY43" s="101">
        <f t="shared" si="124"/>
        <v>0.94570854058414966</v>
      </c>
      <c r="DZ43" s="101">
        <f t="shared" si="125"/>
        <v>0.12423906949212103</v>
      </c>
      <c r="EA43" s="101">
        <f t="shared" si="126"/>
        <v>1.3513052282933428E-2</v>
      </c>
      <c r="EB43" s="101">
        <f t="shared" si="127"/>
        <v>3.1534011986347772E-3</v>
      </c>
      <c r="EC43" s="101">
        <f t="shared" si="128"/>
        <v>-4.7328935875466304E-3</v>
      </c>
      <c r="ED43" s="101">
        <f t="shared" si="129"/>
        <v>1</v>
      </c>
      <c r="EE43" s="96"/>
      <c r="EF43" s="307"/>
      <c r="EG43" s="16" t="s">
        <v>11</v>
      </c>
      <c r="EH43" s="76">
        <f t="shared" si="130"/>
        <v>13.698170300160895</v>
      </c>
      <c r="EI43" s="76">
        <f t="shared" si="131"/>
        <v>11.078343958400065</v>
      </c>
      <c r="EJ43" s="132">
        <f>('[1]Avoided Costs'!$DG9*1.06)/0.9622</f>
        <v>6.3510074218093067</v>
      </c>
      <c r="EK43" s="132">
        <f>('[2]Avoided Costs'!$DV9*(105/102))/0.9622</f>
        <v>4.951030085402965</v>
      </c>
      <c r="EL43" s="135">
        <f>('[2]Avoided Costs'!$DW$6*(105/102))/0.9622</f>
        <v>5.004767479508228</v>
      </c>
    </row>
    <row r="44" spans="1:142" ht="15" customHeight="1" thickBot="1" x14ac:dyDescent="0.3">
      <c r="L44" s="29"/>
      <c r="M44" s="2"/>
      <c r="N44" s="2"/>
      <c r="O44" s="31"/>
      <c r="P44" s="2"/>
      <c r="Q44" s="31"/>
      <c r="R44" s="29"/>
      <c r="CM44" s="255"/>
      <c r="CN44" s="16" t="s">
        <v>12</v>
      </c>
      <c r="CO44" s="87">
        <v>3.5825110887582117</v>
      </c>
      <c r="CP44" s="87">
        <v>4.877598332779872</v>
      </c>
      <c r="CQ44" s="281"/>
      <c r="CR44" s="90">
        <v>7.3670958169864631E-2</v>
      </c>
      <c r="CS44" s="90">
        <v>2.7580799999999965</v>
      </c>
      <c r="CT44" s="90">
        <v>0.63698593815529847</v>
      </c>
      <c r="CU44" s="92">
        <v>12.438846317863243</v>
      </c>
      <c r="CV44" s="95">
        <f t="shared" si="113"/>
        <v>13.083881684930308</v>
      </c>
      <c r="CW44" s="307"/>
      <c r="CX44" s="67" t="s">
        <v>12</v>
      </c>
      <c r="CY44" s="76">
        <f t="shared" si="114"/>
        <v>15.722422107195081</v>
      </c>
      <c r="CZ44" s="76">
        <f t="shared" si="115"/>
        <v>13.083881684930308</v>
      </c>
      <c r="DA44" s="97">
        <f t="shared" si="116"/>
        <v>0.20166342724604266</v>
      </c>
      <c r="DB44" s="99">
        <f t="shared" si="117"/>
        <v>2.6385404222647733</v>
      </c>
      <c r="DD44" s="255"/>
      <c r="DE44" s="16" t="s">
        <v>12</v>
      </c>
      <c r="DF44" s="87">
        <f t="shared" si="118"/>
        <v>3.7682876709353232</v>
      </c>
      <c r="DG44" s="87">
        <f t="shared" si="118"/>
        <v>5.1305336412957523</v>
      </c>
      <c r="DH44" s="87">
        <f t="shared" si="132"/>
        <v>0.53644682865257176</v>
      </c>
      <c r="DI44" s="87">
        <f t="shared" si="119"/>
        <v>7.7491278184353252E-2</v>
      </c>
      <c r="DJ44" s="87">
        <f t="shared" si="120"/>
        <v>2.9011044493531046</v>
      </c>
      <c r="DK44" s="87">
        <f t="shared" si="121"/>
        <v>0.67001781650920211</v>
      </c>
      <c r="DL44" s="87">
        <f t="shared" si="122"/>
        <v>13.083881684930308</v>
      </c>
      <c r="DN44" s="291"/>
      <c r="DO44" s="16" t="s">
        <v>12</v>
      </c>
      <c r="DP44" s="106">
        <f t="shared" si="105"/>
        <v>-0.21468856637262679</v>
      </c>
      <c r="DQ44" s="106">
        <f t="shared" si="106"/>
        <v>2.4775921462505455</v>
      </c>
      <c r="DR44" s="106">
        <f t="shared" si="107"/>
        <v>0.32548478693131289</v>
      </c>
      <c r="DS44" s="106">
        <f t="shared" si="108"/>
        <v>3.8208721815646621E-2</v>
      </c>
      <c r="DT44" s="106">
        <f t="shared" si="109"/>
        <v>2.2655267961379622E-2</v>
      </c>
      <c r="DU44" s="106">
        <f t="shared" si="110"/>
        <v>-1.0711934321483763E-2</v>
      </c>
      <c r="DV44" s="111">
        <f t="shared" si="111"/>
        <v>2.6385404222647733</v>
      </c>
      <c r="DX44" s="101">
        <f t="shared" si="123"/>
        <v>-8.1366411733177213E-2</v>
      </c>
      <c r="DY44" s="101">
        <f t="shared" si="124"/>
        <v>0.93900101940599456</v>
      </c>
      <c r="DZ44" s="101">
        <f t="shared" si="125"/>
        <v>0.12335789294140706</v>
      </c>
      <c r="EA44" s="101">
        <f t="shared" si="126"/>
        <v>1.4481006807108312E-2</v>
      </c>
      <c r="EB44" s="101">
        <f t="shared" si="127"/>
        <v>8.5862879985494512E-3</v>
      </c>
      <c r="EC44" s="101">
        <f t="shared" si="128"/>
        <v>-4.0597954198818929E-3</v>
      </c>
      <c r="ED44" s="101">
        <f t="shared" si="129"/>
        <v>1</v>
      </c>
      <c r="EE44" s="96"/>
      <c r="EF44" s="307"/>
      <c r="EG44" s="16" t="s">
        <v>12</v>
      </c>
      <c r="EH44" s="76">
        <f t="shared" si="130"/>
        <v>15.722422107195081</v>
      </c>
      <c r="EI44" s="76">
        <f t="shared" si="131"/>
        <v>13.083881684930308</v>
      </c>
      <c r="EJ44" s="132">
        <f>('[1]Avoided Costs'!$DG10*1.06)/0.9622</f>
        <v>7.5685175221090981</v>
      </c>
      <c r="EK44" s="132">
        <f>('[2]Avoided Costs'!$DV10*(105/102))/0.9622</f>
        <v>4.951030085402965</v>
      </c>
      <c r="EL44" s="135">
        <f>('[2]Avoided Costs'!$DW$6*(105/102))/0.9622</f>
        <v>5.004767479508228</v>
      </c>
    </row>
    <row r="45" spans="1:142" ht="13.7" customHeight="1" thickBot="1" x14ac:dyDescent="0.3">
      <c r="A45" s="244" t="s">
        <v>36</v>
      </c>
      <c r="B45" s="245"/>
      <c r="C45" s="245"/>
      <c r="D45" s="245"/>
      <c r="E45" s="245"/>
      <c r="F45" s="245"/>
      <c r="G45" s="245"/>
      <c r="H45" s="246"/>
      <c r="I45" s="1" t="s">
        <v>37</v>
      </c>
      <c r="L45" s="29"/>
      <c r="M45" s="2"/>
      <c r="N45" s="2"/>
      <c r="O45" s="31"/>
      <c r="P45" s="2"/>
      <c r="Q45" s="31"/>
      <c r="R45" s="29"/>
      <c r="CM45" s="255"/>
      <c r="CN45" s="16" t="s">
        <v>13</v>
      </c>
      <c r="CO45" s="87">
        <v>3.5825110887582117</v>
      </c>
      <c r="CP45" s="87">
        <v>4.877598332779872</v>
      </c>
      <c r="CQ45" s="281"/>
      <c r="CR45" s="90">
        <v>5.6669967822972789E-2</v>
      </c>
      <c r="CS45" s="90">
        <v>0.44199999999999939</v>
      </c>
      <c r="CT45" s="90">
        <v>0.40367783912060973</v>
      </c>
      <c r="CU45" s="92">
        <v>9.8724572284816663</v>
      </c>
      <c r="CV45" s="95">
        <f t="shared" si="113"/>
        <v>10.384408571033624</v>
      </c>
      <c r="CW45" s="307"/>
      <c r="CX45" s="67" t="s">
        <v>13</v>
      </c>
      <c r="CY45" s="76">
        <f t="shared" si="114"/>
        <v>12.992322778573177</v>
      </c>
      <c r="CZ45" s="76">
        <f t="shared" si="115"/>
        <v>10.384408571033624</v>
      </c>
      <c r="DA45" s="97">
        <f t="shared" si="116"/>
        <v>0.25113748074339981</v>
      </c>
      <c r="DB45" s="99">
        <f t="shared" si="117"/>
        <v>2.6079142075395527</v>
      </c>
      <c r="DD45" s="255"/>
      <c r="DE45" s="16" t="s">
        <v>13</v>
      </c>
      <c r="DF45" s="87">
        <f t="shared" si="118"/>
        <v>3.7682876709353232</v>
      </c>
      <c r="DG45" s="87">
        <f t="shared" si="118"/>
        <v>5.1305336412957523</v>
      </c>
      <c r="DH45" s="87">
        <f t="shared" si="132"/>
        <v>0.53644682865257176</v>
      </c>
      <c r="DI45" s="87">
        <f t="shared" si="119"/>
        <v>5.960867552642557E-2</v>
      </c>
      <c r="DJ45" s="87">
        <f t="shared" si="120"/>
        <v>0.46492058483222826</v>
      </c>
      <c r="DK45" s="87">
        <f t="shared" si="121"/>
        <v>0.42461116979132191</v>
      </c>
      <c r="DL45" s="87">
        <f t="shared" si="122"/>
        <v>10.384408571033624</v>
      </c>
      <c r="DN45" s="291"/>
      <c r="DO45" s="16" t="s">
        <v>13</v>
      </c>
      <c r="DP45" s="106">
        <f t="shared" si="105"/>
        <v>-0.21468856637262679</v>
      </c>
      <c r="DQ45" s="106">
        <f t="shared" si="106"/>
        <v>2.4775921462505455</v>
      </c>
      <c r="DR45" s="106">
        <f t="shared" si="107"/>
        <v>0.32548478693131289</v>
      </c>
      <c r="DS45" s="106">
        <f t="shared" si="108"/>
        <v>2.9391324473574343E-2</v>
      </c>
      <c r="DT45" s="106">
        <f t="shared" si="109"/>
        <v>3.6306519168878837E-3</v>
      </c>
      <c r="DU45" s="106">
        <f t="shared" si="110"/>
        <v>-1.3496135660140685E-2</v>
      </c>
      <c r="DV45" s="111">
        <f t="shared" si="111"/>
        <v>2.6079142075395527</v>
      </c>
      <c r="DX45" s="101">
        <f t="shared" si="123"/>
        <v>-8.232194362527577E-2</v>
      </c>
      <c r="DY45" s="101">
        <f t="shared" si="124"/>
        <v>0.95002824060997004</v>
      </c>
      <c r="DZ45" s="101">
        <f t="shared" si="125"/>
        <v>0.12480655459843246</v>
      </c>
      <c r="EA45" s="101">
        <f t="shared" si="126"/>
        <v>1.1270050367685872E-2</v>
      </c>
      <c r="EB45" s="101">
        <f t="shared" si="127"/>
        <v>1.3921669303351958E-3</v>
      </c>
      <c r="EC45" s="101">
        <f t="shared" si="128"/>
        <v>-5.1750688811476164E-3</v>
      </c>
      <c r="ED45" s="101">
        <f t="shared" si="129"/>
        <v>1</v>
      </c>
      <c r="EE45" s="96"/>
      <c r="EF45" s="307"/>
      <c r="EG45" s="16" t="s">
        <v>13</v>
      </c>
      <c r="EH45" s="76">
        <f t="shared" si="130"/>
        <v>12.992322778573177</v>
      </c>
      <c r="EI45" s="76">
        <f t="shared" si="131"/>
        <v>10.384408571033624</v>
      </c>
      <c r="EJ45" s="132">
        <f>('[1]Avoided Costs'!$DG11*1.06)/0.9622</f>
        <v>5.8849200794151342</v>
      </c>
      <c r="EK45" s="132">
        <f>('[2]Avoided Costs'!$DV11*(105/102))/0.9622</f>
        <v>4.951030085402965</v>
      </c>
      <c r="EL45" s="135">
        <f>('[2]Avoided Costs'!$DW$6*(105/102))/0.9622</f>
        <v>5.004767479508228</v>
      </c>
    </row>
    <row r="46" spans="1:142" ht="13.7" customHeight="1" thickBot="1" x14ac:dyDescent="0.3">
      <c r="A46" s="247" t="s">
        <v>38</v>
      </c>
      <c r="B46" s="247"/>
      <c r="C46" s="247"/>
      <c r="D46" s="247"/>
      <c r="E46" s="247"/>
      <c r="F46" s="247"/>
      <c r="G46" s="247"/>
      <c r="H46" s="125">
        <v>1.1494104105689892E-3</v>
      </c>
      <c r="I46" s="26"/>
      <c r="L46" s="29"/>
      <c r="M46" s="2"/>
      <c r="N46" s="2"/>
      <c r="O46" s="31"/>
      <c r="P46" s="2"/>
      <c r="Q46" s="31"/>
      <c r="R46" s="29"/>
      <c r="CM46" s="255"/>
      <c r="CN46" s="16" t="s">
        <v>26</v>
      </c>
      <c r="CO46" s="87">
        <v>3.5825110887582117</v>
      </c>
      <c r="CP46" s="87">
        <v>4.877598332779872</v>
      </c>
      <c r="CQ46" s="281"/>
      <c r="CR46" s="90" t="s">
        <v>27</v>
      </c>
      <c r="CS46" s="90" t="s">
        <v>27</v>
      </c>
      <c r="CT46" s="90">
        <v>0.3538108423383125</v>
      </c>
      <c r="CU46" s="92">
        <v>9.3239202638763956</v>
      </c>
      <c r="CV46" s="95">
        <f t="shared" si="113"/>
        <v>9.8074263846391041</v>
      </c>
      <c r="CW46" s="307"/>
      <c r="CX46" s="67" t="s">
        <v>26</v>
      </c>
      <c r="CY46" s="76">
        <f t="shared" si="114"/>
        <v>12.379016418149149</v>
      </c>
      <c r="CZ46" s="76">
        <f t="shared" si="115"/>
        <v>9.8074263846391041</v>
      </c>
      <c r="DA46" s="97">
        <f t="shared" si="116"/>
        <v>0.26220844619724104</v>
      </c>
      <c r="DB46" s="99">
        <f t="shared" si="117"/>
        <v>2.571590033510045</v>
      </c>
      <c r="DD46" s="255"/>
      <c r="DE46" s="16" t="s">
        <v>26</v>
      </c>
      <c r="DF46" s="87">
        <f t="shared" si="118"/>
        <v>3.7682876709353232</v>
      </c>
      <c r="DG46" s="87">
        <f t="shared" si="118"/>
        <v>5.1305336412957523</v>
      </c>
      <c r="DH46" s="87">
        <f t="shared" si="132"/>
        <v>0.53644682865257176</v>
      </c>
      <c r="DI46" s="87">
        <v>0</v>
      </c>
      <c r="DJ46" s="87">
        <v>0</v>
      </c>
      <c r="DK46" s="87">
        <f t="shared" si="121"/>
        <v>0.37215824375545653</v>
      </c>
      <c r="DL46" s="87">
        <f t="shared" si="122"/>
        <v>9.8074263846391041</v>
      </c>
      <c r="DN46" s="292"/>
      <c r="DO46" s="102" t="s">
        <v>26</v>
      </c>
      <c r="DP46" s="112">
        <f t="shared" si="105"/>
        <v>-0.21468856637262679</v>
      </c>
      <c r="DQ46" s="112">
        <f t="shared" si="106"/>
        <v>2.4775921462505455</v>
      </c>
      <c r="DR46" s="112">
        <f t="shared" si="107"/>
        <v>0.32548478693131289</v>
      </c>
      <c r="DS46" s="112">
        <f t="shared" si="108"/>
        <v>0</v>
      </c>
      <c r="DT46" s="112">
        <f t="shared" si="109"/>
        <v>0</v>
      </c>
      <c r="DU46" s="112">
        <f t="shared" si="110"/>
        <v>-1.6798333299186785E-2</v>
      </c>
      <c r="DV46" s="113">
        <f t="shared" si="111"/>
        <v>2.571590033510045</v>
      </c>
      <c r="DX46" s="101">
        <f t="shared" si="123"/>
        <v>-8.3484755958394941E-2</v>
      </c>
      <c r="DY46" s="101">
        <f t="shared" si="124"/>
        <v>0.96344756122296882</v>
      </c>
      <c r="DZ46" s="101">
        <f t="shared" si="125"/>
        <v>0.12656946974049685</v>
      </c>
      <c r="EA46" s="101">
        <f t="shared" si="126"/>
        <v>0</v>
      </c>
      <c r="EB46" s="101">
        <f t="shared" si="127"/>
        <v>0</v>
      </c>
      <c r="EC46" s="101">
        <f t="shared" si="128"/>
        <v>-6.532275005070776E-3</v>
      </c>
      <c r="ED46" s="101">
        <f t="shared" si="129"/>
        <v>1</v>
      </c>
      <c r="EE46" s="96"/>
      <c r="EF46" s="308"/>
      <c r="EG46" s="102" t="s">
        <v>26</v>
      </c>
      <c r="EH46" s="79">
        <f t="shared" si="130"/>
        <v>12.379016418149149</v>
      </c>
      <c r="EI46" s="79">
        <f t="shared" si="131"/>
        <v>9.8074263846391041</v>
      </c>
      <c r="EJ46" s="136">
        <f>('[1]Avoided Costs'!$DG12*1.06)/0.9622</f>
        <v>5.3638477856593889</v>
      </c>
      <c r="EK46" s="136">
        <f>('[2]Avoided Costs'!$DV12*(105/102))/0.9622</f>
        <v>4.6982015999105196</v>
      </c>
      <c r="EL46" s="137">
        <f>('[2]Avoided Costs'!$DW$6*(105/102))/0.9622</f>
        <v>5.004767479508228</v>
      </c>
    </row>
    <row r="47" spans="1:142" ht="13.7" customHeight="1" x14ac:dyDescent="0.25">
      <c r="A47" s="248" t="s">
        <v>39</v>
      </c>
      <c r="B47" s="249"/>
      <c r="C47" s="249"/>
      <c r="D47" s="249"/>
      <c r="E47" s="249"/>
      <c r="F47" s="249"/>
      <c r="G47" s="250"/>
      <c r="H47" s="27">
        <v>5.7846144845628855E-4</v>
      </c>
      <c r="I47"/>
      <c r="L47" s="29"/>
      <c r="M47" s="2"/>
      <c r="N47" s="2"/>
      <c r="O47" s="31"/>
      <c r="P47" s="2"/>
      <c r="Q47" s="31"/>
      <c r="R47" s="29"/>
      <c r="CM47" s="255" t="s">
        <v>28</v>
      </c>
      <c r="CN47" s="16" t="s">
        <v>8</v>
      </c>
      <c r="CO47" s="87">
        <v>3.5064760136995621</v>
      </c>
      <c r="CP47" s="87">
        <v>5.82</v>
      </c>
      <c r="CQ47" s="281">
        <v>0.51</v>
      </c>
      <c r="CR47" s="90">
        <v>0.36404787329477722</v>
      </c>
      <c r="CS47" s="90">
        <v>6.5405663999999915</v>
      </c>
      <c r="CT47" s="90">
        <v>1.0636666131604031</v>
      </c>
      <c r="CU47" s="92">
        <v>17.80555633069519</v>
      </c>
      <c r="CV47" s="95">
        <f t="shared" si="113"/>
        <v>18.728890639208153</v>
      </c>
      <c r="CW47" s="307" t="s">
        <v>28</v>
      </c>
      <c r="CX47" s="67" t="s">
        <v>8</v>
      </c>
      <c r="CY47" s="76">
        <f t="shared" si="114"/>
        <v>20.640583421647115</v>
      </c>
      <c r="CZ47" s="76">
        <f t="shared" si="115"/>
        <v>18.728890639208153</v>
      </c>
      <c r="DA47" s="97">
        <f t="shared" si="116"/>
        <v>0.10207186422653955</v>
      </c>
      <c r="DB47" s="99">
        <f t="shared" si="117"/>
        <v>1.911692782438962</v>
      </c>
      <c r="DD47" s="255" t="s">
        <v>28</v>
      </c>
      <c r="DE47" s="16" t="s">
        <v>8</v>
      </c>
      <c r="DF47" s="87">
        <f t="shared" si="118"/>
        <v>3.6883096809714546</v>
      </c>
      <c r="DG47" s="87">
        <f t="shared" si="118"/>
        <v>6.1218049857999368</v>
      </c>
      <c r="DH47" s="87">
        <f t="shared" si="118"/>
        <v>0.53644682865257176</v>
      </c>
      <c r="DI47" s="87">
        <f t="shared" si="118"/>
        <v>0.38292613158175787</v>
      </c>
      <c r="DJ47" s="87">
        <f t="shared" si="118"/>
        <v>6.8797374566109095</v>
      </c>
      <c r="DK47" s="87">
        <f t="shared" si="121"/>
        <v>1.1188246693598434</v>
      </c>
      <c r="DL47" s="87">
        <f t="shared" si="122"/>
        <v>18.728890639208153</v>
      </c>
      <c r="DN47" s="290" t="s">
        <v>28</v>
      </c>
      <c r="DO47" s="88" t="s">
        <v>8</v>
      </c>
      <c r="DP47" s="109">
        <f t="shared" si="105"/>
        <v>0.14166891460095821</v>
      </c>
      <c r="DQ47" s="109">
        <f t="shared" si="106"/>
        <v>0.14073013541486645</v>
      </c>
      <c r="DR47" s="109">
        <f t="shared" si="107"/>
        <v>0.32548478693131289</v>
      </c>
      <c r="DS47" s="109">
        <f t="shared" si="108"/>
        <v>0.26134770223889975</v>
      </c>
      <c r="DT47" s="109">
        <f t="shared" si="109"/>
        <v>0.93339402455488507</v>
      </c>
      <c r="DU47" s="109">
        <f t="shared" si="110"/>
        <v>0.10990810492971836</v>
      </c>
      <c r="DV47" s="110">
        <f t="shared" si="111"/>
        <v>1.911692782438962</v>
      </c>
      <c r="DX47" s="101">
        <f t="shared" si="123"/>
        <v>7.4106527943373413E-2</v>
      </c>
      <c r="DY47" s="101">
        <f t="shared" si="124"/>
        <v>7.3615455740394201E-2</v>
      </c>
      <c r="DZ47" s="101">
        <f t="shared" si="125"/>
        <v>0.17025998629134084</v>
      </c>
      <c r="EA47" s="101">
        <f t="shared" si="126"/>
        <v>0.13671009517830005</v>
      </c>
      <c r="EB47" s="101">
        <f t="shared" si="127"/>
        <v>0.48825524327399983</v>
      </c>
      <c r="EC47" s="101">
        <f t="shared" si="128"/>
        <v>5.7492556303684009E-2</v>
      </c>
      <c r="ED47" s="101">
        <f t="shared" si="129"/>
        <v>1</v>
      </c>
      <c r="EE47" s="96"/>
      <c r="EF47" s="306" t="s">
        <v>28</v>
      </c>
      <c r="EG47" s="88" t="s">
        <v>8</v>
      </c>
      <c r="EH47" s="73">
        <f t="shared" si="130"/>
        <v>20.640583421647115</v>
      </c>
      <c r="EI47" s="73">
        <f>CZ47</f>
        <v>18.728890639208153</v>
      </c>
      <c r="EJ47" s="133">
        <f>('[1]Avoided Costs'!$DG13*1.06)/0.9622</f>
        <v>12.112336710570297</v>
      </c>
      <c r="EK47" s="133">
        <f>('[2]Avoided Costs'!$DV14*(105/102))/0.9622</f>
        <v>7.6653213556099695</v>
      </c>
      <c r="EL47" s="134">
        <v>5.0093535647474541</v>
      </c>
    </row>
    <row r="48" spans="1:142" ht="13.7" customHeight="1" x14ac:dyDescent="0.25">
      <c r="A48" s="251" t="s">
        <v>10</v>
      </c>
      <c r="B48" s="251"/>
      <c r="C48" s="251"/>
      <c r="D48" s="251"/>
      <c r="E48" s="251"/>
      <c r="F48" s="251"/>
      <c r="G48" s="251"/>
      <c r="H48" s="27">
        <v>1.3860537303920163E-3</v>
      </c>
      <c r="L48" s="29"/>
      <c r="M48" s="2"/>
      <c r="N48" s="2"/>
      <c r="O48" s="31"/>
      <c r="P48" s="2"/>
      <c r="Q48" s="31"/>
      <c r="R48" s="29"/>
      <c r="CM48" s="255"/>
      <c r="CN48" s="16" t="s">
        <v>9</v>
      </c>
      <c r="CO48" s="87">
        <v>3.5064760136995621</v>
      </c>
      <c r="CP48" s="87">
        <v>5.82</v>
      </c>
      <c r="CQ48" s="281"/>
      <c r="CR48" s="90">
        <v>0.36404787329477722</v>
      </c>
      <c r="CS48" s="90">
        <v>3.2916575999999953</v>
      </c>
      <c r="CT48" s="90">
        <v>0.73877573316040324</v>
      </c>
      <c r="CU48" s="92">
        <v>14.231756650695193</v>
      </c>
      <c r="CV48" s="95">
        <f t="shared" si="113"/>
        <v>14.969766120432515</v>
      </c>
      <c r="CW48" s="307"/>
      <c r="CX48" s="67" t="s">
        <v>9</v>
      </c>
      <c r="CY48" s="76">
        <f t="shared" si="114"/>
        <v>16.371447527363056</v>
      </c>
      <c r="CZ48" s="76">
        <f t="shared" si="115"/>
        <v>14.969766120432515</v>
      </c>
      <c r="DA48" s="97">
        <f t="shared" si="116"/>
        <v>9.3634155380514561E-2</v>
      </c>
      <c r="DB48" s="99">
        <f t="shared" si="117"/>
        <v>1.4016814069305408</v>
      </c>
      <c r="DD48" s="255"/>
      <c r="DE48" s="16" t="s">
        <v>9</v>
      </c>
      <c r="DF48" s="87">
        <f t="shared" si="118"/>
        <v>3.6883096809714546</v>
      </c>
      <c r="DG48" s="87">
        <f t="shared" si="118"/>
        <v>6.1218049857999368</v>
      </c>
      <c r="DH48" s="87">
        <f>DH47</f>
        <v>0.53644682865257176</v>
      </c>
      <c r="DI48" s="87">
        <f t="shared" si="118"/>
        <v>0.38292613158175787</v>
      </c>
      <c r="DJ48" s="87">
        <f t="shared" si="118"/>
        <v>3.4623515304512416</v>
      </c>
      <c r="DK48" s="87">
        <f t="shared" si="121"/>
        <v>0.77708607674387631</v>
      </c>
      <c r="DL48" s="87">
        <f t="shared" si="122"/>
        <v>14.969766120432515</v>
      </c>
      <c r="DN48" s="291"/>
      <c r="DO48" s="16" t="s">
        <v>9</v>
      </c>
      <c r="DP48" s="106">
        <f t="shared" si="105"/>
        <v>0.14166891460095821</v>
      </c>
      <c r="DQ48" s="106">
        <f t="shared" si="106"/>
        <v>0.14073013541486645</v>
      </c>
      <c r="DR48" s="106">
        <f t="shared" si="107"/>
        <v>0.32548478693131289</v>
      </c>
      <c r="DS48" s="106">
        <f t="shared" si="108"/>
        <v>0.26134770223889975</v>
      </c>
      <c r="DT48" s="106">
        <f t="shared" si="109"/>
        <v>0.46974731954722859</v>
      </c>
      <c r="DU48" s="106">
        <f t="shared" si="110"/>
        <v>6.3543434428953605E-2</v>
      </c>
      <c r="DV48" s="111">
        <f t="shared" si="111"/>
        <v>1.4016814069305408</v>
      </c>
      <c r="DX48" s="101">
        <f t="shared" si="123"/>
        <v>0.10107069545225016</v>
      </c>
      <c r="DY48" s="101">
        <f t="shared" si="124"/>
        <v>0.10040094326644673</v>
      </c>
      <c r="DZ48" s="101">
        <f t="shared" si="125"/>
        <v>0.23221024786514988</v>
      </c>
      <c r="EA48" s="101">
        <f t="shared" si="126"/>
        <v>0.18645299919559441</v>
      </c>
      <c r="EB48" s="101">
        <f t="shared" si="127"/>
        <v>0.33513130531987328</v>
      </c>
      <c r="EC48" s="101">
        <f t="shared" si="128"/>
        <v>4.5333721425401236E-2</v>
      </c>
      <c r="ED48" s="101">
        <f t="shared" si="129"/>
        <v>1</v>
      </c>
      <c r="EE48" s="96"/>
      <c r="EF48" s="307"/>
      <c r="EG48" s="16" t="s">
        <v>9</v>
      </c>
      <c r="EH48" s="76">
        <f t="shared" si="130"/>
        <v>16.371447527363056</v>
      </c>
      <c r="EI48" s="76">
        <f t="shared" si="131"/>
        <v>14.969766120432515</v>
      </c>
      <c r="EJ48" s="132">
        <f>('[1]Avoided Costs'!$DG14*1.06)/0.9622</f>
        <v>9.6530126954481617</v>
      </c>
      <c r="EK48" s="132">
        <f>('[2]Avoided Costs'!$DV15*(105/102))/0.9622</f>
        <v>7.6653213556099695</v>
      </c>
      <c r="EL48" s="135">
        <v>5.0093535647474541</v>
      </c>
    </row>
    <row r="49" spans="1:158" ht="13.7" customHeight="1" x14ac:dyDescent="0.25">
      <c r="A49" s="193" t="s">
        <v>11</v>
      </c>
      <c r="B49" s="193"/>
      <c r="C49" s="193"/>
      <c r="D49" s="193"/>
      <c r="E49" s="193"/>
      <c r="F49" s="193"/>
      <c r="G49" s="193"/>
      <c r="H49" s="28">
        <v>2.5975446000000001E-4</v>
      </c>
      <c r="L49" s="29"/>
      <c r="M49" s="2"/>
      <c r="N49" s="2"/>
      <c r="O49" s="31"/>
      <c r="P49" s="2"/>
      <c r="Q49" s="31"/>
      <c r="R49" s="29"/>
      <c r="CM49" s="255"/>
      <c r="CN49" s="16" t="s">
        <v>10</v>
      </c>
      <c r="CO49" s="87">
        <v>3.5064760136995621</v>
      </c>
      <c r="CP49" s="87">
        <v>5.82</v>
      </c>
      <c r="CQ49" s="281"/>
      <c r="CR49" s="90">
        <v>0.3247472506095454</v>
      </c>
      <c r="CS49" s="90">
        <v>7.8871535999999907</v>
      </c>
      <c r="CT49" s="90">
        <v>1.1943952708918795</v>
      </c>
      <c r="CU49" s="92">
        <v>19.24357156574143</v>
      </c>
      <c r="CV49" s="95">
        <f t="shared" si="113"/>
        <v>20.241476349785874</v>
      </c>
      <c r="CW49" s="307"/>
      <c r="CX49" s="67" t="s">
        <v>10</v>
      </c>
      <c r="CY49" s="76">
        <f t="shared" si="114"/>
        <v>22.333520386380226</v>
      </c>
      <c r="CZ49" s="76">
        <f t="shared" si="115"/>
        <v>20.241476349785874</v>
      </c>
      <c r="DA49" s="97">
        <f t="shared" si="116"/>
        <v>0.10335432062575232</v>
      </c>
      <c r="DB49" s="99">
        <f t="shared" si="117"/>
        <v>2.092044036594352</v>
      </c>
      <c r="DD49" s="255"/>
      <c r="DE49" s="16" t="s">
        <v>10</v>
      </c>
      <c r="DF49" s="87">
        <f t="shared" si="118"/>
        <v>3.6883096809714546</v>
      </c>
      <c r="DG49" s="87">
        <f t="shared" si="118"/>
        <v>6.1218049857999368</v>
      </c>
      <c r="DH49" s="87">
        <f t="shared" ref="DH49:DH53" si="133">DH48</f>
        <v>0.53644682865257176</v>
      </c>
      <c r="DI49" s="87">
        <f t="shared" si="118"/>
        <v>0.34158751510418156</v>
      </c>
      <c r="DJ49" s="87">
        <f t="shared" si="118"/>
        <v>8.2961539917955101</v>
      </c>
      <c r="DK49" s="87">
        <f t="shared" si="121"/>
        <v>1.2563324612305453</v>
      </c>
      <c r="DL49" s="87">
        <f t="shared" si="122"/>
        <v>20.241476349785874</v>
      </c>
      <c r="DN49" s="291"/>
      <c r="DO49" s="16" t="s">
        <v>10</v>
      </c>
      <c r="DP49" s="106">
        <f t="shared" si="105"/>
        <v>0.14166891460095821</v>
      </c>
      <c r="DQ49" s="106">
        <f t="shared" si="106"/>
        <v>0.14073013541486645</v>
      </c>
      <c r="DR49" s="106">
        <f t="shared" si="107"/>
        <v>0.32548478693131289</v>
      </c>
      <c r="DS49" s="106">
        <f t="shared" si="108"/>
        <v>0.23313402983810966</v>
      </c>
      <c r="DT49" s="106">
        <f t="shared" si="109"/>
        <v>1.1255633825514781</v>
      </c>
      <c r="DU49" s="106">
        <f t="shared" si="110"/>
        <v>0.12630367348929927</v>
      </c>
      <c r="DV49" s="111">
        <f t="shared" si="111"/>
        <v>2.092044036594352</v>
      </c>
      <c r="DX49" s="101">
        <f t="shared" si="123"/>
        <v>6.7717940981577837E-2</v>
      </c>
      <c r="DY49" s="101">
        <f t="shared" si="124"/>
        <v>6.7269203206621636E-2</v>
      </c>
      <c r="DZ49" s="101">
        <f t="shared" si="125"/>
        <v>0.15558218719963995</v>
      </c>
      <c r="EA49" s="101">
        <f t="shared" si="126"/>
        <v>0.11143839506248138</v>
      </c>
      <c r="EB49" s="101">
        <f t="shared" si="127"/>
        <v>0.53802088429447592</v>
      </c>
      <c r="EC49" s="101">
        <f t="shared" si="128"/>
        <v>6.0373334059884133E-2</v>
      </c>
      <c r="ED49" s="101">
        <f t="shared" si="129"/>
        <v>1</v>
      </c>
      <c r="EE49" s="96"/>
      <c r="EF49" s="307"/>
      <c r="EG49" s="16" t="s">
        <v>10</v>
      </c>
      <c r="EH49" s="76">
        <f t="shared" si="130"/>
        <v>22.333520386380226</v>
      </c>
      <c r="EI49" s="76">
        <f t="shared" si="131"/>
        <v>20.241476349785874</v>
      </c>
      <c r="EJ49" s="132">
        <f>('[1]Avoided Costs'!$DG15*1.06)/0.9622</f>
        <v>12.973222689628834</v>
      </c>
      <c r="EK49" s="132">
        <f>('[2]Avoided Costs'!$DV16*(105/102))/0.9622</f>
        <v>7.3969554040735321</v>
      </c>
      <c r="EL49" s="135">
        <v>5.0093535647474541</v>
      </c>
    </row>
    <row r="50" spans="1:158" ht="13.7" customHeight="1" x14ac:dyDescent="0.25">
      <c r="A50" s="251" t="s">
        <v>12</v>
      </c>
      <c r="B50" s="251"/>
      <c r="C50" s="251"/>
      <c r="D50" s="251"/>
      <c r="E50" s="251"/>
      <c r="F50" s="251"/>
      <c r="G50" s="251"/>
      <c r="H50" s="27">
        <v>7.1232876712328777E-4</v>
      </c>
      <c r="J50" s="142"/>
      <c r="K50" s="142"/>
      <c r="L50" s="29"/>
      <c r="M50" s="2"/>
      <c r="N50" s="2"/>
      <c r="O50" s="31"/>
      <c r="P50" s="2"/>
      <c r="Q50" s="31"/>
      <c r="R50" s="29"/>
      <c r="CM50" s="255"/>
      <c r="CN50" s="16" t="s">
        <v>11</v>
      </c>
      <c r="CO50" s="87">
        <v>3.3356109604112452</v>
      </c>
      <c r="CP50" s="87">
        <v>5.82</v>
      </c>
      <c r="CQ50" s="281"/>
      <c r="CR50" s="90">
        <v>6.8258976242770719E-2</v>
      </c>
      <c r="CS50" s="90">
        <v>1.6656287189471974</v>
      </c>
      <c r="CT50" s="90">
        <v>0.52962763309928607</v>
      </c>
      <c r="CU50" s="92">
        <v>11.929925719240952</v>
      </c>
      <c r="CV50" s="95">
        <f t="shared" si="113"/>
        <v>12.548570231661882</v>
      </c>
      <c r="CW50" s="307"/>
      <c r="CX50" s="67" t="s">
        <v>11</v>
      </c>
      <c r="CY50" s="76">
        <f t="shared" si="114"/>
        <v>13.038563620987254</v>
      </c>
      <c r="CZ50" s="76">
        <f t="shared" si="115"/>
        <v>12.548570231661882</v>
      </c>
      <c r="DA50" s="97">
        <f t="shared" si="116"/>
        <v>3.9047746498564982E-2</v>
      </c>
      <c r="DB50" s="99">
        <f t="shared" si="117"/>
        <v>0.48999338932537206</v>
      </c>
      <c r="DD50" s="255"/>
      <c r="DE50" s="16" t="s">
        <v>11</v>
      </c>
      <c r="DF50" s="87">
        <f t="shared" si="118"/>
        <v>3.5085841594732776</v>
      </c>
      <c r="DG50" s="87">
        <f t="shared" si="118"/>
        <v>6.1218049857999368</v>
      </c>
      <c r="DH50" s="87">
        <f t="shared" si="133"/>
        <v>0.53644682865257176</v>
      </c>
      <c r="DI50" s="87">
        <f t="shared" si="118"/>
        <v>7.179864967157959E-2</v>
      </c>
      <c r="DJ50" s="87">
        <f t="shared" si="118"/>
        <v>1.7520024391997449</v>
      </c>
      <c r="DK50" s="87">
        <f t="shared" si="121"/>
        <v>0.55709228263309785</v>
      </c>
      <c r="DL50" s="87">
        <f t="shared" si="122"/>
        <v>12.548570231661882</v>
      </c>
      <c r="DN50" s="291"/>
      <c r="DO50" s="16" t="s">
        <v>11</v>
      </c>
      <c r="DP50" s="106">
        <f t="shared" si="105"/>
        <v>-1.2606888148880113E-2</v>
      </c>
      <c r="DQ50" s="106">
        <f t="shared" si="106"/>
        <v>0.14073013541486645</v>
      </c>
      <c r="DR50" s="106">
        <f t="shared" si="107"/>
        <v>0.32548478693131289</v>
      </c>
      <c r="DS50" s="106">
        <f t="shared" si="108"/>
        <v>3.5401850328420303E-2</v>
      </c>
      <c r="DT50" s="106">
        <f t="shared" si="109"/>
        <v>1.368171516124228E-2</v>
      </c>
      <c r="DU50" s="106">
        <f t="shared" si="110"/>
        <v>-1.1857324129913915E-2</v>
      </c>
      <c r="DV50" s="111">
        <f t="shared" si="111"/>
        <v>0.48999338932537206</v>
      </c>
      <c r="DX50" s="101">
        <f t="shared" si="123"/>
        <v>-2.5728690271183876E-2</v>
      </c>
      <c r="DY50" s="101">
        <f t="shared" si="124"/>
        <v>0.28720823276539537</v>
      </c>
      <c r="DZ50" s="101">
        <f t="shared" si="125"/>
        <v>0.66426362890210355</v>
      </c>
      <c r="EA50" s="101">
        <f t="shared" si="126"/>
        <v>7.2249648872124442E-2</v>
      </c>
      <c r="EB50" s="101">
        <f t="shared" si="127"/>
        <v>2.7922244379826034E-2</v>
      </c>
      <c r="EC50" s="101">
        <f t="shared" si="128"/>
        <v>-2.4198947145469045E-2</v>
      </c>
      <c r="ED50" s="101">
        <f t="shared" si="129"/>
        <v>1</v>
      </c>
      <c r="EE50" s="96"/>
      <c r="EF50" s="307"/>
      <c r="EG50" s="16" t="s">
        <v>11</v>
      </c>
      <c r="EH50" s="76">
        <f t="shared" si="130"/>
        <v>13.038563620987254</v>
      </c>
      <c r="EI50" s="76">
        <f t="shared" si="131"/>
        <v>12.548570231661882</v>
      </c>
      <c r="EJ50" s="132">
        <f>('[1]Avoided Costs'!$DG16*1.06)/0.9622</f>
        <v>7.2296961078298132</v>
      </c>
      <c r="EK50" s="132">
        <f>('[2]Avoided Costs'!$DV17*(105/102))/0.9622</f>
        <v>5.4728116667190614</v>
      </c>
      <c r="EL50" s="135">
        <v>5.0093535647474541</v>
      </c>
    </row>
    <row r="51" spans="1:158" ht="13.7" customHeight="1" x14ac:dyDescent="0.25">
      <c r="A51" s="193" t="s">
        <v>13</v>
      </c>
      <c r="B51" s="193"/>
      <c r="C51" s="193"/>
      <c r="D51" s="193"/>
      <c r="E51" s="193"/>
      <c r="F51" s="193"/>
      <c r="G51" s="193"/>
      <c r="H51" s="27">
        <v>1.1415525114155251E-4</v>
      </c>
      <c r="L51" s="29"/>
      <c r="M51" s="2"/>
      <c r="N51" s="2"/>
      <c r="O51" s="31"/>
      <c r="P51" s="2"/>
      <c r="Q51" s="31"/>
      <c r="R51" s="29"/>
      <c r="CM51" s="255"/>
      <c r="CN51" s="16" t="s">
        <v>12</v>
      </c>
      <c r="CO51" s="87">
        <v>3.312132811500335</v>
      </c>
      <c r="CP51" s="87">
        <v>5.82</v>
      </c>
      <c r="CQ51" s="281"/>
      <c r="CR51" s="90">
        <v>7.3670958169864631E-2</v>
      </c>
      <c r="CS51" s="90">
        <v>4.5676799999999949</v>
      </c>
      <c r="CT51" s="90">
        <v>0.81794593815529837</v>
      </c>
      <c r="CU51" s="92">
        <v>15.102229138365947</v>
      </c>
      <c r="CV51" s="95">
        <f t="shared" si="113"/>
        <v>15.885378287962499</v>
      </c>
      <c r="CW51" s="307"/>
      <c r="CX51" s="67" t="s">
        <v>12</v>
      </c>
      <c r="CY51" s="76">
        <f t="shared" si="114"/>
        <v>16.40277835841934</v>
      </c>
      <c r="CZ51" s="76">
        <f t="shared" si="115"/>
        <v>15.885378287962499</v>
      </c>
      <c r="DA51" s="97">
        <f t="shared" si="116"/>
        <v>3.2570837223870969E-2</v>
      </c>
      <c r="DB51" s="99">
        <f t="shared" si="117"/>
        <v>0.51740007045684067</v>
      </c>
      <c r="DD51" s="255"/>
      <c r="DE51" s="16" t="s">
        <v>12</v>
      </c>
      <c r="DF51" s="87">
        <f t="shared" si="118"/>
        <v>3.4838885153048649</v>
      </c>
      <c r="DG51" s="87">
        <f t="shared" si="118"/>
        <v>6.1218049857999368</v>
      </c>
      <c r="DH51" s="87">
        <f t="shared" si="133"/>
        <v>0.53644682865257176</v>
      </c>
      <c r="DI51" s="87">
        <f t="shared" si="118"/>
        <v>7.7491278184353252E-2</v>
      </c>
      <c r="DJ51" s="87">
        <f t="shared" si="118"/>
        <v>4.8045440201956398</v>
      </c>
      <c r="DK51" s="87">
        <f t="shared" si="121"/>
        <v>0.86036177359345578</v>
      </c>
      <c r="DL51" s="87">
        <f t="shared" si="122"/>
        <v>15.885378287962499</v>
      </c>
      <c r="DN51" s="291"/>
      <c r="DO51" s="16" t="s">
        <v>12</v>
      </c>
      <c r="DP51" s="106">
        <f t="shared" si="105"/>
        <v>-1.4476768804789319E-2</v>
      </c>
      <c r="DQ51" s="106">
        <f t="shared" si="106"/>
        <v>0.14073013541486645</v>
      </c>
      <c r="DR51" s="106">
        <f t="shared" si="107"/>
        <v>0.32548478693131289</v>
      </c>
      <c r="DS51" s="106">
        <f t="shared" si="108"/>
        <v>3.8208721815646621E-2</v>
      </c>
      <c r="DT51" s="106">
        <f t="shared" si="109"/>
        <v>3.7519584044638954E-2</v>
      </c>
      <c r="DU51" s="106">
        <f t="shared" si="110"/>
        <v>-9.2255027131583622E-3</v>
      </c>
      <c r="DV51" s="111">
        <f t="shared" si="111"/>
        <v>0.51740007045684067</v>
      </c>
      <c r="DX51" s="101">
        <f t="shared" si="123"/>
        <v>-2.7979835395087971E-2</v>
      </c>
      <c r="DY51" s="101">
        <f t="shared" si="124"/>
        <v>0.27199481300922157</v>
      </c>
      <c r="DZ51" s="101">
        <f t="shared" si="125"/>
        <v>0.62907758525027768</v>
      </c>
      <c r="EA51" s="101">
        <f t="shared" si="126"/>
        <v>7.3847538872404986E-2</v>
      </c>
      <c r="EB51" s="101">
        <f t="shared" si="127"/>
        <v>7.2515614486698604E-2</v>
      </c>
      <c r="EC51" s="101">
        <f t="shared" si="128"/>
        <v>-1.7830501462848012E-2</v>
      </c>
      <c r="ED51" s="101">
        <f t="shared" si="129"/>
        <v>1</v>
      </c>
      <c r="EE51" s="96"/>
      <c r="EF51" s="307"/>
      <c r="EG51" s="16" t="s">
        <v>12</v>
      </c>
      <c r="EH51" s="76">
        <f t="shared" si="130"/>
        <v>16.40277835841934</v>
      </c>
      <c r="EI51" s="76">
        <f t="shared" si="131"/>
        <v>15.885378287962499</v>
      </c>
      <c r="EJ51" s="132">
        <f>('[1]Avoided Costs'!$DG17*1.06)/0.9622</f>
        <v>9.2319669635242629</v>
      </c>
      <c r="EK51" s="132">
        <f>('[2]Avoided Costs'!$DV18*(105/102))/0.9622</f>
        <v>5.4728116667190614</v>
      </c>
      <c r="EL51" s="135">
        <v>5.0093535647474541</v>
      </c>
    </row>
    <row r="52" spans="1:158" ht="13.7" customHeight="1" x14ac:dyDescent="0.25">
      <c r="L52" s="29"/>
      <c r="M52" s="2"/>
      <c r="N52" s="2"/>
      <c r="O52" s="31"/>
      <c r="P52" s="2"/>
      <c r="Q52" s="31"/>
      <c r="R52" s="29"/>
      <c r="CM52" s="255"/>
      <c r="CN52" s="16" t="s">
        <v>13</v>
      </c>
      <c r="CO52" s="87">
        <v>3.312132811500335</v>
      </c>
      <c r="CP52" s="87">
        <v>5.82</v>
      </c>
      <c r="CQ52" s="281"/>
      <c r="CR52" s="90">
        <v>5.6669967822972789E-2</v>
      </c>
      <c r="CS52" s="90">
        <v>0.73199999999999898</v>
      </c>
      <c r="CT52" s="90">
        <v>0.43267783912060964</v>
      </c>
      <c r="CU52" s="92">
        <v>10.864280048984371</v>
      </c>
      <c r="CV52" s="95">
        <f t="shared" si="113"/>
        <v>11.427663878178574</v>
      </c>
      <c r="CW52" s="307"/>
      <c r="CX52" s="67" t="s">
        <v>13</v>
      </c>
      <c r="CY52" s="76">
        <f t="shared" si="114"/>
        <v>11.900707298348673</v>
      </c>
      <c r="CZ52" s="76">
        <f t="shared" si="115"/>
        <v>11.427663878178574</v>
      </c>
      <c r="DA52" s="97">
        <f t="shared" si="116"/>
        <v>4.1394586436287059E-2</v>
      </c>
      <c r="DB52" s="99">
        <f t="shared" si="117"/>
        <v>0.47304342017009837</v>
      </c>
      <c r="DD52" s="255"/>
      <c r="DE52" s="16" t="s">
        <v>13</v>
      </c>
      <c r="DF52" s="87">
        <f t="shared" si="118"/>
        <v>3.4838885153048649</v>
      </c>
      <c r="DG52" s="87">
        <f t="shared" si="118"/>
        <v>6.1218049857999368</v>
      </c>
      <c r="DH52" s="87">
        <f t="shared" si="133"/>
        <v>0.53644682865257176</v>
      </c>
      <c r="DI52" s="87">
        <f t="shared" si="118"/>
        <v>5.960867552642557E-2</v>
      </c>
      <c r="DJ52" s="87">
        <f t="shared" si="118"/>
        <v>0.76995897759545495</v>
      </c>
      <c r="DK52" s="87">
        <f t="shared" si="121"/>
        <v>0.45511500906764452</v>
      </c>
      <c r="DL52" s="87">
        <f t="shared" si="122"/>
        <v>11.427663878178574</v>
      </c>
      <c r="DN52" s="291"/>
      <c r="DO52" s="16" t="s">
        <v>13</v>
      </c>
      <c r="DP52" s="106">
        <f t="shared" si="105"/>
        <v>-1.4476768804789319E-2</v>
      </c>
      <c r="DQ52" s="106">
        <f t="shared" si="106"/>
        <v>0.14073013541486645</v>
      </c>
      <c r="DR52" s="106">
        <f t="shared" si="107"/>
        <v>0.32548478693131289</v>
      </c>
      <c r="DS52" s="106">
        <f t="shared" si="108"/>
        <v>2.9391324473574343E-2</v>
      </c>
      <c r="DT52" s="106">
        <f t="shared" si="109"/>
        <v>6.012753853307462E-3</v>
      </c>
      <c r="DU52" s="106">
        <f t="shared" si="110"/>
        <v>-1.3257925466498621E-2</v>
      </c>
      <c r="DV52" s="111">
        <f t="shared" si="111"/>
        <v>0.47304342017009837</v>
      </c>
      <c r="DX52" s="101">
        <f t="shared" si="123"/>
        <v>-3.0603467224179379E-2</v>
      </c>
      <c r="DY52" s="101">
        <f t="shared" si="124"/>
        <v>0.29749940367897365</v>
      </c>
      <c r="DZ52" s="101">
        <f t="shared" si="125"/>
        <v>0.68806535098675314</v>
      </c>
      <c r="EA52" s="101">
        <f t="shared" si="126"/>
        <v>6.2132403116411009E-2</v>
      </c>
      <c r="EB52" s="101">
        <f t="shared" si="127"/>
        <v>1.2710786361102703E-2</v>
      </c>
      <c r="EC52" s="101">
        <f t="shared" si="128"/>
        <v>-2.8026867938954307E-2</v>
      </c>
      <c r="ED52" s="101">
        <f t="shared" si="129"/>
        <v>1</v>
      </c>
      <c r="EE52" s="96"/>
      <c r="EF52" s="307"/>
      <c r="EG52" s="16" t="s">
        <v>13</v>
      </c>
      <c r="EH52" s="76">
        <f t="shared" si="130"/>
        <v>11.900707298348673</v>
      </c>
      <c r="EI52" s="76">
        <f t="shared" si="131"/>
        <v>11.427663878178574</v>
      </c>
      <c r="EJ52" s="132">
        <f>('[1]Avoided Costs'!$DG18*1.06)/0.9622</f>
        <v>6.2599362941252448</v>
      </c>
      <c r="EK52" s="132">
        <f>('[2]Avoided Costs'!$DV19*(105/102))/0.9622</f>
        <v>5.4728116667190614</v>
      </c>
      <c r="EL52" s="135">
        <v>5.0093535647474541</v>
      </c>
    </row>
    <row r="53" spans="1:158" ht="13.7" customHeight="1" thickBot="1" x14ac:dyDescent="0.3">
      <c r="L53" s="29"/>
      <c r="M53" s="2"/>
      <c r="N53" s="2"/>
      <c r="O53" s="31"/>
      <c r="P53" s="2"/>
      <c r="Q53" s="31"/>
      <c r="R53" s="29"/>
      <c r="CM53" s="255"/>
      <c r="CN53" s="93" t="s">
        <v>26</v>
      </c>
      <c r="CO53" s="87">
        <v>3.312132811500335</v>
      </c>
      <c r="CP53" s="87">
        <v>5.82</v>
      </c>
      <c r="CQ53" s="281"/>
      <c r="CR53" s="76" t="s">
        <v>27</v>
      </c>
      <c r="CS53" s="76" t="s">
        <v>27</v>
      </c>
      <c r="CT53" s="76">
        <v>0.3538108423383125</v>
      </c>
      <c r="CU53" s="94">
        <v>9.9967430843791014</v>
      </c>
      <c r="CV53" s="95">
        <f t="shared" si="113"/>
        <v>10.515139459744505</v>
      </c>
      <c r="CW53" s="308"/>
      <c r="CX53" s="68" t="s">
        <v>26</v>
      </c>
      <c r="CY53" s="79">
        <f t="shared" si="114"/>
        <v>10.949238393755033</v>
      </c>
      <c r="CZ53" s="79">
        <f t="shared" si="115"/>
        <v>10.515139459744505</v>
      </c>
      <c r="DA53" s="98">
        <f t="shared" si="116"/>
        <v>4.1283231256456943E-2</v>
      </c>
      <c r="DB53" s="100">
        <f t="shared" si="117"/>
        <v>0.43409893401052813</v>
      </c>
      <c r="DD53" s="255"/>
      <c r="DE53" s="93" t="s">
        <v>26</v>
      </c>
      <c r="DF53" s="87">
        <f t="shared" si="118"/>
        <v>3.4838885153048649</v>
      </c>
      <c r="DG53" s="87">
        <f t="shared" si="118"/>
        <v>6.1218049857999368</v>
      </c>
      <c r="DH53" s="87">
        <f t="shared" si="133"/>
        <v>0.53644682865257176</v>
      </c>
      <c r="DI53" s="87">
        <v>0</v>
      </c>
      <c r="DJ53" s="87">
        <v>0</v>
      </c>
      <c r="DK53" s="87">
        <f t="shared" si="121"/>
        <v>0.37215824375545653</v>
      </c>
      <c r="DL53" s="87">
        <f t="shared" si="122"/>
        <v>10.515139459744505</v>
      </c>
      <c r="DN53" s="292"/>
      <c r="DO53" s="89" t="s">
        <v>26</v>
      </c>
      <c r="DP53" s="112">
        <f t="shared" si="105"/>
        <v>-1.4476768804789319E-2</v>
      </c>
      <c r="DQ53" s="112">
        <f t="shared" si="106"/>
        <v>0.14073013541486645</v>
      </c>
      <c r="DR53" s="112">
        <f t="shared" si="107"/>
        <v>0.32548478693131289</v>
      </c>
      <c r="DS53" s="112">
        <f t="shared" si="108"/>
        <v>0</v>
      </c>
      <c r="DT53" s="112">
        <f t="shared" si="109"/>
        <v>0</v>
      </c>
      <c r="DU53" s="112">
        <f t="shared" si="110"/>
        <v>-1.6798333299186785E-2</v>
      </c>
      <c r="DV53" s="113">
        <f t="shared" si="111"/>
        <v>0.43409893401052813</v>
      </c>
      <c r="DX53" s="101">
        <f t="shared" si="123"/>
        <v>-3.3349007957799354E-2</v>
      </c>
      <c r="DY53" s="101">
        <f t="shared" si="124"/>
        <v>0.32418908315368805</v>
      </c>
      <c r="DZ53" s="101">
        <f t="shared" si="125"/>
        <v>0.7497940248879279</v>
      </c>
      <c r="EA53" s="101">
        <f t="shared" si="126"/>
        <v>0</v>
      </c>
      <c r="EB53" s="101">
        <f t="shared" si="127"/>
        <v>0</v>
      </c>
      <c r="EC53" s="101">
        <f t="shared" si="128"/>
        <v>-3.8697015779309375E-2</v>
      </c>
      <c r="ED53" s="101">
        <f t="shared" si="129"/>
        <v>1</v>
      </c>
      <c r="EE53" s="96"/>
      <c r="EF53" s="308"/>
      <c r="EG53" s="89" t="s">
        <v>26</v>
      </c>
      <c r="EH53" s="79">
        <f t="shared" si="130"/>
        <v>10.949238393755033</v>
      </c>
      <c r="EI53" s="79">
        <f t="shared" si="131"/>
        <v>10.515139459744505</v>
      </c>
      <c r="EJ53" s="136">
        <f>('[1]Avoided Costs'!$DG19*1.06)/0.9622</f>
        <v>5.5020267638929932</v>
      </c>
      <c r="EK53" s="136">
        <f>('[2]Avoided Costs'!$DV20*(105/102))/0.9622</f>
        <v>5.1355413996128174</v>
      </c>
      <c r="EL53" s="137">
        <v>5.0093535647474541</v>
      </c>
    </row>
    <row r="54" spans="1:158" ht="13.7" customHeight="1" x14ac:dyDescent="0.25">
      <c r="L54" s="29"/>
      <c r="M54" s="2"/>
      <c r="N54" s="2"/>
      <c r="O54" s="31"/>
      <c r="P54" s="2"/>
      <c r="Q54" s="31"/>
      <c r="R54" s="29"/>
    </row>
    <row r="55" spans="1:158" ht="13.7" customHeight="1" x14ac:dyDescent="0.25">
      <c r="L55" s="29"/>
      <c r="M55" s="2"/>
      <c r="N55" s="2"/>
      <c r="O55" s="31"/>
      <c r="P55" s="2"/>
      <c r="Q55" s="31"/>
      <c r="R55" s="29"/>
      <c r="DR55" s="157" t="s">
        <v>139</v>
      </c>
      <c r="DS55" s="124"/>
      <c r="DT55" s="124"/>
      <c r="DU55" s="124"/>
      <c r="DV55" s="124"/>
      <c r="DW55" s="124"/>
      <c r="DX55" s="124"/>
      <c r="DY55" s="124"/>
      <c r="DZ55" s="124"/>
      <c r="EA55" s="124"/>
      <c r="EB55" s="157" t="s">
        <v>140</v>
      </c>
      <c r="EC55" s="124"/>
      <c r="ED55" s="124"/>
      <c r="EE55" s="124"/>
      <c r="EF55" s="124"/>
      <c r="EG55" s="124"/>
      <c r="EL55" s="124"/>
      <c r="EM55" s="124"/>
      <c r="EN55" s="156" t="s">
        <v>137</v>
      </c>
      <c r="EO55" s="124"/>
      <c r="EP55" s="124"/>
      <c r="EQ55" s="124"/>
      <c r="ER55" s="124"/>
      <c r="ES55" s="124"/>
      <c r="ET55" s="124"/>
      <c r="EU55" s="124"/>
      <c r="EV55" s="124"/>
      <c r="EW55" s="124"/>
      <c r="EX55" s="124"/>
      <c r="EY55" s="124"/>
      <c r="EZ55" s="156" t="s">
        <v>138</v>
      </c>
      <c r="FA55" s="124"/>
      <c r="FB55" s="124"/>
    </row>
    <row r="56" spans="1:158" ht="13.7" customHeight="1" x14ac:dyDescent="0.25">
      <c r="L56" s="29"/>
      <c r="M56" s="2"/>
      <c r="N56" s="2"/>
      <c r="O56" s="31"/>
      <c r="P56" s="2"/>
      <c r="Q56" s="31"/>
      <c r="R56" s="29"/>
      <c r="BX56" s="157" t="s">
        <v>135</v>
      </c>
      <c r="CF56" s="157" t="s">
        <v>136</v>
      </c>
    </row>
    <row r="57" spans="1:158" ht="13.7" customHeight="1" x14ac:dyDescent="0.25">
      <c r="L57" s="29"/>
      <c r="M57" s="2"/>
      <c r="N57" s="2"/>
      <c r="O57" s="31"/>
      <c r="P57" s="2"/>
      <c r="Q57" s="31"/>
      <c r="R57" s="29"/>
    </row>
    <row r="58" spans="1:158" ht="13.7" customHeight="1" x14ac:dyDescent="0.25">
      <c r="L58" s="29"/>
      <c r="M58" s="2"/>
      <c r="N58" s="2"/>
      <c r="O58" s="31"/>
      <c r="P58" s="2"/>
      <c r="Q58" s="31"/>
      <c r="R58" s="29"/>
    </row>
    <row r="59" spans="1:158" ht="13.7" customHeight="1" x14ac:dyDescent="0.25">
      <c r="L59" s="29"/>
      <c r="M59" s="2"/>
      <c r="N59" s="2"/>
      <c r="O59" s="31"/>
      <c r="P59" s="2"/>
      <c r="Q59" s="31"/>
      <c r="R59" s="29"/>
    </row>
    <row r="60" spans="1:158" ht="13.7" customHeight="1" x14ac:dyDescent="0.25">
      <c r="L60" s="29"/>
      <c r="M60" s="2"/>
      <c r="N60" s="2"/>
      <c r="O60" s="31"/>
      <c r="P60" s="2"/>
      <c r="Q60" s="31"/>
      <c r="R60" s="29"/>
    </row>
    <row r="61" spans="1:158" ht="13.7" customHeight="1" x14ac:dyDescent="0.25">
      <c r="L61" s="29"/>
      <c r="M61" s="2"/>
      <c r="N61" s="2"/>
      <c r="O61" s="31"/>
      <c r="P61" s="2"/>
      <c r="Q61" s="31"/>
      <c r="R61" s="29"/>
    </row>
    <row r="62" spans="1:158" ht="13.7" customHeight="1" x14ac:dyDescent="0.25">
      <c r="L62" s="29"/>
      <c r="M62" s="2"/>
      <c r="N62" s="2"/>
      <c r="O62" s="31"/>
      <c r="P62" s="2"/>
      <c r="Q62" s="31"/>
      <c r="R62" s="29"/>
    </row>
    <row r="63" spans="1:158" ht="13.7" customHeight="1" x14ac:dyDescent="0.25">
      <c r="L63" s="29"/>
      <c r="M63" s="2"/>
      <c r="N63" s="2"/>
      <c r="O63" s="31"/>
      <c r="P63" s="2"/>
      <c r="Q63" s="31"/>
      <c r="R63" s="29"/>
    </row>
    <row r="64" spans="1:158" ht="13.7" customHeight="1" x14ac:dyDescent="0.25">
      <c r="L64" s="29"/>
      <c r="M64" s="32"/>
      <c r="N64" s="32"/>
      <c r="O64" s="33"/>
      <c r="P64" s="32"/>
      <c r="Q64" s="33"/>
      <c r="R64" s="29"/>
    </row>
    <row r="65" spans="12:18" ht="13.7" customHeight="1" x14ac:dyDescent="0.25">
      <c r="L65" s="29"/>
      <c r="M65" s="29"/>
      <c r="N65" s="29"/>
      <c r="O65" s="29"/>
      <c r="P65" s="29"/>
      <c r="Q65" s="29"/>
      <c r="R65" s="29"/>
    </row>
    <row r="87" spans="2:11" ht="13.7" customHeight="1" x14ac:dyDescent="0.25">
      <c r="B87" s="153" t="s">
        <v>131</v>
      </c>
      <c r="K87" s="153" t="s">
        <v>133</v>
      </c>
    </row>
    <row r="88" spans="2:11" ht="13.7" customHeight="1" x14ac:dyDescent="0.25">
      <c r="B88" s="124"/>
      <c r="K88" s="124"/>
    </row>
    <row r="89" spans="2:11" ht="13.7" customHeight="1" x14ac:dyDescent="0.25">
      <c r="B89" s="154" t="s">
        <v>132</v>
      </c>
      <c r="K89" s="154" t="s">
        <v>134</v>
      </c>
    </row>
    <row r="112" spans="1:9" ht="13.7" customHeight="1" x14ac:dyDescent="0.25">
      <c r="A112" s="29"/>
      <c r="B112" s="29"/>
      <c r="C112" s="29"/>
      <c r="D112" s="29"/>
      <c r="E112" s="29"/>
      <c r="F112" s="29"/>
      <c r="G112" s="29"/>
      <c r="H112" s="29"/>
      <c r="I112" s="29"/>
    </row>
    <row r="113" spans="1:9" ht="13.7" customHeight="1" x14ac:dyDescent="0.25">
      <c r="A113" s="29"/>
      <c r="B113" s="29"/>
      <c r="C113" s="29"/>
      <c r="D113" s="29"/>
      <c r="E113" s="29"/>
      <c r="F113" s="29"/>
      <c r="G113" s="29"/>
      <c r="H113" s="29"/>
      <c r="I113" s="29"/>
    </row>
    <row r="114" spans="1:9" ht="13.7" customHeight="1" x14ac:dyDescent="0.25">
      <c r="A114" s="29"/>
      <c r="B114" s="29"/>
      <c r="C114" s="29"/>
      <c r="D114" s="29"/>
      <c r="E114" s="29"/>
      <c r="F114" s="29"/>
      <c r="G114" s="29"/>
      <c r="H114" s="29"/>
      <c r="I114" s="29"/>
    </row>
    <row r="115" spans="1:9" ht="13.7" customHeight="1" x14ac:dyDescent="0.25">
      <c r="I115" s="29"/>
    </row>
    <row r="116" spans="1:9" ht="13.7" customHeight="1" x14ac:dyDescent="0.25">
      <c r="I116" s="29"/>
    </row>
    <row r="117" spans="1:9" ht="13.7" customHeight="1" x14ac:dyDescent="0.25">
      <c r="I117" s="29"/>
    </row>
    <row r="118" spans="1:9" ht="13.7" customHeight="1" x14ac:dyDescent="0.25">
      <c r="I118" s="29"/>
    </row>
    <row r="119" spans="1:9" ht="13.7" customHeight="1" x14ac:dyDescent="0.25">
      <c r="I119" s="29"/>
    </row>
    <row r="120" spans="1:9" ht="13.7" customHeight="1" x14ac:dyDescent="0.25">
      <c r="I120" s="29"/>
    </row>
    <row r="121" spans="1:9" ht="13.7" customHeight="1" x14ac:dyDescent="0.25">
      <c r="I121" s="29"/>
    </row>
    <row r="122" spans="1:9" ht="13.7" customHeight="1" x14ac:dyDescent="0.25">
      <c r="I122" s="29"/>
    </row>
    <row r="123" spans="1:9" ht="13.7" customHeight="1" x14ac:dyDescent="0.25">
      <c r="I123" s="29"/>
    </row>
    <row r="124" spans="1:9" ht="13.7" customHeight="1" x14ac:dyDescent="0.25">
      <c r="I124" s="29"/>
    </row>
    <row r="125" spans="1:9" ht="13.7" customHeight="1" x14ac:dyDescent="0.25">
      <c r="I125" s="29"/>
    </row>
    <row r="126" spans="1:9" ht="13.7" customHeight="1" x14ac:dyDescent="0.25">
      <c r="I126" s="29"/>
    </row>
    <row r="127" spans="1:9" ht="13.7" customHeight="1" x14ac:dyDescent="0.25">
      <c r="I127" s="29"/>
    </row>
    <row r="128" spans="1:9" ht="13.7" customHeight="1" x14ac:dyDescent="0.25">
      <c r="I128" s="29"/>
    </row>
    <row r="129" spans="9:9" ht="13.7" customHeight="1" x14ac:dyDescent="0.25">
      <c r="I129" s="29"/>
    </row>
    <row r="130" spans="9:9" ht="13.7" customHeight="1" x14ac:dyDescent="0.25">
      <c r="I130" s="29"/>
    </row>
    <row r="131" spans="9:9" ht="13.7" customHeight="1" x14ac:dyDescent="0.25">
      <c r="I131" s="29"/>
    </row>
    <row r="132" spans="9:9" ht="13.7" customHeight="1" x14ac:dyDescent="0.25">
      <c r="I132" s="29"/>
    </row>
    <row r="133" spans="9:9" ht="13.7" customHeight="1" x14ac:dyDescent="0.25">
      <c r="I133" s="29"/>
    </row>
    <row r="134" spans="9:9" ht="13.7" customHeight="1" x14ac:dyDescent="0.25">
      <c r="I134" s="29"/>
    </row>
    <row r="135" spans="9:9" ht="13.7" customHeight="1" x14ac:dyDescent="0.25">
      <c r="I135" s="29"/>
    </row>
    <row r="136" spans="9:9" ht="13.7" customHeight="1" x14ac:dyDescent="0.25">
      <c r="I136" s="29"/>
    </row>
    <row r="137" spans="9:9" ht="13.7" customHeight="1" x14ac:dyDescent="0.25">
      <c r="I137" s="29"/>
    </row>
    <row r="138" spans="9:9" ht="13.7" customHeight="1" x14ac:dyDescent="0.25">
      <c r="I138" s="29"/>
    </row>
    <row r="139" spans="9:9" ht="13.7" customHeight="1" x14ac:dyDescent="0.25">
      <c r="I139" s="29"/>
    </row>
    <row r="140" spans="9:9" ht="13.7" customHeight="1" x14ac:dyDescent="0.25">
      <c r="I140" s="29"/>
    </row>
    <row r="141" spans="9:9" ht="13.7" customHeight="1" x14ac:dyDescent="0.25">
      <c r="I141" s="29"/>
    </row>
  </sheetData>
  <mergeCells count="190">
    <mergeCell ref="DX36:ED36"/>
    <mergeCell ref="EF40:EF46"/>
    <mergeCell ref="DD40:DD46"/>
    <mergeCell ref="CQ47:CQ53"/>
    <mergeCell ref="CM36:CU36"/>
    <mergeCell ref="CV36:CV39"/>
    <mergeCell ref="CW40:CW46"/>
    <mergeCell ref="CW47:CW53"/>
    <mergeCell ref="CY37:CY39"/>
    <mergeCell ref="CZ37:CZ39"/>
    <mergeCell ref="DA37:DA39"/>
    <mergeCell ref="CW37:CX39"/>
    <mergeCell ref="CM37:CN39"/>
    <mergeCell ref="CR37:CU37"/>
    <mergeCell ref="CO38:CO39"/>
    <mergeCell ref="CP38:CP39"/>
    <mergeCell ref="CQ38:CQ39"/>
    <mergeCell ref="CR38:CR39"/>
    <mergeCell ref="DJ38:DJ39"/>
    <mergeCell ref="EF47:EF53"/>
    <mergeCell ref="EF39:EG39"/>
    <mergeCell ref="DX37:DX39"/>
    <mergeCell ref="DY37:DY39"/>
    <mergeCell ref="DZ37:DZ39"/>
    <mergeCell ref="EA37:EA39"/>
    <mergeCell ref="EB37:EB39"/>
    <mergeCell ref="EC37:EC39"/>
    <mergeCell ref="ED37:ED39"/>
    <mergeCell ref="DD47:DD53"/>
    <mergeCell ref="DN36:DV36"/>
    <mergeCell ref="DN37:DO39"/>
    <mergeCell ref="DN40:DN46"/>
    <mergeCell ref="DN47:DN53"/>
    <mergeCell ref="DP37:DP39"/>
    <mergeCell ref="DS37:DS39"/>
    <mergeCell ref="DT37:DT39"/>
    <mergeCell ref="DU37:DU39"/>
    <mergeCell ref="DD37:DE39"/>
    <mergeCell ref="DI37:DL37"/>
    <mergeCell ref="DI38:DI39"/>
    <mergeCell ref="DK38:DK39"/>
    <mergeCell ref="DL38:DL39"/>
    <mergeCell ref="DV37:DV39"/>
    <mergeCell ref="DF37:DF39"/>
    <mergeCell ref="DG37:DG39"/>
    <mergeCell ref="DH37:DH39"/>
    <mergeCell ref="DQ37:DQ39"/>
    <mergeCell ref="DR37:DR39"/>
    <mergeCell ref="DB37:DB39"/>
    <mergeCell ref="CW36:DB36"/>
    <mergeCell ref="CQ40:CQ46"/>
    <mergeCell ref="AW3:AW4"/>
    <mergeCell ref="AN3:AN4"/>
    <mergeCell ref="AO3:AO4"/>
    <mergeCell ref="CO3:CO4"/>
    <mergeCell ref="CP3:CP4"/>
    <mergeCell ref="BZ3:BZ4"/>
    <mergeCell ref="CA3:CA4"/>
    <mergeCell ref="CM40:CM46"/>
    <mergeCell ref="BU3:BU4"/>
    <mergeCell ref="DB3:DB4"/>
    <mergeCell ref="CY3:CY4"/>
    <mergeCell ref="CZ3:CZ4"/>
    <mergeCell ref="CM5:CM11"/>
    <mergeCell ref="CP5:CP11"/>
    <mergeCell ref="CQ5:CQ11"/>
    <mergeCell ref="CW5:CW11"/>
    <mergeCell ref="CM12:CM18"/>
    <mergeCell ref="CP12:CP18"/>
    <mergeCell ref="CQ12:CQ18"/>
    <mergeCell ref="CW12:CW18"/>
    <mergeCell ref="BJ3:BJ4"/>
    <mergeCell ref="A38:H38"/>
    <mergeCell ref="CM47:CM53"/>
    <mergeCell ref="A42:G42"/>
    <mergeCell ref="AQ3:AQ4"/>
    <mergeCell ref="AT3:AT4"/>
    <mergeCell ref="AU3:AU4"/>
    <mergeCell ref="AV3:AV4"/>
    <mergeCell ref="CS38:CS39"/>
    <mergeCell ref="CT38:CT39"/>
    <mergeCell ref="J1:J4"/>
    <mergeCell ref="W3:W4"/>
    <mergeCell ref="X3:X4"/>
    <mergeCell ref="Y3:Y4"/>
    <mergeCell ref="Z3:Z4"/>
    <mergeCell ref="AA3:AA4"/>
    <mergeCell ref="P3:P4"/>
    <mergeCell ref="A1:A4"/>
    <mergeCell ref="B1:I1"/>
    <mergeCell ref="E3:E4"/>
    <mergeCell ref="B2:E2"/>
    <mergeCell ref="F2:G2"/>
    <mergeCell ref="B3:B4"/>
    <mergeCell ref="C3:C4"/>
    <mergeCell ref="D3:D4"/>
    <mergeCell ref="A51:G51"/>
    <mergeCell ref="A45:H45"/>
    <mergeCell ref="A46:G46"/>
    <mergeCell ref="A47:G47"/>
    <mergeCell ref="A48:G48"/>
    <mergeCell ref="A49:G49"/>
    <mergeCell ref="A50:G50"/>
    <mergeCell ref="A39:G39"/>
    <mergeCell ref="A40:G40"/>
    <mergeCell ref="A41:G41"/>
    <mergeCell ref="A43:G43"/>
    <mergeCell ref="AK2:AQ2"/>
    <mergeCell ref="CG3:CG4"/>
    <mergeCell ref="CH3:CH4"/>
    <mergeCell ref="CI3:CI4"/>
    <mergeCell ref="CJ3:CJ4"/>
    <mergeCell ref="F3:F4"/>
    <mergeCell ref="G3:G4"/>
    <mergeCell ref="BH2:BN2"/>
    <mergeCell ref="BM3:BM4"/>
    <mergeCell ref="BO3:BO4"/>
    <mergeCell ref="BP3:BP4"/>
    <mergeCell ref="AY3:AY4"/>
    <mergeCell ref="AZ3:AZ4"/>
    <mergeCell ref="BA3:BA4"/>
    <mergeCell ref="BB3:BB4"/>
    <mergeCell ref="Q3:Q4"/>
    <mergeCell ref="AD3:AD4"/>
    <mergeCell ref="K1:K4"/>
    <mergeCell ref="N2:T2"/>
    <mergeCell ref="U2:AA2"/>
    <mergeCell ref="N3:N4"/>
    <mergeCell ref="O3:O4"/>
    <mergeCell ref="H2:I2"/>
    <mergeCell ref="CR3:CR4"/>
    <mergeCell ref="CS3:CS4"/>
    <mergeCell ref="CW1:DE2"/>
    <mergeCell ref="AJ3:AJ4"/>
    <mergeCell ref="AK3:AK4"/>
    <mergeCell ref="AL3:AL4"/>
    <mergeCell ref="AM3:AM4"/>
    <mergeCell ref="CR2:CS2"/>
    <mergeCell ref="CO2:CQ2"/>
    <mergeCell ref="CW3:CX4"/>
    <mergeCell ref="CU2:CU4"/>
    <mergeCell ref="CT2:CT4"/>
    <mergeCell ref="BC3:BC4"/>
    <mergeCell ref="AP3:AP4"/>
    <mergeCell ref="BO2:BU2"/>
    <mergeCell ref="DC3:DC4"/>
    <mergeCell ref="DD3:DD4"/>
    <mergeCell ref="DE3:DE4"/>
    <mergeCell ref="CQ3:CQ4"/>
    <mergeCell ref="CD3:CD4"/>
    <mergeCell ref="BN3:BN4"/>
    <mergeCell ref="AT2:AY2"/>
    <mergeCell ref="AX3:AX4"/>
    <mergeCell ref="AD2:AJ2"/>
    <mergeCell ref="CK3:CK4"/>
    <mergeCell ref="AG3:AG4"/>
    <mergeCell ref="AH3:AH4"/>
    <mergeCell ref="AI3:AI4"/>
    <mergeCell ref="R3:R4"/>
    <mergeCell ref="S3:S4"/>
    <mergeCell ref="T3:T4"/>
    <mergeCell ref="U3:U4"/>
    <mergeCell ref="V3:V4"/>
    <mergeCell ref="BK3:BK4"/>
    <mergeCell ref="AE3:AE4"/>
    <mergeCell ref="AF3:AF4"/>
    <mergeCell ref="CU38:CU39"/>
    <mergeCell ref="BL3:BL4"/>
    <mergeCell ref="DD36:DL36"/>
    <mergeCell ref="EF36:EL38"/>
    <mergeCell ref="CM1:CU1"/>
    <mergeCell ref="CE2:CK2"/>
    <mergeCell ref="AZ2:BE2"/>
    <mergeCell ref="CM2:CN4"/>
    <mergeCell ref="BD3:BD4"/>
    <mergeCell ref="BE3:BE4"/>
    <mergeCell ref="BH3:BH4"/>
    <mergeCell ref="BI3:BI4"/>
    <mergeCell ref="CB3:CB4"/>
    <mergeCell ref="CC3:CC4"/>
    <mergeCell ref="CE3:CE4"/>
    <mergeCell ref="CF3:CF4"/>
    <mergeCell ref="BQ3:BQ4"/>
    <mergeCell ref="BR3:BR4"/>
    <mergeCell ref="BS3:BS4"/>
    <mergeCell ref="BT3:BT4"/>
    <mergeCell ref="BX3:BX4"/>
    <mergeCell ref="BY3:BY4"/>
    <mergeCell ref="BX2:CD2"/>
    <mergeCell ref="DA3:DA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88406-23E5-4DBB-A515-9DE94CEBBDB7}">
  <dimension ref="A1:R33"/>
  <sheetViews>
    <sheetView showGridLines="0" topLeftCell="O1" workbookViewId="0">
      <selection activeCell="AF22" sqref="AF22"/>
    </sheetView>
  </sheetViews>
  <sheetFormatPr defaultColWidth="8.7109375" defaultRowHeight="15" x14ac:dyDescent="0.25"/>
  <cols>
    <col min="1" max="16384" width="8.7109375" style="124"/>
  </cols>
  <sheetData>
    <row r="1" spans="1:18" ht="15.75" x14ac:dyDescent="0.25">
      <c r="R1" s="154" t="s">
        <v>141</v>
      </c>
    </row>
    <row r="3" spans="1:18" x14ac:dyDescent="0.25">
      <c r="A3" s="124" t="s">
        <v>142</v>
      </c>
      <c r="J3" s="124" t="s">
        <v>28</v>
      </c>
      <c r="R3" s="22" t="s">
        <v>143</v>
      </c>
    </row>
    <row r="4" spans="1:18" x14ac:dyDescent="0.25">
      <c r="A4" s="124" t="s">
        <v>0</v>
      </c>
      <c r="B4" s="124" t="s">
        <v>144</v>
      </c>
      <c r="C4" s="124" t="s">
        <v>90</v>
      </c>
      <c r="D4" s="124" t="s">
        <v>145</v>
      </c>
      <c r="E4" s="124" t="s">
        <v>91</v>
      </c>
      <c r="F4" s="124" t="s">
        <v>146</v>
      </c>
      <c r="G4" s="124" t="s">
        <v>147</v>
      </c>
      <c r="H4" s="124" t="s">
        <v>98</v>
      </c>
      <c r="J4" s="124" t="s">
        <v>144</v>
      </c>
      <c r="K4" s="124" t="s">
        <v>90</v>
      </c>
      <c r="L4" s="124" t="s">
        <v>145</v>
      </c>
      <c r="M4" s="124" t="s">
        <v>91</v>
      </c>
      <c r="N4" s="124" t="s">
        <v>146</v>
      </c>
      <c r="O4" s="124" t="s">
        <v>147</v>
      </c>
      <c r="P4" s="124" t="s">
        <v>98</v>
      </c>
    </row>
    <row r="5" spans="1:18" x14ac:dyDescent="0.25">
      <c r="A5" s="124">
        <f>'[3]Avoided Costs Summary'!A5</f>
        <v>2022</v>
      </c>
      <c r="B5" s="124">
        <f>'Commodity Costs Avoided Detail'!AE3</f>
        <v>5.1185304336064732</v>
      </c>
      <c r="C5" s="124">
        <f>'Avoided Costs Summary'!H5</f>
        <v>5.7331799999999999</v>
      </c>
      <c r="D5" s="124">
        <f>'Avoided Costs Summary'!G5</f>
        <v>0.14880331133089175</v>
      </c>
      <c r="E5" s="124">
        <f>'Avoided Costs Summary'!N5</f>
        <v>0.6442738338206585</v>
      </c>
      <c r="F5" s="124">
        <f>'Avoided Costs Summary'!AD5</f>
        <v>4.71776518398263</v>
      </c>
      <c r="G5" s="124">
        <f>'Avoided Costs Summary'!BH5</f>
        <v>1.0480569451409762</v>
      </c>
      <c r="H5" s="124">
        <f>SUM(B5:G5)</f>
        <v>17.410609707881633</v>
      </c>
      <c r="J5" s="124">
        <f>B5</f>
        <v>5.1185304336064732</v>
      </c>
      <c r="K5" s="124">
        <f>'Avoided Costs Summary'!I5</f>
        <v>5.2094466283790943</v>
      </c>
      <c r="L5" s="124">
        <f>D5</f>
        <v>0.14880331133089175</v>
      </c>
      <c r="M5" s="124">
        <f>'Avoided Costs Summary'!U5</f>
        <v>0.6442738338206585</v>
      </c>
      <c r="N5" s="124">
        <f>'Avoided Costs Summary'!AK5</f>
        <v>7.8131314811658026</v>
      </c>
      <c r="O5" s="124">
        <f>'Avoided Costs Summary'!BO5</f>
        <v>1.3575935748592936</v>
      </c>
      <c r="P5" s="124">
        <f>SUM(J5:O5)</f>
        <v>20.291779263162212</v>
      </c>
    </row>
    <row r="6" spans="1:18" x14ac:dyDescent="0.25">
      <c r="A6" s="124">
        <f>'[3]Avoided Costs Summary'!A6</f>
        <v>2023</v>
      </c>
      <c r="B6" s="124">
        <f>'Commodity Costs Avoided Detail'!AE4</f>
        <v>4.2534567714265599</v>
      </c>
      <c r="C6" s="124">
        <f>'Avoided Costs Summary'!H6</f>
        <v>5.7862650000000002</v>
      </c>
      <c r="D6" s="124">
        <f>'Avoided Costs Summary'!G6</f>
        <v>0.36270794283562946</v>
      </c>
      <c r="E6" s="124">
        <f>'Avoided Costs Summary'!N6</f>
        <v>0.6442738338206585</v>
      </c>
      <c r="F6" s="124">
        <f>'Avoided Costs Summary'!AD6</f>
        <v>4.71776518398263</v>
      </c>
      <c r="G6" s="124">
        <f>'Avoided Costs Summary'!BH6</f>
        <v>0.96154957892298487</v>
      </c>
      <c r="H6" s="124">
        <f t="shared" ref="H6:H33" si="0">SUM(B6:G6)</f>
        <v>16.726018310988465</v>
      </c>
      <c r="J6" s="124">
        <f t="shared" ref="J6:J33" si="1">B6</f>
        <v>4.2534567714265599</v>
      </c>
      <c r="K6" s="124">
        <f>'Avoided Costs Summary'!I6</f>
        <v>5.3108470493694417</v>
      </c>
      <c r="L6" s="124">
        <f t="shared" ref="L6:L33" si="2">D6</f>
        <v>0.36270794283562946</v>
      </c>
      <c r="M6" s="124">
        <f>'Avoided Costs Summary'!U6</f>
        <v>0.6442738338206585</v>
      </c>
      <c r="N6" s="124">
        <f>'Avoided Costs Summary'!AK6</f>
        <v>7.8131314811658026</v>
      </c>
      <c r="O6" s="124">
        <f>'Avoided Costs Summary'!BO6</f>
        <v>1.2710862086413022</v>
      </c>
      <c r="P6" s="124">
        <f t="shared" ref="P6:P33" si="3">SUM(J6:O6)</f>
        <v>19.655503287259396</v>
      </c>
    </row>
    <row r="7" spans="1:18" x14ac:dyDescent="0.25">
      <c r="A7" s="124">
        <f>'[3]Avoided Costs Summary'!A7</f>
        <v>2024</v>
      </c>
      <c r="B7" s="124">
        <f>'Commodity Costs Avoided Detail'!AE5</f>
        <v>3.5125039916768053</v>
      </c>
      <c r="C7" s="124">
        <f>'Avoided Costs Summary'!H7</f>
        <v>5.8393499999999996</v>
      </c>
      <c r="D7" s="124">
        <f>'Avoided Costs Summary'!G7</f>
        <v>0.51951102983078057</v>
      </c>
      <c r="E7" s="124">
        <f>'Avoided Costs Summary'!N7</f>
        <v>0.6442738338206585</v>
      </c>
      <c r="F7" s="124">
        <f>'Avoided Costs Summary'!AD7</f>
        <v>4.71776518398263</v>
      </c>
      <c r="G7" s="124">
        <f>'Avoided Costs Summary'!BH7</f>
        <v>0.88745430094800948</v>
      </c>
      <c r="H7" s="124">
        <f t="shared" si="0"/>
        <v>16.120858340258884</v>
      </c>
      <c r="J7" s="124">
        <f t="shared" si="1"/>
        <v>3.5125039916768053</v>
      </c>
      <c r="K7" s="124">
        <f>'Avoided Costs Summary'!I7</f>
        <v>5.41224747035979</v>
      </c>
      <c r="L7" s="124">
        <f t="shared" si="2"/>
        <v>0.51951102983078057</v>
      </c>
      <c r="M7" s="124">
        <f>'Avoided Costs Summary'!U7</f>
        <v>0.6442738338206585</v>
      </c>
      <c r="N7" s="124">
        <f>'Avoided Costs Summary'!AK7</f>
        <v>7.8131314811658026</v>
      </c>
      <c r="O7" s="124">
        <f>'Avoided Costs Summary'!BO7</f>
        <v>1.1969909306663267</v>
      </c>
      <c r="P7" s="124">
        <f t="shared" si="3"/>
        <v>19.098658737520164</v>
      </c>
    </row>
    <row r="8" spans="1:18" x14ac:dyDescent="0.25">
      <c r="A8" s="124">
        <f>'[3]Avoided Costs Summary'!A8</f>
        <v>2025</v>
      </c>
      <c r="B8" s="124">
        <f>'Commodity Costs Avoided Detail'!AE6</f>
        <v>3.6143030779979286</v>
      </c>
      <c r="C8" s="124">
        <f>'Avoided Costs Summary'!H8</f>
        <v>5.8924349999999999</v>
      </c>
      <c r="D8" s="124">
        <f>'Avoided Costs Summary'!G8</f>
        <v>0.60491283279708652</v>
      </c>
      <c r="E8" s="124">
        <f>'Avoided Costs Summary'!N8</f>
        <v>0.6442738338206585</v>
      </c>
      <c r="F8" s="124">
        <f>'Avoided Costs Summary'!AD8</f>
        <v>4.71776518398263</v>
      </c>
      <c r="G8" s="124">
        <f>'Avoided Costs Summary'!BH8</f>
        <v>0.89763420958012186</v>
      </c>
      <c r="H8" s="124">
        <f t="shared" si="0"/>
        <v>16.371324138178426</v>
      </c>
      <c r="J8" s="124">
        <f t="shared" si="1"/>
        <v>3.6143030779979286</v>
      </c>
      <c r="K8" s="124">
        <f>'Avoided Costs Summary'!I8</f>
        <v>5.5136478913501366</v>
      </c>
      <c r="L8" s="124">
        <f t="shared" si="2"/>
        <v>0.60491283279708652</v>
      </c>
      <c r="M8" s="124">
        <f>'Avoided Costs Summary'!U8</f>
        <v>0.6442738338206585</v>
      </c>
      <c r="N8" s="124">
        <f>'Avoided Costs Summary'!AK8</f>
        <v>7.8131314811658026</v>
      </c>
      <c r="O8" s="124">
        <f>'Avoided Costs Summary'!BO8</f>
        <v>1.2071708392984393</v>
      </c>
      <c r="P8" s="124">
        <f t="shared" si="3"/>
        <v>19.397439956430052</v>
      </c>
    </row>
    <row r="9" spans="1:18" x14ac:dyDescent="0.25">
      <c r="A9" s="124">
        <f>'[3]Avoided Costs Summary'!A9</f>
        <v>2026</v>
      </c>
      <c r="B9" s="124">
        <f>'Commodity Costs Avoided Detail'!AE7</f>
        <v>3.4074015418175341</v>
      </c>
      <c r="C9" s="124">
        <f>'Avoided Costs Summary'!H9</f>
        <v>5.9455200000000001</v>
      </c>
      <c r="D9" s="124">
        <f>'Avoided Costs Summary'!G9</f>
        <v>0.65921210473504832</v>
      </c>
      <c r="E9" s="124">
        <f>'Avoided Costs Summary'!N9</f>
        <v>0.6442738338206585</v>
      </c>
      <c r="F9" s="124">
        <f>'Avoided Costs Summary'!AD9</f>
        <v>4.71776518398263</v>
      </c>
      <c r="G9" s="124">
        <f>'Avoided Costs Summary'!BH9</f>
        <v>0.87694405596208225</v>
      </c>
      <c r="H9" s="124">
        <f t="shared" si="0"/>
        <v>16.251116720317953</v>
      </c>
      <c r="J9" s="124">
        <f t="shared" si="1"/>
        <v>3.4074015418175341</v>
      </c>
      <c r="K9" s="124">
        <f>'Avoided Costs Summary'!I9</f>
        <v>5.6023732597166909</v>
      </c>
      <c r="L9" s="124">
        <f t="shared" si="2"/>
        <v>0.65921210473504832</v>
      </c>
      <c r="M9" s="124">
        <f>'Avoided Costs Summary'!U9</f>
        <v>0.6442738338206585</v>
      </c>
      <c r="N9" s="124">
        <f>'Avoided Costs Summary'!AK9</f>
        <v>7.8131314811658026</v>
      </c>
      <c r="O9" s="124">
        <f>'Avoided Costs Summary'!BO9</f>
        <v>1.1864806856803995</v>
      </c>
      <c r="P9" s="124">
        <f t="shared" si="3"/>
        <v>19.312872906936136</v>
      </c>
    </row>
    <row r="10" spans="1:18" x14ac:dyDescent="0.25">
      <c r="A10" s="124">
        <f>'[3]Avoided Costs Summary'!A10</f>
        <v>2027</v>
      </c>
      <c r="B10" s="124">
        <f>'Commodity Costs Avoided Detail'!AE8</f>
        <v>3.4232604267860922</v>
      </c>
      <c r="C10" s="124">
        <f>'Avoided Costs Summary'!H10</f>
        <v>5.9986050000000004</v>
      </c>
      <c r="D10" s="124">
        <f>'Avoided Costs Summary'!G10</f>
        <v>0.76463111022893226</v>
      </c>
      <c r="E10" s="124">
        <f>'Avoided Costs Summary'!N10</f>
        <v>0.6442738338206585</v>
      </c>
      <c r="F10" s="124">
        <f>'Avoided Costs Summary'!AD10</f>
        <v>4.71776518398263</v>
      </c>
      <c r="G10" s="124">
        <f>'Avoided Costs Summary'!BH10</f>
        <v>0.87852994445893806</v>
      </c>
      <c r="H10" s="124">
        <f t="shared" si="0"/>
        <v>16.427065499277251</v>
      </c>
      <c r="J10" s="124">
        <f t="shared" si="1"/>
        <v>3.4232604267860922</v>
      </c>
      <c r="K10" s="124">
        <f>'Avoided Costs Summary'!I10</f>
        <v>5.6910986280832443</v>
      </c>
      <c r="L10" s="124">
        <f t="shared" si="2"/>
        <v>0.76463111022893226</v>
      </c>
      <c r="M10" s="124">
        <f>'Avoided Costs Summary'!U10</f>
        <v>0.6442738338206585</v>
      </c>
      <c r="N10" s="124">
        <f>'Avoided Costs Summary'!AK10</f>
        <v>7.8131314811658026</v>
      </c>
      <c r="O10" s="124">
        <f>'Avoided Costs Summary'!BO10</f>
        <v>1.1880665741772554</v>
      </c>
      <c r="P10" s="124">
        <f t="shared" si="3"/>
        <v>19.524462054261988</v>
      </c>
    </row>
    <row r="11" spans="1:18" x14ac:dyDescent="0.25">
      <c r="A11" s="124">
        <f>'[3]Avoided Costs Summary'!A11</f>
        <v>2028</v>
      </c>
      <c r="B11" s="124">
        <f>'Commodity Costs Avoided Detail'!AE9</f>
        <v>3.5434234029988914</v>
      </c>
      <c r="C11" s="124">
        <f>'Avoided Costs Summary'!H11</f>
        <v>6.0516899999999998</v>
      </c>
      <c r="D11" s="124">
        <f>'Avoided Costs Summary'!G11</f>
        <v>0.72693201129516583</v>
      </c>
      <c r="E11" s="124">
        <f>'Avoided Costs Summary'!N11</f>
        <v>0.6442738338206585</v>
      </c>
      <c r="F11" s="124">
        <f>'Avoided Costs Summary'!AD11</f>
        <v>4.71776518398263</v>
      </c>
      <c r="G11" s="124">
        <f>'Avoided Costs Summary'!BH11</f>
        <v>0.89054624208021815</v>
      </c>
      <c r="H11" s="124">
        <f t="shared" si="0"/>
        <v>16.574630674177563</v>
      </c>
      <c r="J11" s="124">
        <f t="shared" si="1"/>
        <v>3.5434234029988914</v>
      </c>
      <c r="K11" s="124">
        <f>'Avoided Costs Summary'!I11</f>
        <v>5.7798239964497986</v>
      </c>
      <c r="L11" s="124">
        <f t="shared" si="2"/>
        <v>0.72693201129516583</v>
      </c>
      <c r="M11" s="124">
        <f>'Avoided Costs Summary'!U11</f>
        <v>0.6442738338206585</v>
      </c>
      <c r="N11" s="124">
        <f>'Avoided Costs Summary'!AK11</f>
        <v>7.8131314811658026</v>
      </c>
      <c r="O11" s="124">
        <f>'Avoided Costs Summary'!BO11</f>
        <v>1.2000828717985355</v>
      </c>
      <c r="P11" s="124">
        <f t="shared" si="3"/>
        <v>19.707667597528854</v>
      </c>
    </row>
    <row r="12" spans="1:18" x14ac:dyDescent="0.25">
      <c r="A12" s="124">
        <f>'[3]Avoided Costs Summary'!A12</f>
        <v>2029</v>
      </c>
      <c r="B12" s="124">
        <f>'Commodity Costs Avoided Detail'!AE10</f>
        <v>3.5874976888439321</v>
      </c>
      <c r="C12" s="124">
        <f>'Avoided Costs Summary'!H12</f>
        <v>6.1047750000000001</v>
      </c>
      <c r="D12" s="124">
        <f>'Avoided Costs Summary'!G12</f>
        <v>0.79815934616104789</v>
      </c>
      <c r="E12" s="124">
        <f>'Avoided Costs Summary'!N12</f>
        <v>0.6442738338206585</v>
      </c>
      <c r="F12" s="124">
        <f>'Avoided Costs Summary'!AD12</f>
        <v>4.71776518398263</v>
      </c>
      <c r="G12" s="124">
        <f>'Avoided Costs Summary'!BH12</f>
        <v>0.89495367066472209</v>
      </c>
      <c r="H12" s="124">
        <f t="shared" si="0"/>
        <v>16.747424723472992</v>
      </c>
      <c r="J12" s="124">
        <f t="shared" si="1"/>
        <v>3.5874976888439321</v>
      </c>
      <c r="K12" s="124">
        <f>'Avoided Costs Summary'!I12</f>
        <v>5.868549364816352</v>
      </c>
      <c r="L12" s="124">
        <f t="shared" si="2"/>
        <v>0.79815934616104789</v>
      </c>
      <c r="M12" s="124">
        <f>'Avoided Costs Summary'!U12</f>
        <v>0.6442738338206585</v>
      </c>
      <c r="N12" s="124">
        <f>'Avoided Costs Summary'!AK12</f>
        <v>7.8131314811658026</v>
      </c>
      <c r="O12" s="124">
        <f>'Avoided Costs Summary'!BO12</f>
        <v>1.2044903003830394</v>
      </c>
      <c r="P12" s="124">
        <f t="shared" si="3"/>
        <v>19.916102015190834</v>
      </c>
    </row>
    <row r="13" spans="1:18" x14ac:dyDescent="0.25">
      <c r="A13" s="124">
        <f>'[3]Avoided Costs Summary'!A13</f>
        <v>2030</v>
      </c>
      <c r="B13" s="124">
        <f>'Commodity Costs Avoided Detail'!AE11</f>
        <v>3.5557612338193301</v>
      </c>
      <c r="C13" s="124">
        <f>'Avoided Costs Summary'!H13</f>
        <v>6.1578600000000003</v>
      </c>
      <c r="D13" s="124">
        <f>'Avoided Costs Summary'!G13</f>
        <v>0.8162917715732223</v>
      </c>
      <c r="E13" s="124">
        <f>'Avoided Costs Summary'!N13</f>
        <v>0.6442738338206585</v>
      </c>
      <c r="F13" s="124">
        <f>'Avoided Costs Summary'!AD13</f>
        <v>4.71776518398263</v>
      </c>
      <c r="G13" s="124">
        <f>'Avoided Costs Summary'!BH13</f>
        <v>0.89178002516226196</v>
      </c>
      <c r="H13" s="124">
        <f t="shared" si="0"/>
        <v>16.783732048358104</v>
      </c>
      <c r="J13" s="124">
        <f t="shared" si="1"/>
        <v>3.5557612338193301</v>
      </c>
      <c r="K13" s="124">
        <f>'Avoided Costs Summary'!I13</f>
        <v>5.9572747331829063</v>
      </c>
      <c r="L13" s="124">
        <f t="shared" si="2"/>
        <v>0.8162917715732223</v>
      </c>
      <c r="M13" s="124">
        <f>'Avoided Costs Summary'!U13</f>
        <v>0.6442738338206585</v>
      </c>
      <c r="N13" s="124">
        <f>'Avoided Costs Summary'!AK13</f>
        <v>7.8131314811658026</v>
      </c>
      <c r="O13" s="124">
        <f>'Avoided Costs Summary'!BO13</f>
        <v>1.2013166548805794</v>
      </c>
      <c r="P13" s="124">
        <f t="shared" si="3"/>
        <v>19.9880497084425</v>
      </c>
    </row>
    <row r="14" spans="1:18" x14ac:dyDescent="0.25">
      <c r="A14" s="124">
        <f>'[3]Avoided Costs Summary'!A14</f>
        <v>2031</v>
      </c>
      <c r="B14" s="124">
        <f>'Commodity Costs Avoided Detail'!AE12</f>
        <v>3.5912431715702176</v>
      </c>
      <c r="C14" s="124">
        <f>'Avoided Costs Summary'!H14</f>
        <v>6.2109449999999997</v>
      </c>
      <c r="D14" s="124">
        <f>'Avoided Costs Summary'!G14</f>
        <v>0.80965237034685833</v>
      </c>
      <c r="E14" s="124">
        <f>'Avoided Costs Summary'!N14</f>
        <v>0.6442738338206585</v>
      </c>
      <c r="F14" s="124">
        <f>'Avoided Costs Summary'!AD14</f>
        <v>4.71776518398263</v>
      </c>
      <c r="G14" s="124">
        <f>'Avoided Costs Summary'!BH14</f>
        <v>0.89532821893735071</v>
      </c>
      <c r="H14" s="124">
        <f t="shared" si="0"/>
        <v>16.869207778657714</v>
      </c>
      <c r="J14" s="124">
        <f t="shared" si="1"/>
        <v>3.5912431715702176</v>
      </c>
      <c r="K14" s="124">
        <f>'Avoided Costs Summary'!I14</f>
        <v>6.0333250489256667</v>
      </c>
      <c r="L14" s="124">
        <f t="shared" si="2"/>
        <v>0.80965237034685833</v>
      </c>
      <c r="M14" s="124">
        <f>'Avoided Costs Summary'!U14</f>
        <v>0.6442738338206585</v>
      </c>
      <c r="N14" s="124">
        <f>'Avoided Costs Summary'!AK14</f>
        <v>7.8131314811658026</v>
      </c>
      <c r="O14" s="124">
        <f>'Avoided Costs Summary'!BO14</f>
        <v>1.2048648486556681</v>
      </c>
      <c r="P14" s="124">
        <f t="shared" si="3"/>
        <v>20.096490754484872</v>
      </c>
    </row>
    <row r="15" spans="1:18" x14ac:dyDescent="0.25">
      <c r="A15" s="124">
        <f>'[3]Avoided Costs Summary'!A15</f>
        <v>2032</v>
      </c>
      <c r="B15" s="124">
        <f>'Commodity Costs Avoided Detail'!AE13</f>
        <v>3.623699951550909</v>
      </c>
      <c r="C15" s="124">
        <f>'Avoided Costs Summary'!H15</f>
        <v>6.26403</v>
      </c>
      <c r="D15" s="124">
        <f>'Avoided Costs Summary'!G15</f>
        <v>0.9081101304517718</v>
      </c>
      <c r="E15" s="124">
        <f>'Avoided Costs Summary'!N15</f>
        <v>0.6442738338206585</v>
      </c>
      <c r="F15" s="124">
        <f>'Avoided Costs Summary'!AD15</f>
        <v>4.71776518398263</v>
      </c>
      <c r="G15" s="124">
        <f>'Avoided Costs Summary'!BH15</f>
        <v>0.89857389693541989</v>
      </c>
      <c r="H15" s="124">
        <f t="shared" si="0"/>
        <v>17.056452996741388</v>
      </c>
      <c r="J15" s="124">
        <f t="shared" si="1"/>
        <v>3.623699951550909</v>
      </c>
      <c r="K15" s="124">
        <f>'Avoided Costs Summary'!I15</f>
        <v>6.1093753646684279</v>
      </c>
      <c r="L15" s="124">
        <f t="shared" si="2"/>
        <v>0.9081101304517718</v>
      </c>
      <c r="M15" s="124">
        <f>'Avoided Costs Summary'!U15</f>
        <v>0.6442738338206585</v>
      </c>
      <c r="N15" s="124">
        <f>'Avoided Costs Summary'!AK15</f>
        <v>7.8131314811658026</v>
      </c>
      <c r="O15" s="124">
        <f>'Avoided Costs Summary'!BO15</f>
        <v>1.2081105266537371</v>
      </c>
      <c r="P15" s="124">
        <f t="shared" si="3"/>
        <v>20.306701288311306</v>
      </c>
    </row>
    <row r="16" spans="1:18" x14ac:dyDescent="0.25">
      <c r="A16" s="124">
        <f>'[3]Avoided Costs Summary'!A16</f>
        <v>2033</v>
      </c>
      <c r="B16" s="124">
        <f>'Commodity Costs Avoided Detail'!AE14</f>
        <v>3.6780873124986146</v>
      </c>
      <c r="C16" s="124">
        <f>'Avoided Costs Summary'!H16</f>
        <v>7.8840000000000003</v>
      </c>
      <c r="D16" s="124">
        <f>'Avoided Costs Summary'!G16</f>
        <v>0.89866906251562728</v>
      </c>
      <c r="E16" s="124">
        <f>'Avoided Costs Summary'!N16</f>
        <v>0.6442738338206585</v>
      </c>
      <c r="F16" s="124">
        <f>'Avoided Costs Summary'!AD16</f>
        <v>4.71776518398263</v>
      </c>
      <c r="G16" s="124">
        <f>'Avoided Costs Summary'!BH16</f>
        <v>0.90401263303019042</v>
      </c>
      <c r="H16" s="124">
        <f t="shared" si="0"/>
        <v>18.726808025847724</v>
      </c>
      <c r="J16" s="124">
        <f t="shared" si="1"/>
        <v>3.6780873124986146</v>
      </c>
      <c r="K16" s="124">
        <f>'Avoided Costs Summary'!I16</f>
        <v>6.1854256804111873</v>
      </c>
      <c r="L16" s="124">
        <f t="shared" si="2"/>
        <v>0.89866906251562728</v>
      </c>
      <c r="M16" s="124">
        <f>'Avoided Costs Summary'!U16</f>
        <v>0.6442738338206585</v>
      </c>
      <c r="N16" s="124">
        <f>'Avoided Costs Summary'!AK16</f>
        <v>7.8131314811658026</v>
      </c>
      <c r="O16" s="124">
        <f>'Avoided Costs Summary'!BO16</f>
        <v>1.2135492627485078</v>
      </c>
      <c r="P16" s="124">
        <f t="shared" si="3"/>
        <v>20.433136633160402</v>
      </c>
    </row>
    <row r="17" spans="1:18" x14ac:dyDescent="0.25">
      <c r="A17" s="124">
        <f>'[3]Avoided Costs Summary'!A17</f>
        <v>2034</v>
      </c>
      <c r="B17" s="124">
        <f>'Commodity Costs Avoided Detail'!AE15</f>
        <v>3.6728461032876671</v>
      </c>
      <c r="C17" s="124">
        <f>'Avoided Costs Summary'!H17</f>
        <v>7.601</v>
      </c>
      <c r="D17" s="124">
        <f>'Avoided Costs Summary'!G17</f>
        <v>0.96726188116472711</v>
      </c>
      <c r="E17" s="124">
        <f>'Avoided Costs Summary'!N17</f>
        <v>0.6442738338206585</v>
      </c>
      <c r="F17" s="124">
        <f>'Avoided Costs Summary'!AD17</f>
        <v>4.71776518398263</v>
      </c>
      <c r="G17" s="124">
        <f>'Avoided Costs Summary'!BH17</f>
        <v>0.90348851210909553</v>
      </c>
      <c r="H17" s="124">
        <f t="shared" si="0"/>
        <v>18.506635514364778</v>
      </c>
      <c r="J17" s="124">
        <f t="shared" si="1"/>
        <v>3.6728461032876671</v>
      </c>
      <c r="K17" s="124">
        <f>'Avoided Costs Summary'!I17</f>
        <v>6.2614759961539477</v>
      </c>
      <c r="L17" s="124">
        <f t="shared" si="2"/>
        <v>0.96726188116472711</v>
      </c>
      <c r="M17" s="124">
        <f>'Avoided Costs Summary'!U17</f>
        <v>0.6442738338206585</v>
      </c>
      <c r="N17" s="124">
        <f>'Avoided Costs Summary'!AK17</f>
        <v>7.8131314811658026</v>
      </c>
      <c r="O17" s="124">
        <f>'Avoided Costs Summary'!BO17</f>
        <v>1.2130251418274129</v>
      </c>
      <c r="P17" s="124">
        <f t="shared" si="3"/>
        <v>20.572014437420219</v>
      </c>
    </row>
    <row r="18" spans="1:18" x14ac:dyDescent="0.25">
      <c r="A18" s="124">
        <f>'[3]Avoided Costs Summary'!A18</f>
        <v>2035</v>
      </c>
      <c r="B18" s="124">
        <f>'Commodity Costs Avoided Detail'!AE16</f>
        <v>3.595308547219545</v>
      </c>
      <c r="C18" s="124">
        <f>'Avoided Costs Summary'!H18</f>
        <v>7.3079999999999998</v>
      </c>
      <c r="D18" s="124">
        <f>'Avoided Costs Summary'!G18</f>
        <v>1.0387817977358944</v>
      </c>
      <c r="E18" s="124">
        <f>'Avoided Costs Summary'!N18</f>
        <v>0.6442738338206585</v>
      </c>
      <c r="F18" s="124">
        <f>'Avoided Costs Summary'!AD18</f>
        <v>4.71776518398263</v>
      </c>
      <c r="G18" s="124">
        <f>'Avoided Costs Summary'!BH18</f>
        <v>0.89573475650228351</v>
      </c>
      <c r="H18" s="124">
        <f t="shared" si="0"/>
        <v>18.199864119261012</v>
      </c>
      <c r="J18" s="124">
        <f t="shared" si="1"/>
        <v>3.595308547219545</v>
      </c>
      <c r="K18" s="124">
        <f>'Avoided Costs Summary'!I18</f>
        <v>6.3375263118967089</v>
      </c>
      <c r="L18" s="124">
        <f t="shared" si="2"/>
        <v>1.0387817977358944</v>
      </c>
      <c r="M18" s="124">
        <f>'Avoided Costs Summary'!U18</f>
        <v>0.6442738338206585</v>
      </c>
      <c r="N18" s="124">
        <f>'Avoided Costs Summary'!AK18</f>
        <v>7.8131314811658026</v>
      </c>
      <c r="O18" s="124">
        <f>'Avoided Costs Summary'!BO18</f>
        <v>1.2052713862206008</v>
      </c>
      <c r="P18" s="124">
        <f t="shared" si="3"/>
        <v>20.63429335805921</v>
      </c>
    </row>
    <row r="19" spans="1:18" x14ac:dyDescent="0.25">
      <c r="A19" s="124">
        <f>'[3]Avoided Costs Summary'!A19</f>
        <v>2036</v>
      </c>
      <c r="B19" s="124">
        <f>'Commodity Costs Avoided Detail'!AE17</f>
        <v>3.648615397783681</v>
      </c>
      <c r="C19" s="124">
        <f>'Avoided Costs Summary'!H19</f>
        <v>12.750999999999999</v>
      </c>
      <c r="D19" s="124">
        <f>'Avoided Costs Summary'!G19</f>
        <v>1.036412651724604</v>
      </c>
      <c r="E19" s="124">
        <f>'Avoided Costs Summary'!N19</f>
        <v>0.6442738338206585</v>
      </c>
      <c r="F19" s="124">
        <f>'Avoided Costs Summary'!AD19</f>
        <v>4.71776518398263</v>
      </c>
      <c r="G19" s="124">
        <f>'Avoided Costs Summary'!BH19</f>
        <v>0.90106544155869706</v>
      </c>
      <c r="H19" s="124">
        <f t="shared" si="0"/>
        <v>23.699132508870267</v>
      </c>
      <c r="J19" s="124">
        <f t="shared" si="1"/>
        <v>3.648615397783681</v>
      </c>
      <c r="K19" s="124">
        <f>'Avoided Costs Summary'!I19</f>
        <v>6.4389267328870554</v>
      </c>
      <c r="L19" s="124">
        <f t="shared" si="2"/>
        <v>1.036412651724604</v>
      </c>
      <c r="M19" s="124">
        <f>'Avoided Costs Summary'!U19</f>
        <v>0.6442738338206585</v>
      </c>
      <c r="N19" s="124">
        <f>'Avoided Costs Summary'!AK19</f>
        <v>7.8131314811658026</v>
      </c>
      <c r="O19" s="124">
        <f>'Avoided Costs Summary'!BO19</f>
        <v>1.2106020712770142</v>
      </c>
      <c r="P19" s="124">
        <f t="shared" si="3"/>
        <v>20.79196216865882</v>
      </c>
    </row>
    <row r="20" spans="1:18" x14ac:dyDescent="0.25">
      <c r="A20" s="124">
        <f>'[3]Avoided Costs Summary'!A20</f>
        <v>2037</v>
      </c>
      <c r="B20" s="124">
        <f>'Commodity Costs Avoided Detail'!AE18</f>
        <v>3.6821655231922685</v>
      </c>
      <c r="C20" s="124">
        <f>'Avoided Costs Summary'!H20</f>
        <v>12.308</v>
      </c>
      <c r="D20" s="124">
        <f>'Avoided Costs Summary'!G20</f>
        <v>0.9529558562929572</v>
      </c>
      <c r="E20" s="124">
        <f>'Avoided Costs Summary'!N20</f>
        <v>0.6442738338206585</v>
      </c>
      <c r="F20" s="124">
        <f>'Avoided Costs Summary'!AD20</f>
        <v>4.71776518398263</v>
      </c>
      <c r="G20" s="124">
        <f>'Avoided Costs Summary'!BH20</f>
        <v>0.90442045409955585</v>
      </c>
      <c r="H20" s="124">
        <f t="shared" si="0"/>
        <v>23.209580851388065</v>
      </c>
      <c r="J20" s="124">
        <f t="shared" si="1"/>
        <v>3.6821655231922685</v>
      </c>
      <c r="K20" s="124">
        <f>'Avoided Costs Summary'!I20</f>
        <v>6.5403271538774037</v>
      </c>
      <c r="L20" s="124">
        <f t="shared" si="2"/>
        <v>0.9529558562929572</v>
      </c>
      <c r="M20" s="124">
        <f>'Avoided Costs Summary'!U20</f>
        <v>0.6442738338206585</v>
      </c>
      <c r="N20" s="124">
        <f>'Avoided Costs Summary'!AK20</f>
        <v>7.8131314811658026</v>
      </c>
      <c r="O20" s="124">
        <f>'Avoided Costs Summary'!BO20</f>
        <v>1.2139570838178733</v>
      </c>
      <c r="P20" s="124">
        <f t="shared" si="3"/>
        <v>20.846810932166967</v>
      </c>
    </row>
    <row r="21" spans="1:18" x14ac:dyDescent="0.25">
      <c r="A21" s="124">
        <f>'[3]Avoided Costs Summary'!A21</f>
        <v>2038</v>
      </c>
      <c r="B21" s="124">
        <f>'Commodity Costs Avoided Detail'!AE19</f>
        <v>3.6736781532736882</v>
      </c>
      <c r="C21" s="124">
        <f>'Avoided Costs Summary'!H21</f>
        <v>11.874000000000001</v>
      </c>
      <c r="D21" s="124">
        <f>'Avoided Costs Summary'!G21</f>
        <v>1.061560020905278</v>
      </c>
      <c r="E21" s="124">
        <f>'Avoided Costs Summary'!N21</f>
        <v>0.6442738338206585</v>
      </c>
      <c r="F21" s="124">
        <f>'Avoided Costs Summary'!AD21</f>
        <v>4.71776518398263</v>
      </c>
      <c r="G21" s="124">
        <f>'Avoided Costs Summary'!BH21</f>
        <v>0.90357171710769768</v>
      </c>
      <c r="H21" s="124">
        <f t="shared" si="0"/>
        <v>22.874848909089952</v>
      </c>
      <c r="J21" s="124">
        <f t="shared" si="1"/>
        <v>3.6736781532736882</v>
      </c>
      <c r="K21" s="124">
        <f>'Avoided Costs Summary'!I21</f>
        <v>6.6417275748677502</v>
      </c>
      <c r="L21" s="124">
        <f t="shared" si="2"/>
        <v>1.061560020905278</v>
      </c>
      <c r="M21" s="124">
        <f>'Avoided Costs Summary'!U21</f>
        <v>0.6442738338206585</v>
      </c>
      <c r="N21" s="124">
        <f>'Avoided Costs Summary'!AK21</f>
        <v>7.8131314811658026</v>
      </c>
      <c r="O21" s="124">
        <f>'Avoided Costs Summary'!BO21</f>
        <v>1.2131083468260151</v>
      </c>
      <c r="P21" s="124">
        <f t="shared" si="3"/>
        <v>21.047479410859193</v>
      </c>
    </row>
    <row r="22" spans="1:18" x14ac:dyDescent="0.25">
      <c r="A22" s="124">
        <f>'[3]Avoided Costs Summary'!A22</f>
        <v>2039</v>
      </c>
      <c r="B22" s="124">
        <f>'Commodity Costs Avoided Detail'!AE20</f>
        <v>3.7052969255326995</v>
      </c>
      <c r="C22" s="124">
        <f>'Avoided Costs Summary'!H22</f>
        <v>11.414</v>
      </c>
      <c r="D22" s="124">
        <f>'Avoided Costs Summary'!G22</f>
        <v>1.0430217644868609</v>
      </c>
      <c r="E22" s="124">
        <f>'Avoided Costs Summary'!N22</f>
        <v>0.6442738338206585</v>
      </c>
      <c r="F22" s="124">
        <f>'Avoided Costs Summary'!AD22</f>
        <v>4.71776518398263</v>
      </c>
      <c r="G22" s="124">
        <f>'Avoided Costs Summary'!BH22</f>
        <v>0.9067335943335989</v>
      </c>
      <c r="H22" s="124">
        <f t="shared" si="0"/>
        <v>22.43109130215645</v>
      </c>
      <c r="J22" s="124">
        <f t="shared" si="1"/>
        <v>3.7052969255326995</v>
      </c>
      <c r="K22" s="124">
        <f>'Avoided Costs Summary'!I22</f>
        <v>6.7431279958580985</v>
      </c>
      <c r="L22" s="124">
        <f t="shared" si="2"/>
        <v>1.0430217644868609</v>
      </c>
      <c r="M22" s="124">
        <f>'Avoided Costs Summary'!U22</f>
        <v>0.6442738338206585</v>
      </c>
      <c r="N22" s="124">
        <f>'Avoided Costs Summary'!AK22</f>
        <v>7.8131314811658026</v>
      </c>
      <c r="O22" s="124">
        <f>'Avoided Costs Summary'!BO22</f>
        <v>1.2162702240519163</v>
      </c>
      <c r="P22" s="124">
        <f t="shared" si="3"/>
        <v>21.16512222491604</v>
      </c>
    </row>
    <row r="23" spans="1:18" x14ac:dyDescent="0.25">
      <c r="A23" s="124">
        <f>'[3]Avoided Costs Summary'!A23</f>
        <v>2040</v>
      </c>
      <c r="B23" s="124">
        <f>'Commodity Costs Avoided Detail'!AE21</f>
        <v>3.750331926860079</v>
      </c>
      <c r="C23" s="124">
        <f>'Avoided Costs Summary'!H23</f>
        <v>10.836</v>
      </c>
      <c r="D23" s="124">
        <f>'Avoided Costs Summary'!G23</f>
        <v>1.1064120820750554</v>
      </c>
      <c r="E23" s="124">
        <f>'Avoided Costs Summary'!N23</f>
        <v>0.6442738338206585</v>
      </c>
      <c r="F23" s="124">
        <f>'Avoided Costs Summary'!AD23</f>
        <v>4.71776518398263</v>
      </c>
      <c r="G23" s="124">
        <f>'Avoided Costs Summary'!BH23</f>
        <v>0.91123709446633683</v>
      </c>
      <c r="H23" s="124">
        <f t="shared" si="0"/>
        <v>21.966020121204757</v>
      </c>
      <c r="J23" s="124">
        <f t="shared" si="1"/>
        <v>3.750331926860079</v>
      </c>
      <c r="K23" s="124">
        <f>'Avoided Costs Summary'!I23</f>
        <v>6.844528416848445</v>
      </c>
      <c r="L23" s="124">
        <f t="shared" si="2"/>
        <v>1.1064120820750554</v>
      </c>
      <c r="M23" s="124">
        <f>'Avoided Costs Summary'!U23</f>
        <v>0.6442738338206585</v>
      </c>
      <c r="N23" s="124">
        <f>'Avoided Costs Summary'!AK23</f>
        <v>7.8131314811658026</v>
      </c>
      <c r="O23" s="124">
        <f>'Avoided Costs Summary'!BO23</f>
        <v>1.2207737241846541</v>
      </c>
      <c r="P23" s="124">
        <f t="shared" si="3"/>
        <v>21.379451464954691</v>
      </c>
    </row>
    <row r="24" spans="1:18" x14ac:dyDescent="0.25">
      <c r="A24" s="124">
        <f>'[3]Avoided Costs Summary'!A24</f>
        <v>2041</v>
      </c>
      <c r="B24" s="124">
        <f>'Commodity Costs Avoided Detail'!AE22</f>
        <v>3.7658494534382312</v>
      </c>
      <c r="C24" s="124">
        <f>'Avoided Costs Summary'!H24</f>
        <v>10.35</v>
      </c>
      <c r="D24" s="124">
        <f>'Avoided Costs Summary'!G24</f>
        <v>1.1025056164197338</v>
      </c>
      <c r="E24" s="124">
        <f>'Avoided Costs Summary'!N24</f>
        <v>0.6442738338206585</v>
      </c>
      <c r="F24" s="124">
        <f>'Avoided Costs Summary'!AD24</f>
        <v>4.71776518398263</v>
      </c>
      <c r="G24" s="124">
        <f>'Avoided Costs Summary'!BH24</f>
        <v>0.91278884712415198</v>
      </c>
      <c r="H24" s="124">
        <f t="shared" si="0"/>
        <v>21.493182934785406</v>
      </c>
      <c r="J24" s="124">
        <f t="shared" si="1"/>
        <v>3.7658494534382312</v>
      </c>
      <c r="K24" s="124">
        <f>'Avoided Costs Summary'!I24</f>
        <v>6.9205787325912063</v>
      </c>
      <c r="L24" s="124">
        <f t="shared" si="2"/>
        <v>1.1025056164197338</v>
      </c>
      <c r="M24" s="124">
        <f>'Avoided Costs Summary'!U24</f>
        <v>0.6442738338206585</v>
      </c>
      <c r="N24" s="124">
        <f>'Avoided Costs Summary'!AK24</f>
        <v>7.8131314811658026</v>
      </c>
      <c r="O24" s="124">
        <f>'Avoided Costs Summary'!BO24</f>
        <v>1.2223254768424692</v>
      </c>
      <c r="P24" s="124">
        <f t="shared" si="3"/>
        <v>21.468664594278103</v>
      </c>
    </row>
    <row r="25" spans="1:18" x14ac:dyDescent="0.25">
      <c r="A25" s="124">
        <f>'[3]Avoided Costs Summary'!A25</f>
        <v>2042</v>
      </c>
      <c r="B25" s="124">
        <f>'Commodity Costs Avoided Detail'!AE23</f>
        <v>3.8982541475621248</v>
      </c>
      <c r="C25" s="124">
        <f>'Avoided Costs Summary'!H25</f>
        <v>9.8870000000000005</v>
      </c>
      <c r="D25" s="124">
        <f>'Avoided Costs Summary'!G25</f>
        <v>1.1189897840548277</v>
      </c>
      <c r="E25" s="124">
        <f>'Avoided Costs Summary'!N25</f>
        <v>0.6442738338206585</v>
      </c>
      <c r="F25" s="124">
        <f>'Avoided Costs Summary'!AD25</f>
        <v>4.71776518398263</v>
      </c>
      <c r="G25" s="124">
        <f>'Avoided Costs Summary'!BH25</f>
        <v>0.92602931653654152</v>
      </c>
      <c r="H25" s="124">
        <f t="shared" si="0"/>
        <v>21.192312265956783</v>
      </c>
      <c r="J25" s="124">
        <f t="shared" si="1"/>
        <v>3.8982541475621248</v>
      </c>
      <c r="K25" s="124">
        <f>'Avoided Costs Summary'!I25</f>
        <v>6.9966290483339666</v>
      </c>
      <c r="L25" s="124">
        <f t="shared" si="2"/>
        <v>1.1189897840548277</v>
      </c>
      <c r="M25" s="124">
        <f>'Avoided Costs Summary'!U25</f>
        <v>0.6442738338206585</v>
      </c>
      <c r="N25" s="124">
        <f>'Avoided Costs Summary'!AK25</f>
        <v>7.8131314811658026</v>
      </c>
      <c r="O25" s="124">
        <f>'Avoided Costs Summary'!BO25</f>
        <v>1.2355659462548587</v>
      </c>
      <c r="P25" s="124">
        <f t="shared" si="3"/>
        <v>21.70684424119224</v>
      </c>
    </row>
    <row r="26" spans="1:18" x14ac:dyDescent="0.25">
      <c r="A26" s="124">
        <f>'[3]Avoided Costs Summary'!A26</f>
        <v>2043</v>
      </c>
      <c r="B26" s="124">
        <f>'Commodity Costs Avoided Detail'!AE24</f>
        <v>3.98511916323173</v>
      </c>
      <c r="C26" s="124">
        <f>'Avoided Costs Summary'!H26</f>
        <v>9.3360000000000003</v>
      </c>
      <c r="D26" s="124">
        <f>'Avoided Costs Summary'!G26</f>
        <v>1.1202723279637365</v>
      </c>
      <c r="E26" s="124">
        <f>'Avoided Costs Summary'!N26</f>
        <v>0.6442738338206585</v>
      </c>
      <c r="F26" s="124">
        <f>'Avoided Costs Summary'!AD26</f>
        <v>4.71776518398263</v>
      </c>
      <c r="G26" s="124">
        <f>'Avoided Costs Summary'!BH26</f>
        <v>0.93471581810350191</v>
      </c>
      <c r="H26" s="124">
        <f t="shared" si="0"/>
        <v>20.738146327102257</v>
      </c>
      <c r="J26" s="124">
        <f t="shared" si="1"/>
        <v>3.98511916323173</v>
      </c>
      <c r="K26" s="124">
        <f>'Avoided Costs Summary'!I26</f>
        <v>7.0726793640767269</v>
      </c>
      <c r="L26" s="124">
        <f t="shared" si="2"/>
        <v>1.1202723279637365</v>
      </c>
      <c r="M26" s="124">
        <f>'Avoided Costs Summary'!U26</f>
        <v>0.6442738338206585</v>
      </c>
      <c r="N26" s="124">
        <f>'Avoided Costs Summary'!AK26</f>
        <v>7.8131314811658026</v>
      </c>
      <c r="O26" s="124">
        <f>'Avoided Costs Summary'!BO26</f>
        <v>1.2442524478218191</v>
      </c>
      <c r="P26" s="124">
        <f t="shared" si="3"/>
        <v>21.879728618080474</v>
      </c>
    </row>
    <row r="27" spans="1:18" x14ac:dyDescent="0.25">
      <c r="A27" s="124">
        <f>'[3]Avoided Costs Summary'!A27</f>
        <v>2044</v>
      </c>
      <c r="B27" s="124">
        <f>'Commodity Costs Avoided Detail'!AE25</f>
        <v>4.0479832953707566</v>
      </c>
      <c r="C27" s="124">
        <f>'Avoided Costs Summary'!H27</f>
        <v>8.8710000000000004</v>
      </c>
      <c r="D27" s="124">
        <f>'Avoided Costs Summary'!G27</f>
        <v>1.1430552130874769</v>
      </c>
      <c r="E27" s="124">
        <f>'Avoided Costs Summary'!N27</f>
        <v>0.6442738338206585</v>
      </c>
      <c r="F27" s="124">
        <f>'Avoided Costs Summary'!AD27</f>
        <v>4.71776518398263</v>
      </c>
      <c r="G27" s="124">
        <f>'Avoided Costs Summary'!BH27</f>
        <v>0.94100223131740468</v>
      </c>
      <c r="H27" s="124">
        <f t="shared" si="0"/>
        <v>20.365079757578929</v>
      </c>
      <c r="J27" s="124">
        <f t="shared" si="1"/>
        <v>4.0479832953707566</v>
      </c>
      <c r="K27" s="124">
        <f>'Avoided Costs Summary'!I27</f>
        <v>7.1487296798194873</v>
      </c>
      <c r="L27" s="124">
        <f t="shared" si="2"/>
        <v>1.1430552130874769</v>
      </c>
      <c r="M27" s="124">
        <f>'Avoided Costs Summary'!U27</f>
        <v>0.6442738338206585</v>
      </c>
      <c r="N27" s="124">
        <f>'Avoided Costs Summary'!AK27</f>
        <v>7.8131314811658026</v>
      </c>
      <c r="O27" s="124">
        <f>'Avoided Costs Summary'!BO27</f>
        <v>1.250538861035722</v>
      </c>
      <c r="P27" s="124">
        <f t="shared" si="3"/>
        <v>22.047712364299905</v>
      </c>
      <c r="R27" s="22" t="s">
        <v>148</v>
      </c>
    </row>
    <row r="28" spans="1:18" x14ac:dyDescent="0.25">
      <c r="A28" s="124">
        <f>'[3]Avoided Costs Summary'!A28</f>
        <v>2045</v>
      </c>
      <c r="B28" s="124">
        <f>'Commodity Costs Avoided Detail'!AE26</f>
        <v>4.0870366689802848</v>
      </c>
      <c r="C28" s="124">
        <f>'Avoided Costs Summary'!H28</f>
        <v>8.2829999999999995</v>
      </c>
      <c r="D28" s="124">
        <f>'Avoided Costs Summary'!G28</f>
        <v>1.1541454312745167</v>
      </c>
      <c r="E28" s="124">
        <f>'Avoided Costs Summary'!N28</f>
        <v>0.6442738338206585</v>
      </c>
      <c r="F28" s="124">
        <f>'Avoided Costs Summary'!AD28</f>
        <v>4.71776518398263</v>
      </c>
      <c r="G28" s="124">
        <f>'Avoided Costs Summary'!BH28</f>
        <v>0.94490756867835735</v>
      </c>
      <c r="H28" s="124">
        <f t="shared" si="0"/>
        <v>19.831128686736445</v>
      </c>
      <c r="J28" s="124">
        <f t="shared" si="1"/>
        <v>4.0870366689802848</v>
      </c>
      <c r="K28" s="124">
        <f>'Avoided Costs Summary'!I28</f>
        <v>7.2247799955622476</v>
      </c>
      <c r="L28" s="124">
        <f t="shared" si="2"/>
        <v>1.1541454312745167</v>
      </c>
      <c r="M28" s="124">
        <f>'Avoided Costs Summary'!U28</f>
        <v>0.6442738338206585</v>
      </c>
      <c r="N28" s="124">
        <f>'Avoided Costs Summary'!AK28</f>
        <v>7.8131314811658026</v>
      </c>
      <c r="O28" s="124">
        <f>'Avoided Costs Summary'!BO28</f>
        <v>1.2544441983966745</v>
      </c>
      <c r="P28" s="124">
        <f t="shared" si="3"/>
        <v>22.177811609200184</v>
      </c>
    </row>
    <row r="29" spans="1:18" x14ac:dyDescent="0.25">
      <c r="A29" s="124">
        <f>'[3]Avoided Costs Summary'!A29</f>
        <v>2046</v>
      </c>
      <c r="B29" s="124">
        <f>'Commodity Costs Avoided Detail'!AE27</f>
        <v>4.1246031030084334</v>
      </c>
      <c r="C29" s="124">
        <f>'Avoided Costs Summary'!H29</f>
        <v>7.7060000000000004</v>
      </c>
      <c r="D29" s="124">
        <f>'Avoided Costs Summary'!G29</f>
        <v>1.2643753089176268</v>
      </c>
      <c r="E29" s="124">
        <f>'Avoided Costs Summary'!N29</f>
        <v>0.6442738338206585</v>
      </c>
      <c r="F29" s="124">
        <f>'Avoided Costs Summary'!AD29</f>
        <v>4.71776518398263</v>
      </c>
      <c r="G29" s="124">
        <f>'Avoided Costs Summary'!BH29</f>
        <v>0.94866421208117235</v>
      </c>
      <c r="H29" s="124">
        <f t="shared" si="0"/>
        <v>19.405681641810521</v>
      </c>
      <c r="J29" s="124">
        <f t="shared" si="1"/>
        <v>4.1246031030084334</v>
      </c>
      <c r="K29" s="124">
        <f>'Avoided Costs Summary'!I29</f>
        <v>7.326180416552595</v>
      </c>
      <c r="L29" s="124">
        <f t="shared" si="2"/>
        <v>1.2643753089176268</v>
      </c>
      <c r="M29" s="124">
        <f>'Avoided Costs Summary'!U29</f>
        <v>0.6442738338206585</v>
      </c>
      <c r="N29" s="124">
        <f>'Avoided Costs Summary'!AK29</f>
        <v>7.8131314811658026</v>
      </c>
      <c r="O29" s="124">
        <f>'Avoided Costs Summary'!BO29</f>
        <v>1.2582008417994897</v>
      </c>
      <c r="P29" s="124">
        <f t="shared" si="3"/>
        <v>22.430764985264606</v>
      </c>
    </row>
    <row r="30" spans="1:18" x14ac:dyDescent="0.25">
      <c r="A30" s="124">
        <f>'[3]Avoided Costs Summary'!A30</f>
        <v>2047</v>
      </c>
      <c r="B30" s="124">
        <f>'Commodity Costs Avoided Detail'!AE28</f>
        <v>4.2073083414359722</v>
      </c>
      <c r="C30" s="124">
        <f>'Avoided Costs Summary'!H30</f>
        <v>7.2619999999999996</v>
      </c>
      <c r="D30" s="124">
        <f>'Avoided Costs Summary'!G30</f>
        <v>1.207893446635762</v>
      </c>
      <c r="E30" s="124">
        <f>'Avoided Costs Summary'!N30</f>
        <v>0.6442738338206585</v>
      </c>
      <c r="F30" s="124">
        <f>'Avoided Costs Summary'!AD30</f>
        <v>4.71776518398263</v>
      </c>
      <c r="G30" s="124">
        <f>'Avoided Costs Summary'!BH30</f>
        <v>0.95693473592392619</v>
      </c>
      <c r="H30" s="124">
        <f t="shared" si="0"/>
        <v>18.996175541798952</v>
      </c>
      <c r="J30" s="124">
        <f t="shared" si="1"/>
        <v>4.2073083414359722</v>
      </c>
      <c r="K30" s="124">
        <f>'Avoided Costs Summary'!I30</f>
        <v>7.4275808375429424</v>
      </c>
      <c r="L30" s="124">
        <f t="shared" si="2"/>
        <v>1.207893446635762</v>
      </c>
      <c r="M30" s="124">
        <f>'Avoided Costs Summary'!U30</f>
        <v>0.6442738338206585</v>
      </c>
      <c r="N30" s="124">
        <f>'Avoided Costs Summary'!AK30</f>
        <v>7.8131314811658026</v>
      </c>
      <c r="O30" s="124">
        <f>'Avoided Costs Summary'!BO30</f>
        <v>1.2664713656422435</v>
      </c>
      <c r="P30" s="124">
        <f t="shared" si="3"/>
        <v>22.56665930624338</v>
      </c>
    </row>
    <row r="31" spans="1:18" x14ac:dyDescent="0.25">
      <c r="A31" s="124">
        <f>'[3]Avoided Costs Summary'!A31</f>
        <v>2048</v>
      </c>
      <c r="B31" s="124">
        <f>'Commodity Costs Avoided Detail'!AE29</f>
        <v>4.2781292509793563</v>
      </c>
      <c r="C31" s="124">
        <f>'Avoided Costs Summary'!H31</f>
        <v>6.8239999999999998</v>
      </c>
      <c r="D31" s="124">
        <f>'Avoided Costs Summary'!G31</f>
        <v>1.2730401947527064</v>
      </c>
      <c r="E31" s="124">
        <f>'Avoided Costs Summary'!N31</f>
        <v>0.6442738338206585</v>
      </c>
      <c r="F31" s="124">
        <f>'Avoided Costs Summary'!AD31</f>
        <v>4.71776518398263</v>
      </c>
      <c r="G31" s="124">
        <f>'Avoided Costs Summary'!BH31</f>
        <v>0.96401682687826451</v>
      </c>
      <c r="H31" s="124">
        <f t="shared" si="0"/>
        <v>18.701225290413618</v>
      </c>
      <c r="J31" s="124">
        <f t="shared" si="1"/>
        <v>4.2781292509793563</v>
      </c>
      <c r="K31" s="124">
        <f>'Avoided Costs Summary'!I31</f>
        <v>7.5289812585332898</v>
      </c>
      <c r="L31" s="124">
        <f t="shared" si="2"/>
        <v>1.2730401947527064</v>
      </c>
      <c r="M31" s="124">
        <f>'Avoided Costs Summary'!U31</f>
        <v>0.6442738338206585</v>
      </c>
      <c r="N31" s="124">
        <f>'Avoided Costs Summary'!AK31</f>
        <v>7.8131314811658026</v>
      </c>
      <c r="O31" s="124">
        <f>'Avoided Costs Summary'!BO31</f>
        <v>1.2735534565965818</v>
      </c>
      <c r="P31" s="124">
        <f t="shared" si="3"/>
        <v>22.811109475848397</v>
      </c>
    </row>
    <row r="32" spans="1:18" x14ac:dyDescent="0.25">
      <c r="A32" s="124">
        <f>'[3]Avoided Costs Summary'!A32</f>
        <v>2049</v>
      </c>
      <c r="B32" s="124">
        <f>'Commodity Costs Avoided Detail'!AE30</f>
        <v>4.3179624183101417</v>
      </c>
      <c r="C32" s="124">
        <f>'Avoided Costs Summary'!H32</f>
        <v>6.3360000000000003</v>
      </c>
      <c r="D32" s="124">
        <f>'Avoided Costs Summary'!G32</f>
        <v>1.2484376301133508</v>
      </c>
      <c r="E32" s="124">
        <f>'Avoided Costs Summary'!N32</f>
        <v>0.6442738338206585</v>
      </c>
      <c r="F32" s="124">
        <f>'Avoided Costs Summary'!AD32</f>
        <v>4.71776518398263</v>
      </c>
      <c r="G32" s="124">
        <f>'Avoided Costs Summary'!BH32</f>
        <v>0.96800014361134312</v>
      </c>
      <c r="H32" s="124">
        <f t="shared" si="0"/>
        <v>18.232439209838123</v>
      </c>
      <c r="J32" s="124">
        <f t="shared" si="1"/>
        <v>4.3179624183101417</v>
      </c>
      <c r="K32" s="124">
        <f>'Avoided Costs Summary'!I32</f>
        <v>7.6303816795236381</v>
      </c>
      <c r="L32" s="124">
        <f t="shared" si="2"/>
        <v>1.2484376301133508</v>
      </c>
      <c r="M32" s="124">
        <f>'Avoided Costs Summary'!U32</f>
        <v>0.6442738338206585</v>
      </c>
      <c r="N32" s="124">
        <f>'Avoided Costs Summary'!AK32</f>
        <v>7.8131314811658026</v>
      </c>
      <c r="O32" s="124">
        <f>'Avoided Costs Summary'!BO32</f>
        <v>1.2775367733296603</v>
      </c>
      <c r="P32" s="124">
        <f t="shared" si="3"/>
        <v>22.931723816263254</v>
      </c>
    </row>
    <row r="33" spans="1:16" x14ac:dyDescent="0.25">
      <c r="A33" s="124">
        <f>'[3]Avoided Costs Summary'!A33</f>
        <v>2050</v>
      </c>
      <c r="B33" s="124">
        <f>'Commodity Costs Avoided Detail'!AE31</f>
        <v>4.4818391418678116</v>
      </c>
      <c r="C33" s="124">
        <f>'Avoided Costs Summary'!H33</f>
        <v>5.8319999999999999</v>
      </c>
      <c r="D33" s="124">
        <f>'Avoided Costs Summary'!G33</f>
        <v>1.2821042176259949</v>
      </c>
      <c r="E33" s="124">
        <f>'Avoided Costs Summary'!N33</f>
        <v>0.6442738338206585</v>
      </c>
      <c r="F33" s="124">
        <f>'Avoided Costs Summary'!AD33</f>
        <v>4.71776518398263</v>
      </c>
      <c r="G33" s="124">
        <f>'Avoided Costs Summary'!BH33</f>
        <v>0.98438781596711</v>
      </c>
      <c r="H33" s="124">
        <f t="shared" si="0"/>
        <v>17.942370193264203</v>
      </c>
      <c r="J33" s="124">
        <f t="shared" si="1"/>
        <v>4.4818391418678116</v>
      </c>
      <c r="K33" s="124">
        <f>'Avoided Costs Summary'!I33</f>
        <v>7.7317821005139846</v>
      </c>
      <c r="L33" s="124">
        <f t="shared" si="2"/>
        <v>1.2821042176259949</v>
      </c>
      <c r="M33" s="124">
        <f>'Avoided Costs Summary'!U33</f>
        <v>0.6442738338206585</v>
      </c>
      <c r="N33" s="124">
        <f>'Avoided Costs Summary'!AK33</f>
        <v>7.8131314811658026</v>
      </c>
      <c r="O33" s="124">
        <f>'Avoided Costs Summary'!BO33</f>
        <v>1.2939244456854273</v>
      </c>
      <c r="P33" s="124">
        <f t="shared" si="3"/>
        <v>23.247055220679677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67"/>
  <sheetViews>
    <sheetView zoomScale="90" zoomScaleNormal="90" workbookViewId="0">
      <selection activeCell="L3" sqref="L3"/>
    </sheetView>
  </sheetViews>
  <sheetFormatPr defaultRowHeight="15" x14ac:dyDescent="0.25"/>
  <cols>
    <col min="1" max="1" width="12.140625" customWidth="1"/>
    <col min="2" max="2" width="9.140625" customWidth="1"/>
    <col min="16" max="16" width="13.140625" customWidth="1"/>
    <col min="17" max="28" width="6.5703125" customWidth="1"/>
    <col min="30" max="30" width="8.85546875" customWidth="1"/>
    <col min="31" max="32" width="11.5703125" customWidth="1"/>
    <col min="33" max="33" width="10.5703125" customWidth="1"/>
  </cols>
  <sheetData>
    <row r="1" spans="1:35" ht="14.45" customHeight="1" thickBot="1" x14ac:dyDescent="0.3">
      <c r="A1" t="s">
        <v>108</v>
      </c>
      <c r="Q1" s="44" t="s">
        <v>57</v>
      </c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316" t="s">
        <v>119</v>
      </c>
      <c r="AE1" s="317"/>
      <c r="AF1" s="317"/>
      <c r="AG1" s="317"/>
      <c r="AH1" s="318"/>
      <c r="AI1" s="117"/>
    </row>
    <row r="2" spans="1:35" ht="28.7" customHeight="1" x14ac:dyDescent="0.25">
      <c r="A2" s="40" t="s">
        <v>42</v>
      </c>
      <c r="B2" s="40" t="s">
        <v>43</v>
      </c>
      <c r="C2" s="40" t="s">
        <v>44</v>
      </c>
      <c r="D2" s="40" t="s">
        <v>45</v>
      </c>
      <c r="E2" s="40" t="s">
        <v>46</v>
      </c>
      <c r="F2" s="40" t="s">
        <v>47</v>
      </c>
      <c r="G2" s="40" t="s">
        <v>48</v>
      </c>
      <c r="H2" s="40" t="s">
        <v>49</v>
      </c>
      <c r="I2" s="40" t="s">
        <v>50</v>
      </c>
      <c r="J2" s="40" t="s">
        <v>51</v>
      </c>
      <c r="K2" s="40" t="s">
        <v>52</v>
      </c>
      <c r="L2" s="40" t="s">
        <v>53</v>
      </c>
      <c r="M2" s="40" t="s">
        <v>54</v>
      </c>
      <c r="N2" s="41" t="s">
        <v>55</v>
      </c>
      <c r="P2" s="45"/>
      <c r="Q2" s="46" t="s">
        <v>58</v>
      </c>
      <c r="R2" s="46" t="s">
        <v>59</v>
      </c>
      <c r="S2" s="46" t="s">
        <v>60</v>
      </c>
      <c r="T2" s="46" t="s">
        <v>61</v>
      </c>
      <c r="U2" s="46" t="s">
        <v>62</v>
      </c>
      <c r="V2" s="46" t="s">
        <v>63</v>
      </c>
      <c r="W2" s="46" t="s">
        <v>64</v>
      </c>
      <c r="X2" s="46" t="s">
        <v>65</v>
      </c>
      <c r="Y2" s="46" t="s">
        <v>66</v>
      </c>
      <c r="Z2" s="46" t="s">
        <v>67</v>
      </c>
      <c r="AA2" s="46" t="s">
        <v>68</v>
      </c>
      <c r="AB2" s="46" t="s">
        <v>69</v>
      </c>
      <c r="AD2" s="118"/>
      <c r="AE2" s="105" t="s">
        <v>72</v>
      </c>
      <c r="AF2" s="105" t="s">
        <v>11</v>
      </c>
      <c r="AG2" s="105" t="s">
        <v>101</v>
      </c>
      <c r="AH2" s="105" t="s">
        <v>13</v>
      </c>
    </row>
    <row r="3" spans="1:35" x14ac:dyDescent="0.25">
      <c r="A3" s="35">
        <v>2022</v>
      </c>
      <c r="B3" s="36">
        <v>5.200430103527351</v>
      </c>
      <c r="C3" s="36">
        <v>5.0036921513743806</v>
      </c>
      <c r="D3" s="36">
        <v>4.7048330822198867</v>
      </c>
      <c r="E3" s="36">
        <v>5.4251117863036287</v>
      </c>
      <c r="F3" s="36">
        <v>5.4413800514832387</v>
      </c>
      <c r="G3" s="36">
        <v>5.4562845687568684</v>
      </c>
      <c r="H3" s="36">
        <v>5.3542851027133302</v>
      </c>
      <c r="I3" s="36">
        <v>5.3692684913740809</v>
      </c>
      <c r="J3" s="36">
        <v>4.9588819253077494</v>
      </c>
      <c r="K3" s="36">
        <v>5.1144855997494574</v>
      </c>
      <c r="L3" s="36">
        <v>4.9217990272567302</v>
      </c>
      <c r="M3" s="36">
        <v>5.3155950171188282</v>
      </c>
      <c r="N3" s="50">
        <f>AVERAGE(B3:M3)</f>
        <v>5.1888372422654614</v>
      </c>
      <c r="P3" s="46" t="s">
        <v>70</v>
      </c>
      <c r="Q3" s="83">
        <v>0.20357644474883524</v>
      </c>
      <c r="R3" s="83">
        <v>0.14547860941347318</v>
      </c>
      <c r="S3" s="83">
        <v>0.12279570006497546</v>
      </c>
      <c r="T3" s="83">
        <v>7.0390014268996839E-2</v>
      </c>
      <c r="U3" s="83">
        <v>3.3400491491967242E-2</v>
      </c>
      <c r="V3" s="83">
        <v>5.9916737644436684E-3</v>
      </c>
      <c r="W3" s="83">
        <v>2.4068309470860662E-4</v>
      </c>
      <c r="X3" s="83">
        <v>1.3157560344665095E-3</v>
      </c>
      <c r="Y3" s="83">
        <v>8.1595836194615964E-3</v>
      </c>
      <c r="Z3" s="83">
        <v>6.2406758042658522E-2</v>
      </c>
      <c r="AA3" s="83">
        <v>0.1285372060784663</v>
      </c>
      <c r="AB3" s="83">
        <v>0.21770707937754671</v>
      </c>
      <c r="AD3" s="35">
        <v>2022</v>
      </c>
      <c r="AE3" s="47">
        <f t="shared" ref="AE3:AE31" si="0">SUMPRODUCT(B3:M3,Q$3:AB$3)</f>
        <v>5.1185304336064732</v>
      </c>
      <c r="AF3" s="36">
        <f t="shared" ref="AF3:AF31" si="1">SUMPRODUCT(B3:M3,Q$4:AB$4)</f>
        <v>5.1839670409288114</v>
      </c>
      <c r="AG3" s="36">
        <f t="shared" ref="AG3:AG31" si="2">SUMPRODUCT(B3:M3,Q$5:AB$5)</f>
        <v>5.1888372422654623</v>
      </c>
      <c r="AH3" s="36">
        <f t="shared" ref="AH3:AH31" si="3">SUMPRODUCT(B3:M3,Q$6:AB$6)</f>
        <v>5.1888372422654614</v>
      </c>
    </row>
    <row r="4" spans="1:35" x14ac:dyDescent="0.25">
      <c r="A4" s="35">
        <v>2023</v>
      </c>
      <c r="B4" s="36">
        <v>5.1036359554054025</v>
      </c>
      <c r="C4" s="36">
        <v>4.7597560708256923</v>
      </c>
      <c r="D4" s="36">
        <v>4.1893219514246436</v>
      </c>
      <c r="E4" s="36">
        <v>3.8576327888511726</v>
      </c>
      <c r="F4" s="36">
        <v>3.8014266925220741</v>
      </c>
      <c r="G4" s="36">
        <v>3.7898703306586956</v>
      </c>
      <c r="H4" s="36">
        <v>3.8014994445316033</v>
      </c>
      <c r="I4" s="36">
        <v>3.8220439812367832</v>
      </c>
      <c r="J4" s="36">
        <v>3.9101804321990428</v>
      </c>
      <c r="K4" s="36">
        <v>4.3029572720999836</v>
      </c>
      <c r="L4" s="36">
        <v>3.5408928896524907</v>
      </c>
      <c r="M4" s="36">
        <v>3.7888887686155828</v>
      </c>
      <c r="N4" s="50">
        <f t="shared" ref="N4:N31" si="4">AVERAGE(B4:M4)</f>
        <v>4.0556755481685975</v>
      </c>
      <c r="P4" s="46" t="s">
        <v>11</v>
      </c>
      <c r="Q4" s="83">
        <v>0.10050761421319797</v>
      </c>
      <c r="R4" s="83">
        <v>9.6446700507614197E-2</v>
      </c>
      <c r="S4" s="83">
        <v>9.2385786802030453E-2</v>
      </c>
      <c r="T4" s="83">
        <v>8.8324873096446682E-2</v>
      </c>
      <c r="U4" s="83">
        <v>8.3248730964466999E-2</v>
      </c>
      <c r="V4" s="83">
        <v>7.918781725888327E-2</v>
      </c>
      <c r="W4" s="83">
        <v>7.3096446700507592E-2</v>
      </c>
      <c r="X4" s="83">
        <v>6.8020304568527937E-2</v>
      </c>
      <c r="Y4" s="83">
        <v>6.9035532994923848E-2</v>
      </c>
      <c r="Z4" s="83">
        <v>7.3096446700507592E-2</v>
      </c>
      <c r="AA4" s="83">
        <v>8.1218274111675121E-2</v>
      </c>
      <c r="AB4" s="83">
        <v>9.5431472081218258E-2</v>
      </c>
      <c r="AD4" s="119">
        <v>2023</v>
      </c>
      <c r="AE4" s="47">
        <f t="shared" si="0"/>
        <v>4.2534567714265599</v>
      </c>
      <c r="AF4" s="36">
        <f t="shared" si="1"/>
        <v>4.0878406967039549</v>
      </c>
      <c r="AG4" s="36">
        <f t="shared" si="2"/>
        <v>4.0556755481685975</v>
      </c>
      <c r="AH4" s="36">
        <f t="shared" si="3"/>
        <v>4.0556755481685975</v>
      </c>
    </row>
    <row r="5" spans="1:35" x14ac:dyDescent="0.25">
      <c r="A5" s="35">
        <v>2024</v>
      </c>
      <c r="B5" s="36">
        <v>3.6171300054329971</v>
      </c>
      <c r="C5" s="36">
        <v>3.3501175173143252</v>
      </c>
      <c r="D5" s="36">
        <v>3.0217438440563265</v>
      </c>
      <c r="E5" s="36">
        <v>2.7907955979568428</v>
      </c>
      <c r="F5" s="36">
        <v>2.7413779354057484</v>
      </c>
      <c r="G5" s="36">
        <v>2.7245509057269262</v>
      </c>
      <c r="H5" s="36">
        <v>2.774753825960818</v>
      </c>
      <c r="I5" s="36">
        <v>2.7835289281856772</v>
      </c>
      <c r="J5" s="36">
        <v>2.8804109529438175</v>
      </c>
      <c r="K5" s="36">
        <v>3.1516741827004773</v>
      </c>
      <c r="L5" s="36">
        <v>3.8410515249203896</v>
      </c>
      <c r="M5" s="36">
        <v>4.1116934347227927</v>
      </c>
      <c r="N5" s="50">
        <f t="shared" si="4"/>
        <v>3.1490690546105955</v>
      </c>
      <c r="P5" s="46" t="s">
        <v>101</v>
      </c>
      <c r="Q5" s="83">
        <v>8.3333333333333343E-2</v>
      </c>
      <c r="R5" s="83">
        <v>8.3333333333333343E-2</v>
      </c>
      <c r="S5" s="83">
        <v>8.3333333333333343E-2</v>
      </c>
      <c r="T5" s="83">
        <v>8.3333333333333343E-2</v>
      </c>
      <c r="U5" s="83">
        <v>8.3333333333333343E-2</v>
      </c>
      <c r="V5" s="83">
        <v>8.3333333333333343E-2</v>
      </c>
      <c r="W5" s="83">
        <v>8.3333333333333343E-2</v>
      </c>
      <c r="X5" s="83">
        <v>8.3333333333333343E-2</v>
      </c>
      <c r="Y5" s="83">
        <v>8.3333333333333343E-2</v>
      </c>
      <c r="Z5" s="83">
        <v>8.3333333333333315E-2</v>
      </c>
      <c r="AA5" s="83">
        <v>8.3333333333333343E-2</v>
      </c>
      <c r="AB5" s="83">
        <v>8.3333333333333343E-2</v>
      </c>
      <c r="AD5" s="119">
        <v>2024</v>
      </c>
      <c r="AE5" s="47">
        <f t="shared" si="0"/>
        <v>3.5125039916768053</v>
      </c>
      <c r="AF5" s="36">
        <f t="shared" si="1"/>
        <v>3.1820237637907374</v>
      </c>
      <c r="AG5" s="36">
        <f t="shared" si="2"/>
        <v>3.1490690546105951</v>
      </c>
      <c r="AH5" s="36">
        <f t="shared" si="3"/>
        <v>3.1490690546105955</v>
      </c>
    </row>
    <row r="6" spans="1:35" x14ac:dyDescent="0.25">
      <c r="A6" s="35">
        <v>2025</v>
      </c>
      <c r="B6" s="36">
        <v>3.9573965430658813</v>
      </c>
      <c r="C6" s="36">
        <v>3.5917617577786443</v>
      </c>
      <c r="D6" s="36">
        <v>3.3424513788069046</v>
      </c>
      <c r="E6" s="36">
        <v>3.080714397426346</v>
      </c>
      <c r="F6" s="36">
        <v>3.0341700541961685</v>
      </c>
      <c r="G6" s="36">
        <v>3.0115100792322886</v>
      </c>
      <c r="H6" s="36">
        <v>3.0459779481425935</v>
      </c>
      <c r="I6" s="36">
        <v>3.0414233680161917</v>
      </c>
      <c r="J6" s="36">
        <v>3.1597730771913408</v>
      </c>
      <c r="K6" s="36">
        <v>3.3841118537610679</v>
      </c>
      <c r="L6" s="36">
        <v>3.5960901251785176</v>
      </c>
      <c r="M6" s="36">
        <v>3.8378575703042141</v>
      </c>
      <c r="N6" s="50">
        <f t="shared" si="4"/>
        <v>3.34026984609168</v>
      </c>
      <c r="P6" s="46" t="s">
        <v>71</v>
      </c>
      <c r="Q6" s="83">
        <v>8.3333333333333343E-2</v>
      </c>
      <c r="R6" s="83">
        <v>8.3333333333333343E-2</v>
      </c>
      <c r="S6" s="83">
        <v>8.3333333333333343E-2</v>
      </c>
      <c r="T6" s="83">
        <v>8.3333333333333343E-2</v>
      </c>
      <c r="U6" s="83">
        <v>8.3333333333333343E-2</v>
      </c>
      <c r="V6" s="83">
        <v>8.3333333333333356E-2</v>
      </c>
      <c r="W6" s="83">
        <v>8.3333333333333343E-2</v>
      </c>
      <c r="X6" s="83">
        <v>8.3333333333333343E-2</v>
      </c>
      <c r="Y6" s="83">
        <v>8.3333333333333343E-2</v>
      </c>
      <c r="Z6" s="83">
        <v>8.3333333333333343E-2</v>
      </c>
      <c r="AA6" s="83">
        <v>8.3333333333333343E-2</v>
      </c>
      <c r="AB6" s="83">
        <v>8.3333333333333329E-2</v>
      </c>
      <c r="AD6" s="119">
        <v>2025</v>
      </c>
      <c r="AE6" s="47">
        <f t="shared" si="0"/>
        <v>3.6143030779979286</v>
      </c>
      <c r="AF6" s="36">
        <f t="shared" si="1"/>
        <v>3.3694789905484823</v>
      </c>
      <c r="AG6" s="36">
        <f t="shared" si="2"/>
        <v>3.3402698460916804</v>
      </c>
      <c r="AH6" s="36">
        <f t="shared" si="3"/>
        <v>3.3402698460916804</v>
      </c>
    </row>
    <row r="7" spans="1:35" x14ac:dyDescent="0.25">
      <c r="A7" s="35">
        <v>2026</v>
      </c>
      <c r="B7" s="36">
        <v>3.6502377881044077</v>
      </c>
      <c r="C7" s="36">
        <v>3.3333839151602236</v>
      </c>
      <c r="D7" s="36">
        <v>3.0863150035816123</v>
      </c>
      <c r="E7" s="36">
        <v>2.8015723919589299</v>
      </c>
      <c r="F7" s="36">
        <v>2.7632538988065214</v>
      </c>
      <c r="G7" s="36">
        <v>2.7459555600957684</v>
      </c>
      <c r="H7" s="36">
        <v>2.7704383120909388</v>
      </c>
      <c r="I7" s="36">
        <v>2.7681631278481498</v>
      </c>
      <c r="J7" s="36">
        <v>2.8840398168941208</v>
      </c>
      <c r="K7" s="36">
        <v>3.1696355847599089</v>
      </c>
      <c r="L7" s="36">
        <v>3.5205697743517872</v>
      </c>
      <c r="M7" s="36">
        <v>3.7493256678224456</v>
      </c>
      <c r="N7" s="50">
        <f t="shared" si="4"/>
        <v>3.103574236789568</v>
      </c>
      <c r="AD7" s="119">
        <v>2026</v>
      </c>
      <c r="AE7" s="47">
        <f t="shared" si="0"/>
        <v>3.4074015418175341</v>
      </c>
      <c r="AF7" s="36">
        <f t="shared" si="1"/>
        <v>3.1337634336952851</v>
      </c>
      <c r="AG7" s="36">
        <f t="shared" si="2"/>
        <v>3.103574236789568</v>
      </c>
      <c r="AH7" s="36">
        <f t="shared" si="3"/>
        <v>3.1035742367895685</v>
      </c>
    </row>
    <row r="8" spans="1:35" x14ac:dyDescent="0.25">
      <c r="A8" s="35">
        <v>2027</v>
      </c>
      <c r="B8" s="36">
        <v>3.5746618157289909</v>
      </c>
      <c r="C8" s="36">
        <v>3.252157741057446</v>
      </c>
      <c r="D8" s="36">
        <v>3.0272297646655386</v>
      </c>
      <c r="E8" s="36">
        <v>2.7736834898796867</v>
      </c>
      <c r="F8" s="36">
        <v>2.7606147999587538</v>
      </c>
      <c r="G8" s="36">
        <v>2.7322600015204301</v>
      </c>
      <c r="H8" s="36">
        <v>2.7677382324813666</v>
      </c>
      <c r="I8" s="36">
        <v>2.7566972751088823</v>
      </c>
      <c r="J8" s="36">
        <v>2.8559142792282031</v>
      </c>
      <c r="K8" s="36">
        <v>3.1922841059331555</v>
      </c>
      <c r="L8" s="36">
        <v>3.6743129780180754</v>
      </c>
      <c r="M8" s="36">
        <v>3.8941066729236695</v>
      </c>
      <c r="N8" s="50">
        <f t="shared" si="4"/>
        <v>3.105138429708683</v>
      </c>
      <c r="AD8" s="119">
        <v>2027</v>
      </c>
      <c r="AE8" s="47">
        <f t="shared" si="0"/>
        <v>3.4232604267860922</v>
      </c>
      <c r="AF8" s="36">
        <f t="shared" si="1"/>
        <v>3.1341473435115379</v>
      </c>
      <c r="AG8" s="36">
        <f t="shared" si="2"/>
        <v>3.105138429708683</v>
      </c>
      <c r="AH8" s="36">
        <f t="shared" si="3"/>
        <v>3.1051384297086835</v>
      </c>
    </row>
    <row r="9" spans="1:35" x14ac:dyDescent="0.25">
      <c r="A9" s="35">
        <v>2028</v>
      </c>
      <c r="B9" s="36">
        <v>3.7597621402365244</v>
      </c>
      <c r="C9" s="36">
        <v>3.4142990982043875</v>
      </c>
      <c r="D9" s="36">
        <v>3.1140379073397528</v>
      </c>
      <c r="E9" s="36">
        <v>2.8328353121792107</v>
      </c>
      <c r="F9" s="36">
        <v>2.7912605360137328</v>
      </c>
      <c r="G9" s="36">
        <v>2.7805373229674513</v>
      </c>
      <c r="H9" s="36">
        <v>2.8121269961956141</v>
      </c>
      <c r="I9" s="36">
        <v>2.8115529500572261</v>
      </c>
      <c r="J9" s="36">
        <v>2.9260596035655206</v>
      </c>
      <c r="K9" s="36">
        <v>3.2687983746642968</v>
      </c>
      <c r="L9" s="36">
        <v>3.71426767220593</v>
      </c>
      <c r="M9" s="36">
        <v>4.0419691729131957</v>
      </c>
      <c r="N9" s="50">
        <f t="shared" si="4"/>
        <v>3.1889589238785709</v>
      </c>
      <c r="AD9" s="119">
        <v>2028</v>
      </c>
      <c r="AE9" s="47">
        <f t="shared" si="0"/>
        <v>3.5434234029988914</v>
      </c>
      <c r="AF9" s="36">
        <f t="shared" si="1"/>
        <v>3.2227751335161892</v>
      </c>
      <c r="AG9" s="36">
        <f t="shared" si="2"/>
        <v>3.1889589238785709</v>
      </c>
      <c r="AH9" s="36">
        <f t="shared" si="3"/>
        <v>3.1889589238785709</v>
      </c>
    </row>
    <row r="10" spans="1:35" x14ac:dyDescent="0.25">
      <c r="A10" s="35">
        <v>2029</v>
      </c>
      <c r="B10" s="36">
        <v>3.9163089207965411</v>
      </c>
      <c r="C10" s="36">
        <v>3.4215261213826529</v>
      </c>
      <c r="D10" s="36">
        <v>3.2068257685387587</v>
      </c>
      <c r="E10" s="36">
        <v>2.9557661893881084</v>
      </c>
      <c r="F10" s="36">
        <v>2.9146539013159427</v>
      </c>
      <c r="G10" s="36">
        <v>2.8936638416833462</v>
      </c>
      <c r="H10" s="36">
        <v>2.9087401967018613</v>
      </c>
      <c r="I10" s="36">
        <v>2.9088297916848949</v>
      </c>
      <c r="J10" s="36">
        <v>3.0091325442519321</v>
      </c>
      <c r="K10" s="36">
        <v>3.3132112352715173</v>
      </c>
      <c r="L10" s="36">
        <v>3.70691579909849</v>
      </c>
      <c r="M10" s="36">
        <v>3.9668757900870886</v>
      </c>
      <c r="N10" s="50">
        <f t="shared" si="4"/>
        <v>3.2602041750167614</v>
      </c>
      <c r="AD10" s="119">
        <v>2029</v>
      </c>
      <c r="AE10" s="47">
        <f t="shared" si="0"/>
        <v>3.5874976888439321</v>
      </c>
      <c r="AF10" s="36">
        <f t="shared" si="1"/>
        <v>3.2927639269171354</v>
      </c>
      <c r="AG10" s="36">
        <f t="shared" si="2"/>
        <v>3.2602041750167619</v>
      </c>
      <c r="AH10" s="36">
        <f t="shared" si="3"/>
        <v>3.2602041750167619</v>
      </c>
    </row>
    <row r="11" spans="1:35" x14ac:dyDescent="0.25">
      <c r="A11" s="35">
        <v>2030</v>
      </c>
      <c r="B11" s="36">
        <v>3.7883497478881885</v>
      </c>
      <c r="C11" s="36">
        <v>3.3418090239836848</v>
      </c>
      <c r="D11" s="36">
        <v>3.1429052406526132</v>
      </c>
      <c r="E11" s="36">
        <v>2.9141574475941292</v>
      </c>
      <c r="F11" s="36">
        <v>2.8761056167115502</v>
      </c>
      <c r="G11" s="36">
        <v>2.8614678487409861</v>
      </c>
      <c r="H11" s="36">
        <v>2.8859687899477366</v>
      </c>
      <c r="I11" s="36">
        <v>2.8986907730271034</v>
      </c>
      <c r="J11" s="36">
        <v>3.0048945748156384</v>
      </c>
      <c r="K11" s="36">
        <v>3.2971867178407699</v>
      </c>
      <c r="L11" s="36">
        <v>3.7983290098242408</v>
      </c>
      <c r="M11" s="36">
        <v>4.0011973064747828</v>
      </c>
      <c r="N11" s="50">
        <f t="shared" si="4"/>
        <v>3.2342551747917851</v>
      </c>
      <c r="AD11" s="119">
        <v>2030</v>
      </c>
      <c r="AE11" s="47">
        <f t="shared" si="0"/>
        <v>3.5557612338193301</v>
      </c>
      <c r="AF11" s="36">
        <f t="shared" si="1"/>
        <v>3.2637572456520019</v>
      </c>
      <c r="AG11" s="36">
        <f t="shared" si="2"/>
        <v>3.2342551747917856</v>
      </c>
      <c r="AH11" s="36">
        <f t="shared" si="3"/>
        <v>3.2342551747917856</v>
      </c>
    </row>
    <row r="12" spans="1:35" x14ac:dyDescent="0.25">
      <c r="A12" s="35">
        <v>2031</v>
      </c>
      <c r="B12" s="36">
        <v>3.8339366320833252</v>
      </c>
      <c r="C12" s="36">
        <v>3.4649435554293135</v>
      </c>
      <c r="D12" s="36">
        <v>3.2058428541160349</v>
      </c>
      <c r="E12" s="36">
        <v>2.9451805809462459</v>
      </c>
      <c r="F12" s="36">
        <v>2.9157496809491885</v>
      </c>
      <c r="G12" s="36">
        <v>2.8909458705255502</v>
      </c>
      <c r="H12" s="36">
        <v>2.9162311153800378</v>
      </c>
      <c r="I12" s="36">
        <v>2.9195659395646367</v>
      </c>
      <c r="J12" s="36">
        <v>3.0272395733428143</v>
      </c>
      <c r="K12" s="36">
        <v>3.3404489517215543</v>
      </c>
      <c r="L12" s="36">
        <v>3.7745303096820249</v>
      </c>
      <c r="M12" s="36">
        <v>3.9874964521993475</v>
      </c>
      <c r="N12" s="50">
        <f t="shared" si="4"/>
        <v>3.2685092929950064</v>
      </c>
      <c r="AD12" s="119">
        <v>2031</v>
      </c>
      <c r="AE12" s="47">
        <f t="shared" si="0"/>
        <v>3.5912431715702176</v>
      </c>
      <c r="AF12" s="36">
        <f t="shared" si="1"/>
        <v>3.299500803450254</v>
      </c>
      <c r="AG12" s="36">
        <f t="shared" si="2"/>
        <v>3.2685092929950059</v>
      </c>
      <c r="AH12" s="36">
        <f t="shared" si="3"/>
        <v>3.2685092929950059</v>
      </c>
    </row>
    <row r="13" spans="1:35" x14ac:dyDescent="0.25">
      <c r="A13" s="35">
        <v>2032</v>
      </c>
      <c r="B13" s="36">
        <v>3.8210405242653041</v>
      </c>
      <c r="C13" s="36">
        <v>3.4160891904263377</v>
      </c>
      <c r="D13" s="36">
        <v>3.2291871671337722</v>
      </c>
      <c r="E13" s="36">
        <v>2.9961470802713848</v>
      </c>
      <c r="F13" s="36">
        <v>2.9664309497226147</v>
      </c>
      <c r="G13" s="36">
        <v>2.9454570585659914</v>
      </c>
      <c r="H13" s="36">
        <v>2.9709997345343773</v>
      </c>
      <c r="I13" s="36">
        <v>2.9711503293342272</v>
      </c>
      <c r="J13" s="36">
        <v>3.0852285024763355</v>
      </c>
      <c r="K13" s="36">
        <v>3.4621660486388075</v>
      </c>
      <c r="L13" s="36">
        <v>3.8227322567355158</v>
      </c>
      <c r="M13" s="36">
        <v>4.0764689816975057</v>
      </c>
      <c r="N13" s="50">
        <f t="shared" si="4"/>
        <v>3.3135914853168473</v>
      </c>
      <c r="AD13" s="119">
        <v>2032</v>
      </c>
      <c r="AE13" s="47">
        <f t="shared" si="0"/>
        <v>3.623699951550909</v>
      </c>
      <c r="AF13" s="36">
        <f t="shared" si="1"/>
        <v>3.3415050894128053</v>
      </c>
      <c r="AG13" s="36">
        <f t="shared" si="2"/>
        <v>3.3135914853168482</v>
      </c>
      <c r="AH13" s="36">
        <f t="shared" si="3"/>
        <v>3.3135914853168482</v>
      </c>
    </row>
    <row r="14" spans="1:35" x14ac:dyDescent="0.25">
      <c r="A14" s="35">
        <v>2033</v>
      </c>
      <c r="B14" s="36">
        <v>3.916906578748343</v>
      </c>
      <c r="C14" s="36">
        <v>3.4564906425681108</v>
      </c>
      <c r="D14" s="36">
        <v>3.2636737580900079</v>
      </c>
      <c r="E14" s="36">
        <v>3.055571885107712</v>
      </c>
      <c r="F14" s="36">
        <v>3.0235006694172597</v>
      </c>
      <c r="G14" s="36">
        <v>3.0174913464505111</v>
      </c>
      <c r="H14" s="36">
        <v>3.0550351527748023</v>
      </c>
      <c r="I14" s="36">
        <v>3.0545530177891154</v>
      </c>
      <c r="J14" s="36">
        <v>3.179698829135039</v>
      </c>
      <c r="K14" s="36">
        <v>3.4957380048192843</v>
      </c>
      <c r="L14" s="36">
        <v>3.8432307600047908</v>
      </c>
      <c r="M14" s="36">
        <v>4.1343794707546051</v>
      </c>
      <c r="N14" s="50">
        <f t="shared" si="4"/>
        <v>3.3746891763049653</v>
      </c>
      <c r="AD14" s="119">
        <v>2033</v>
      </c>
      <c r="AE14" s="47">
        <f t="shared" si="0"/>
        <v>3.6780873124986146</v>
      </c>
      <c r="AF14" s="36">
        <f t="shared" si="1"/>
        <v>3.4019098266163623</v>
      </c>
      <c r="AG14" s="36">
        <f t="shared" si="2"/>
        <v>3.3746891763049658</v>
      </c>
      <c r="AH14" s="36">
        <f t="shared" si="3"/>
        <v>3.3746891763049658</v>
      </c>
    </row>
    <row r="15" spans="1:35" x14ac:dyDescent="0.25">
      <c r="A15" s="35">
        <v>2034</v>
      </c>
      <c r="B15" s="36">
        <v>3.9672840171032822</v>
      </c>
      <c r="C15" s="36">
        <v>3.5857695494407715</v>
      </c>
      <c r="D15" s="36">
        <v>3.3550982916373404</v>
      </c>
      <c r="E15" s="36">
        <v>3.1019060821982709</v>
      </c>
      <c r="F15" s="36">
        <v>3.072787387816609</v>
      </c>
      <c r="G15" s="36">
        <v>3.0544432614746366</v>
      </c>
      <c r="H15" s="36">
        <v>3.082920012165399</v>
      </c>
      <c r="I15" s="36">
        <v>3.0796110106007619</v>
      </c>
      <c r="J15" s="36">
        <v>3.1978460383991227</v>
      </c>
      <c r="K15" s="36">
        <v>3.4567443797795234</v>
      </c>
      <c r="L15" s="36">
        <v>3.7684383021090921</v>
      </c>
      <c r="M15" s="36">
        <v>3.9561561922876387</v>
      </c>
      <c r="N15" s="50">
        <f t="shared" si="4"/>
        <v>3.3899170437510371</v>
      </c>
      <c r="AD15" s="119">
        <v>2034</v>
      </c>
      <c r="AE15" s="47">
        <f t="shared" si="0"/>
        <v>3.6728461032876671</v>
      </c>
      <c r="AF15" s="36">
        <f t="shared" si="1"/>
        <v>3.4180722736665183</v>
      </c>
      <c r="AG15" s="36">
        <f t="shared" si="2"/>
        <v>3.3899170437510375</v>
      </c>
      <c r="AH15" s="36">
        <f t="shared" si="3"/>
        <v>3.3899170437510375</v>
      </c>
    </row>
    <row r="16" spans="1:35" x14ac:dyDescent="0.25">
      <c r="A16" s="35">
        <v>2035</v>
      </c>
      <c r="B16" s="36">
        <v>3.7723570247785783</v>
      </c>
      <c r="C16" s="36">
        <v>3.3697007026460355</v>
      </c>
      <c r="D16" s="36">
        <v>3.1581667190637623</v>
      </c>
      <c r="E16" s="36">
        <v>3.0034417300488543</v>
      </c>
      <c r="F16" s="36">
        <v>2.9831513136960162</v>
      </c>
      <c r="G16" s="36">
        <v>2.9637830152089206</v>
      </c>
      <c r="H16" s="36">
        <v>2.9962202682050285</v>
      </c>
      <c r="I16" s="36">
        <v>3.0051222607967483</v>
      </c>
      <c r="J16" s="36">
        <v>3.1481160658100547</v>
      </c>
      <c r="K16" s="36">
        <v>3.4535673640396829</v>
      </c>
      <c r="L16" s="36">
        <v>3.8480091567484154</v>
      </c>
      <c r="M16" s="36">
        <v>4.0421609305170314</v>
      </c>
      <c r="N16" s="50">
        <f t="shared" si="4"/>
        <v>3.3119830459632609</v>
      </c>
      <c r="AD16" s="119">
        <v>2035</v>
      </c>
      <c r="AE16" s="47">
        <f t="shared" si="0"/>
        <v>3.595308547219545</v>
      </c>
      <c r="AF16" s="36">
        <f t="shared" si="1"/>
        <v>3.3357103051182069</v>
      </c>
      <c r="AG16" s="36">
        <f t="shared" si="2"/>
        <v>3.3119830459632609</v>
      </c>
      <c r="AH16" s="36">
        <f t="shared" si="3"/>
        <v>3.3119830459632613</v>
      </c>
    </row>
    <row r="17" spans="1:35" x14ac:dyDescent="0.25">
      <c r="A17" s="35">
        <v>2036</v>
      </c>
      <c r="B17" s="36">
        <v>3.8330114036295946</v>
      </c>
      <c r="C17" s="36">
        <v>3.4845529928275942</v>
      </c>
      <c r="D17" s="36">
        <v>3.2875145491287054</v>
      </c>
      <c r="E17" s="36">
        <v>3.0025280551447611</v>
      </c>
      <c r="F17" s="36">
        <v>2.9700968208831848</v>
      </c>
      <c r="G17" s="36">
        <v>2.9500804867065531</v>
      </c>
      <c r="H17" s="36">
        <v>2.9756245190259532</v>
      </c>
      <c r="I17" s="36">
        <v>2.9941037551194229</v>
      </c>
      <c r="J17" s="36">
        <v>3.1134097050908283</v>
      </c>
      <c r="K17" s="36">
        <v>3.3829077618693906</v>
      </c>
      <c r="L17" s="36">
        <v>3.8873476847091095</v>
      </c>
      <c r="M17" s="36">
        <v>4.0816883382101983</v>
      </c>
      <c r="N17" s="50">
        <f t="shared" si="4"/>
        <v>3.3302388393621083</v>
      </c>
      <c r="AD17" s="119">
        <v>2036</v>
      </c>
      <c r="AE17" s="47">
        <f t="shared" si="0"/>
        <v>3.648615397783681</v>
      </c>
      <c r="AF17" s="36">
        <f t="shared" si="1"/>
        <v>3.3597322839126087</v>
      </c>
      <c r="AG17" s="36">
        <f t="shared" si="2"/>
        <v>3.3302388393621087</v>
      </c>
      <c r="AH17" s="36">
        <f t="shared" si="3"/>
        <v>3.3302388393621092</v>
      </c>
    </row>
    <row r="18" spans="1:35" x14ac:dyDescent="0.25">
      <c r="A18" s="35">
        <v>2037</v>
      </c>
      <c r="B18" s="36">
        <v>3.8989567721314553</v>
      </c>
      <c r="C18" s="36">
        <v>3.520096754561493</v>
      </c>
      <c r="D18" s="36">
        <v>3.3588006953764515</v>
      </c>
      <c r="E18" s="36">
        <v>3.1014669384159723</v>
      </c>
      <c r="F18" s="36">
        <v>3.077639219904579</v>
      </c>
      <c r="G18" s="36">
        <v>3.0644271975397741</v>
      </c>
      <c r="H18" s="36">
        <v>3.1065710745889912</v>
      </c>
      <c r="I18" s="36">
        <v>3.1028652329862618</v>
      </c>
      <c r="J18" s="36">
        <v>3.2407461950660732</v>
      </c>
      <c r="K18" s="36">
        <v>3.5742715512491725</v>
      </c>
      <c r="L18" s="36">
        <v>3.803608488068055</v>
      </c>
      <c r="M18" s="36">
        <v>4.0475455883414178</v>
      </c>
      <c r="N18" s="50">
        <f t="shared" si="4"/>
        <v>3.408082975685808</v>
      </c>
      <c r="AD18" s="119">
        <v>2037</v>
      </c>
      <c r="AE18" s="47">
        <f t="shared" si="0"/>
        <v>3.6821655231922685</v>
      </c>
      <c r="AF18" s="36">
        <f t="shared" si="1"/>
        <v>3.4328096261629835</v>
      </c>
      <c r="AG18" s="36">
        <f t="shared" si="2"/>
        <v>3.4080829756858084</v>
      </c>
      <c r="AH18" s="36">
        <f t="shared" si="3"/>
        <v>3.4080829756858084</v>
      </c>
    </row>
    <row r="19" spans="1:35" x14ac:dyDescent="0.25">
      <c r="A19" s="35">
        <v>2038</v>
      </c>
      <c r="B19" s="36">
        <v>3.8896871723174629</v>
      </c>
      <c r="C19" s="36">
        <v>3.4638435966347694</v>
      </c>
      <c r="D19" s="36">
        <v>3.2741111563454925</v>
      </c>
      <c r="E19" s="36">
        <v>3.1232119238779505</v>
      </c>
      <c r="F19" s="36">
        <v>3.0909299162974264</v>
      </c>
      <c r="G19" s="36">
        <v>3.0845451017034806</v>
      </c>
      <c r="H19" s="36">
        <v>3.1219684680087005</v>
      </c>
      <c r="I19" s="36">
        <v>3.1251092972563805</v>
      </c>
      <c r="J19" s="36">
        <v>3.2574812512815146</v>
      </c>
      <c r="K19" s="36">
        <v>3.4898777668099226</v>
      </c>
      <c r="L19" s="36">
        <v>3.8394137263535693</v>
      </c>
      <c r="M19" s="36">
        <v>4.0952366033093472</v>
      </c>
      <c r="N19" s="50">
        <f t="shared" si="4"/>
        <v>3.4046179983496678</v>
      </c>
      <c r="AD19" s="119">
        <v>2038</v>
      </c>
      <c r="AE19" s="47">
        <f t="shared" si="0"/>
        <v>3.6736781532736882</v>
      </c>
      <c r="AF19" s="36">
        <f t="shared" si="1"/>
        <v>3.4283328031913092</v>
      </c>
      <c r="AG19" s="36">
        <f t="shared" si="2"/>
        <v>3.4046179983496678</v>
      </c>
      <c r="AH19" s="36">
        <f t="shared" si="3"/>
        <v>3.4046179983496683</v>
      </c>
    </row>
    <row r="20" spans="1:35" x14ac:dyDescent="0.25">
      <c r="A20" s="35">
        <v>2039</v>
      </c>
      <c r="B20" s="36">
        <v>3.9114166887943727</v>
      </c>
      <c r="C20" s="36">
        <v>3.5303091556914112</v>
      </c>
      <c r="D20" s="36">
        <v>3.3502031581882639</v>
      </c>
      <c r="E20" s="36">
        <v>3.1282483313315641</v>
      </c>
      <c r="F20" s="36">
        <v>3.096835675247569</v>
      </c>
      <c r="G20" s="36">
        <v>3.0724860833908023</v>
      </c>
      <c r="H20" s="36">
        <v>3.0996580124007078</v>
      </c>
      <c r="I20" s="36">
        <v>3.0987300962805508</v>
      </c>
      <c r="J20" s="36">
        <v>3.2070976916143481</v>
      </c>
      <c r="K20" s="36">
        <v>3.4278768579941983</v>
      </c>
      <c r="L20" s="36">
        <v>3.8979012825929655</v>
      </c>
      <c r="M20" s="36">
        <v>4.115930410492501</v>
      </c>
      <c r="N20" s="50">
        <f t="shared" si="4"/>
        <v>3.4113911203349385</v>
      </c>
      <c r="AD20" s="119">
        <v>2039</v>
      </c>
      <c r="AE20" s="47">
        <f t="shared" si="0"/>
        <v>3.7052969255326995</v>
      </c>
      <c r="AF20" s="36">
        <f t="shared" si="1"/>
        <v>3.4392282085480468</v>
      </c>
      <c r="AG20" s="36">
        <f t="shared" si="2"/>
        <v>3.4113911203349381</v>
      </c>
      <c r="AH20" s="36">
        <f t="shared" si="3"/>
        <v>3.4113911203349381</v>
      </c>
    </row>
    <row r="21" spans="1:35" x14ac:dyDescent="0.25">
      <c r="A21" s="35">
        <v>2040</v>
      </c>
      <c r="B21" s="36">
        <v>3.9375908752313205</v>
      </c>
      <c r="C21" s="36">
        <v>3.5074221819090328</v>
      </c>
      <c r="D21" s="36">
        <v>3.3364176198550703</v>
      </c>
      <c r="E21" s="36">
        <v>3.1715489298866073</v>
      </c>
      <c r="F21" s="36">
        <v>3.149293833633259</v>
      </c>
      <c r="G21" s="36">
        <v>3.1498568964243061</v>
      </c>
      <c r="H21" s="36">
        <v>3.2118719118996846</v>
      </c>
      <c r="I21" s="36">
        <v>3.2318107049358846</v>
      </c>
      <c r="J21" s="36">
        <v>3.3849780885965655</v>
      </c>
      <c r="K21" s="36">
        <v>3.6612670941713241</v>
      </c>
      <c r="L21" s="36">
        <v>3.9795511292998587</v>
      </c>
      <c r="M21" s="36">
        <v>4.1745025710954584</v>
      </c>
      <c r="N21" s="50">
        <f t="shared" si="4"/>
        <v>3.4913426530781977</v>
      </c>
      <c r="AD21" s="119">
        <v>2040</v>
      </c>
      <c r="AE21" s="47">
        <f t="shared" si="0"/>
        <v>3.750331926860079</v>
      </c>
      <c r="AF21" s="36">
        <f t="shared" si="1"/>
        <v>3.5115121464310386</v>
      </c>
      <c r="AG21" s="36">
        <f t="shared" si="2"/>
        <v>3.4913426530781981</v>
      </c>
      <c r="AH21" s="36">
        <f t="shared" si="3"/>
        <v>3.4913426530781981</v>
      </c>
      <c r="AI21">
        <f>2.1+(0.25*4.9)</f>
        <v>3.3250000000000002</v>
      </c>
    </row>
    <row r="22" spans="1:35" x14ac:dyDescent="0.25">
      <c r="A22" s="35">
        <v>2041</v>
      </c>
      <c r="B22" s="36">
        <v>3.9490962116238828</v>
      </c>
      <c r="C22" s="36">
        <v>3.5123409893586546</v>
      </c>
      <c r="D22" s="36">
        <v>3.3495974047847032</v>
      </c>
      <c r="E22" s="36">
        <v>3.1371471001952651</v>
      </c>
      <c r="F22" s="36">
        <v>3.117240548307318</v>
      </c>
      <c r="G22" s="36">
        <v>3.0947674965974636</v>
      </c>
      <c r="H22" s="36">
        <v>3.1377153348305495</v>
      </c>
      <c r="I22" s="36">
        <v>3.1677554993993633</v>
      </c>
      <c r="J22" s="36">
        <v>3.3068239667521189</v>
      </c>
      <c r="K22" s="36">
        <v>3.569275737078129</v>
      </c>
      <c r="L22" s="36">
        <v>4.0171902941324591</v>
      </c>
      <c r="M22" s="36">
        <v>4.2494023449901253</v>
      </c>
      <c r="N22" s="50">
        <f t="shared" si="4"/>
        <v>3.4673627440041694</v>
      </c>
      <c r="AD22" s="119">
        <v>2041</v>
      </c>
      <c r="AE22" s="47">
        <f t="shared" si="0"/>
        <v>3.7658494534382312</v>
      </c>
      <c r="AF22" s="36">
        <f t="shared" si="1"/>
        <v>3.492598700024395</v>
      </c>
      <c r="AG22" s="36">
        <f t="shared" si="2"/>
        <v>3.4673627440041694</v>
      </c>
      <c r="AH22" s="36">
        <f t="shared" si="3"/>
        <v>3.4673627440041694</v>
      </c>
      <c r="AI22">
        <f>AI21-2.81</f>
        <v>0.51500000000000012</v>
      </c>
    </row>
    <row r="23" spans="1:35" x14ac:dyDescent="0.25">
      <c r="A23" s="119">
        <v>2042</v>
      </c>
      <c r="B23" s="36">
        <v>4.0660207996835869</v>
      </c>
      <c r="C23" s="36">
        <v>3.6759208678770419</v>
      </c>
      <c r="D23" s="36">
        <v>3.5156621088903077</v>
      </c>
      <c r="E23" s="36">
        <v>3.2872220674585191</v>
      </c>
      <c r="F23" s="36">
        <v>3.2657798741916073</v>
      </c>
      <c r="G23" s="36">
        <v>3.2396347343298477</v>
      </c>
      <c r="H23" s="36">
        <v>3.2883956686939473</v>
      </c>
      <c r="I23" s="36">
        <v>3.3048976936086243</v>
      </c>
      <c r="J23" s="36">
        <v>3.4421029115701733</v>
      </c>
      <c r="K23" s="36">
        <v>3.6785410743460232</v>
      </c>
      <c r="L23" s="36">
        <v>4.1128300606732555</v>
      </c>
      <c r="M23" s="36">
        <v>4.3761159044101605</v>
      </c>
      <c r="N23" s="50">
        <f t="shared" si="4"/>
        <v>3.6044269804777578</v>
      </c>
      <c r="AD23" s="119">
        <v>2042</v>
      </c>
      <c r="AE23" s="47">
        <f t="shared" si="0"/>
        <v>3.8982541475621248</v>
      </c>
      <c r="AF23" s="36">
        <f t="shared" si="1"/>
        <v>3.6300908235352143</v>
      </c>
      <c r="AG23" s="36">
        <f t="shared" si="2"/>
        <v>3.6044269804777587</v>
      </c>
      <c r="AH23" s="36">
        <f t="shared" si="3"/>
        <v>3.6044269804777587</v>
      </c>
    </row>
    <row r="24" spans="1:35" x14ac:dyDescent="0.25">
      <c r="A24" s="119">
        <v>2043</v>
      </c>
      <c r="B24" s="36">
        <v>4.1912253158434778</v>
      </c>
      <c r="C24" s="36">
        <v>3.7557003819876846</v>
      </c>
      <c r="D24" s="36">
        <v>3.5631147214624384</v>
      </c>
      <c r="E24" s="36">
        <v>3.4001966132652361</v>
      </c>
      <c r="F24" s="36">
        <v>3.3804149122752163</v>
      </c>
      <c r="G24" s="36">
        <v>3.3927109674138163</v>
      </c>
      <c r="H24" s="36">
        <v>3.4596272740139602</v>
      </c>
      <c r="I24" s="36">
        <v>3.4897625728765918</v>
      </c>
      <c r="J24" s="36">
        <v>3.6364099509499908</v>
      </c>
      <c r="K24" s="36">
        <v>3.8786791567247114</v>
      </c>
      <c r="L24" s="36">
        <v>4.1780058171946886</v>
      </c>
      <c r="M24" s="36">
        <v>4.4151932454909035</v>
      </c>
      <c r="N24" s="50">
        <f t="shared" si="4"/>
        <v>3.7284200774582263</v>
      </c>
      <c r="O24" s="39"/>
      <c r="AD24" s="119">
        <v>2043</v>
      </c>
      <c r="AE24" s="47">
        <f t="shared" si="0"/>
        <v>3.98511916323173</v>
      </c>
      <c r="AF24" s="36">
        <f t="shared" si="1"/>
        <v>3.7485538358797688</v>
      </c>
      <c r="AG24" s="36">
        <f t="shared" si="2"/>
        <v>3.7284200774582268</v>
      </c>
      <c r="AH24" s="36">
        <f t="shared" si="3"/>
        <v>3.7284200774582268</v>
      </c>
    </row>
    <row r="25" spans="1:35" x14ac:dyDescent="0.25">
      <c r="A25" s="119">
        <v>2044</v>
      </c>
      <c r="B25" s="36">
        <v>4.224667274937473</v>
      </c>
      <c r="C25" s="36">
        <v>3.8381736952481198</v>
      </c>
      <c r="D25" s="36">
        <v>3.653124703589365</v>
      </c>
      <c r="E25" s="36">
        <v>3.4309697893347098</v>
      </c>
      <c r="F25" s="36">
        <v>3.4080520292910461</v>
      </c>
      <c r="G25" s="36">
        <v>3.3970351071791169</v>
      </c>
      <c r="H25" s="36">
        <v>3.4470980284714203</v>
      </c>
      <c r="I25" s="36">
        <v>3.4697533791862272</v>
      </c>
      <c r="J25" s="36">
        <v>3.6302154898393124</v>
      </c>
      <c r="K25" s="36">
        <v>3.8552087264435522</v>
      </c>
      <c r="L25" s="36">
        <v>4.263048766540309</v>
      </c>
      <c r="M25" s="36">
        <v>4.509372480783691</v>
      </c>
      <c r="N25" s="50">
        <f t="shared" si="4"/>
        <v>3.7605599559036946</v>
      </c>
      <c r="O25" s="39"/>
      <c r="AD25" s="119">
        <v>2044</v>
      </c>
      <c r="AE25" s="47">
        <f t="shared" si="0"/>
        <v>4.0479832953707566</v>
      </c>
      <c r="AF25" s="36">
        <f t="shared" si="1"/>
        <v>3.7850207272216139</v>
      </c>
      <c r="AG25" s="36">
        <f t="shared" si="2"/>
        <v>3.7605599559036955</v>
      </c>
      <c r="AH25" s="36">
        <f t="shared" si="3"/>
        <v>3.7605599559036955</v>
      </c>
      <c r="AI25">
        <f>3.33-2.81</f>
        <v>0.52</v>
      </c>
    </row>
    <row r="26" spans="1:35" x14ac:dyDescent="0.25">
      <c r="A26" s="119">
        <v>2045</v>
      </c>
      <c r="B26" s="36">
        <v>4.3152280082294654</v>
      </c>
      <c r="C26" s="36">
        <v>3.8779212035184618</v>
      </c>
      <c r="D26" s="36">
        <v>3.6905454567891507</v>
      </c>
      <c r="E26" s="36">
        <v>3.5290305304390297</v>
      </c>
      <c r="F26" s="36">
        <v>3.5099501589611566</v>
      </c>
      <c r="G26" s="36">
        <v>3.5036057488472365</v>
      </c>
      <c r="H26" s="36">
        <v>3.5698282775442856</v>
      </c>
      <c r="I26" s="36">
        <v>3.5845363264530596</v>
      </c>
      <c r="J26" s="36">
        <v>3.7465808531492359</v>
      </c>
      <c r="K26" s="36">
        <v>4.0021633181236131</v>
      </c>
      <c r="L26" s="36">
        <v>4.2059270896158463</v>
      </c>
      <c r="M26" s="36">
        <v>4.4925452067989067</v>
      </c>
      <c r="N26" s="50">
        <f t="shared" si="4"/>
        <v>3.8356551815391207</v>
      </c>
      <c r="AD26" s="119">
        <v>2045</v>
      </c>
      <c r="AE26" s="47">
        <f t="shared" si="0"/>
        <v>4.0870366689802848</v>
      </c>
      <c r="AF26" s="36">
        <f t="shared" si="1"/>
        <v>3.8563053651703907</v>
      </c>
      <c r="AG26" s="36">
        <f t="shared" si="2"/>
        <v>3.8356551815391211</v>
      </c>
      <c r="AH26" s="36">
        <f t="shared" si="3"/>
        <v>3.8356551815391215</v>
      </c>
    </row>
    <row r="27" spans="1:35" x14ac:dyDescent="0.25">
      <c r="A27" s="119">
        <v>2046</v>
      </c>
      <c r="B27" s="36">
        <v>4.3177722508087708</v>
      </c>
      <c r="C27" s="36">
        <v>3.885339686222463</v>
      </c>
      <c r="D27" s="36">
        <v>3.7280945842137658</v>
      </c>
      <c r="E27" s="36">
        <v>3.5237396107215444</v>
      </c>
      <c r="F27" s="36">
        <v>3.5026680186191164</v>
      </c>
      <c r="G27" s="36">
        <v>3.4935026663592796</v>
      </c>
      <c r="H27" s="36">
        <v>3.5326644036062542</v>
      </c>
      <c r="I27" s="36">
        <v>3.5542294829632497</v>
      </c>
      <c r="J27" s="36">
        <v>3.6902403259685221</v>
      </c>
      <c r="K27" s="36">
        <v>3.8911206294080447</v>
      </c>
      <c r="L27" s="36">
        <v>4.3310179586544129</v>
      </c>
      <c r="M27" s="36">
        <v>4.600001948310255</v>
      </c>
      <c r="N27" s="50">
        <f t="shared" si="4"/>
        <v>3.8375326304879738</v>
      </c>
      <c r="AD27" s="119">
        <v>2046</v>
      </c>
      <c r="AE27" s="47">
        <f t="shared" si="0"/>
        <v>4.1246031030084334</v>
      </c>
      <c r="AF27" s="36">
        <f t="shared" si="1"/>
        <v>3.8625020523402682</v>
      </c>
      <c r="AG27" s="36">
        <f t="shared" si="2"/>
        <v>3.8375326304879738</v>
      </c>
      <c r="AH27" s="36">
        <f t="shared" si="3"/>
        <v>3.8375326304879738</v>
      </c>
    </row>
    <row r="28" spans="1:35" x14ac:dyDescent="0.25">
      <c r="A28" s="119">
        <v>2047</v>
      </c>
      <c r="B28" s="36">
        <v>4.4075173206478553</v>
      </c>
      <c r="C28" s="36">
        <v>3.9950855168497275</v>
      </c>
      <c r="D28" s="36">
        <v>3.7845909821224359</v>
      </c>
      <c r="E28" s="36">
        <v>3.5750204590133823</v>
      </c>
      <c r="F28" s="36">
        <v>3.5561238917931082</v>
      </c>
      <c r="G28" s="36">
        <v>3.5466597424423187</v>
      </c>
      <c r="H28" s="36">
        <v>3.6198731281764807</v>
      </c>
      <c r="I28" s="36">
        <v>3.6579013750769742</v>
      </c>
      <c r="J28" s="36">
        <v>3.8351911083681625</v>
      </c>
      <c r="K28" s="36">
        <v>4.0849716453051403</v>
      </c>
      <c r="L28" s="36">
        <v>4.3938626752559777</v>
      </c>
      <c r="M28" s="36">
        <v>4.6656995194246145</v>
      </c>
      <c r="N28" s="50">
        <f t="shared" si="4"/>
        <v>3.926874780373014</v>
      </c>
      <c r="AD28" s="119">
        <v>2047</v>
      </c>
      <c r="AE28" s="47">
        <f t="shared" si="0"/>
        <v>4.2073083414359722</v>
      </c>
      <c r="AF28" s="36">
        <f t="shared" si="1"/>
        <v>3.9494918753563089</v>
      </c>
      <c r="AG28" s="36">
        <f t="shared" si="2"/>
        <v>3.9268747803730153</v>
      </c>
      <c r="AH28" s="36">
        <f t="shared" si="3"/>
        <v>3.9268747803730153</v>
      </c>
    </row>
    <row r="29" spans="1:35" x14ac:dyDescent="0.25">
      <c r="A29" s="119">
        <v>2048</v>
      </c>
      <c r="B29" s="36">
        <v>4.4700828651197408</v>
      </c>
      <c r="C29" s="36">
        <v>4.0453702931079594</v>
      </c>
      <c r="D29" s="36">
        <v>3.8463410419457675</v>
      </c>
      <c r="E29" s="36">
        <v>3.6688898675468065</v>
      </c>
      <c r="F29" s="36">
        <v>3.6445494961708613</v>
      </c>
      <c r="G29" s="36">
        <v>3.651645291358308</v>
      </c>
      <c r="H29" s="36">
        <v>3.7288623963494687</v>
      </c>
      <c r="I29" s="36">
        <v>3.7702883260358422</v>
      </c>
      <c r="J29" s="36">
        <v>3.9608692491276147</v>
      </c>
      <c r="K29" s="36">
        <v>4.2534315290221647</v>
      </c>
      <c r="L29" s="36">
        <v>4.4757670238212572</v>
      </c>
      <c r="M29" s="36">
        <v>4.7151039402175128</v>
      </c>
      <c r="N29" s="50">
        <f t="shared" si="4"/>
        <v>4.0192667766519419</v>
      </c>
      <c r="AD29" s="119">
        <v>2048</v>
      </c>
      <c r="AE29" s="47">
        <f t="shared" si="0"/>
        <v>4.2781292509793563</v>
      </c>
      <c r="AF29" s="36">
        <f t="shared" si="1"/>
        <v>4.0382689826352181</v>
      </c>
      <c r="AG29" s="36">
        <f t="shared" si="2"/>
        <v>4.0192667766519437</v>
      </c>
      <c r="AH29" s="36">
        <f t="shared" si="3"/>
        <v>4.0192667766519437</v>
      </c>
    </row>
    <row r="30" spans="1:35" x14ac:dyDescent="0.25">
      <c r="A30" s="119">
        <v>2049</v>
      </c>
      <c r="B30" s="36">
        <v>4.5499105531478179</v>
      </c>
      <c r="C30" s="36">
        <v>4.1134598077878142</v>
      </c>
      <c r="D30" s="36">
        <v>3.9485632622781499</v>
      </c>
      <c r="E30" s="36">
        <v>3.7205998312186597</v>
      </c>
      <c r="F30" s="36">
        <v>3.7006843836627876</v>
      </c>
      <c r="G30" s="36">
        <v>3.6919322373761503</v>
      </c>
      <c r="H30" s="36">
        <v>3.754868190542346</v>
      </c>
      <c r="I30" s="36">
        <v>3.7814713498407393</v>
      </c>
      <c r="J30" s="36">
        <v>3.9525912735015916</v>
      </c>
      <c r="K30" s="36">
        <v>4.200400383755106</v>
      </c>
      <c r="L30" s="36">
        <v>4.4211282535286651</v>
      </c>
      <c r="M30" s="36">
        <v>4.7415023354056398</v>
      </c>
      <c r="N30" s="50">
        <f t="shared" si="4"/>
        <v>4.0480926551704561</v>
      </c>
      <c r="AD30" s="119">
        <v>2049</v>
      </c>
      <c r="AE30" s="47">
        <f t="shared" si="0"/>
        <v>4.3179624183101417</v>
      </c>
      <c r="AF30" s="36">
        <f t="shared" si="1"/>
        <v>4.0710291440180475</v>
      </c>
      <c r="AG30" s="36">
        <f t="shared" si="2"/>
        <v>4.0480926551704561</v>
      </c>
      <c r="AH30" s="36">
        <f t="shared" si="3"/>
        <v>4.0480926551704561</v>
      </c>
    </row>
    <row r="31" spans="1:35" x14ac:dyDescent="0.25">
      <c r="A31" s="119">
        <v>2050</v>
      </c>
      <c r="B31" s="36">
        <v>4.5675038608952434</v>
      </c>
      <c r="C31" s="36">
        <v>4.1195215528187799</v>
      </c>
      <c r="D31" s="36">
        <v>3.9289917846568434</v>
      </c>
      <c r="E31" s="36">
        <v>3.7096202286916369</v>
      </c>
      <c r="F31" s="36">
        <v>3.6870890651908521</v>
      </c>
      <c r="G31" s="36">
        <v>3.684099148121454</v>
      </c>
      <c r="H31" s="36">
        <v>3.72178256035814</v>
      </c>
      <c r="I31" s="36">
        <v>3.7616002532218684</v>
      </c>
      <c r="J31" s="36">
        <v>3.9152012985635243</v>
      </c>
      <c r="K31" s="36">
        <v>4.1393815571135697</v>
      </c>
      <c r="L31" s="36">
        <v>4.8982093951119516</v>
      </c>
      <c r="M31" s="36">
        <v>5.2280044892238964</v>
      </c>
      <c r="N31" s="50">
        <f t="shared" si="4"/>
        <v>4.1134170994973136</v>
      </c>
      <c r="AD31" s="119">
        <v>2050</v>
      </c>
      <c r="AE31" s="47">
        <f t="shared" si="0"/>
        <v>4.4818391418678116</v>
      </c>
      <c r="AF31" s="36">
        <f t="shared" si="1"/>
        <v>4.1432158114392195</v>
      </c>
      <c r="AG31" s="36">
        <f t="shared" si="2"/>
        <v>4.1134170994973136</v>
      </c>
      <c r="AH31" s="36">
        <f t="shared" si="3"/>
        <v>4.1134170994973136</v>
      </c>
    </row>
    <row r="32" spans="1:35" ht="15.75" thickBot="1" x14ac:dyDescent="0.3">
      <c r="A32" s="37"/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AD32" s="121" t="s">
        <v>29</v>
      </c>
      <c r="AE32" s="122">
        <f>PMT('Avoided Costs Summary'!$B$35,29,NPV('Avoided Costs Summary'!$B$35,AE3:AE31))*-1</f>
        <v>3.8299224279091697</v>
      </c>
      <c r="AF32" s="122">
        <f>PMT('Avoided Costs Summary'!$B$35,29,NPV('Avoided Costs Summary'!$B$35,AF3:AF31))*-1</f>
        <v>3.5794649306708504</v>
      </c>
      <c r="AG32" s="122">
        <f>PMT('Avoided Costs Summary'!$B$35,29,NPV('Avoided Costs Summary'!$B$35,AG3:AG31))*-1</f>
        <v>3.5535991045626965</v>
      </c>
      <c r="AH32" s="122">
        <f>PMT('Avoided Costs Summary'!$B$35,29,NPV('Avoided Costs Summary'!$B$35,AH3:AH31))*-1</f>
        <v>3.5535991045626965</v>
      </c>
    </row>
    <row r="33" spans="1:34" x14ac:dyDescent="0.25">
      <c r="A33" s="42" t="s">
        <v>56</v>
      </c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AD33" s="114" t="s">
        <v>73</v>
      </c>
      <c r="AE33" s="115">
        <f>PMT('Avoided Costs Summary'!$D$35,29,NPV('Avoided Costs Summary'!$D$35,AE3:AE31))*-1</f>
        <v>3.8299785955724128</v>
      </c>
      <c r="AF33" s="115">
        <f>PMT('Avoided Costs Summary'!$D$35,20,NPV('Avoided Costs Summary'!$D$35,AF3:AF22))*-1</f>
        <v>3.4959772713243975</v>
      </c>
      <c r="AG33" s="115">
        <f>PMT('Avoided Costs Summary'!$D$35,20,NPV('Avoided Costs Summary'!$D$35,AG3:AG22))*-1</f>
        <v>3.4694117465000756</v>
      </c>
      <c r="AH33" s="116">
        <f>PMT('Avoided Costs Summary'!$D$35,20,NPV('Avoided Costs Summary'!$D$35,AH3:AH22))*-1</f>
        <v>3.4694117465000756</v>
      </c>
    </row>
    <row r="34" spans="1:34" ht="15.75" thickBot="1" x14ac:dyDescent="0.3">
      <c r="A34" s="40" t="s">
        <v>42</v>
      </c>
      <c r="B34" s="40" t="s">
        <v>43</v>
      </c>
      <c r="C34" s="40" t="s">
        <v>44</v>
      </c>
      <c r="D34" s="40" t="s">
        <v>45</v>
      </c>
      <c r="E34" s="40" t="s">
        <v>46</v>
      </c>
      <c r="F34" s="40" t="s">
        <v>47</v>
      </c>
      <c r="G34" s="40" t="s">
        <v>48</v>
      </c>
      <c r="H34" s="40" t="s">
        <v>49</v>
      </c>
      <c r="I34" s="40" t="s">
        <v>50</v>
      </c>
      <c r="J34" s="40" t="s">
        <v>51</v>
      </c>
      <c r="K34" s="40" t="s">
        <v>52</v>
      </c>
      <c r="L34" s="40" t="s">
        <v>53</v>
      </c>
      <c r="M34" s="40" t="s">
        <v>54</v>
      </c>
      <c r="N34" s="41" t="s">
        <v>55</v>
      </c>
      <c r="AD34" s="52" t="s">
        <v>74</v>
      </c>
      <c r="AE34" s="53">
        <f>PMT('Avoided Costs Summary'!$G$35,29,NPV('Avoided Costs Summary'!$G$35,AE3:AE31))*-1</f>
        <v>3.8299277283072088</v>
      </c>
      <c r="AF34" s="53">
        <f>PMT('Avoided Costs Summary'!$G$35,20,NPV('Avoided Costs Summary'!$G$35,AF3:AF22))*-1</f>
        <v>3.4960834763298996</v>
      </c>
      <c r="AG34" s="53">
        <f>PMT('Avoided Costs Summary'!$G$35,20,NPV('Avoided Costs Summary'!$G$35,AG3:AG22))*-1</f>
        <v>3.4695185563345845</v>
      </c>
      <c r="AH34" s="54">
        <f>PMT('Avoided Costs Summary'!$G$35,20,NPV('Avoided Costs Summary'!$G$35,AH3:AH22))*-1</f>
        <v>3.4695185563345849</v>
      </c>
    </row>
    <row r="35" spans="1:34" x14ac:dyDescent="0.25">
      <c r="A35" s="35">
        <v>2022</v>
      </c>
      <c r="B35" s="43">
        <f t="shared" ref="B35:M35" si="5">B3/$N3</f>
        <v>1.0022341925022162</v>
      </c>
      <c r="C35" s="43">
        <f t="shared" si="5"/>
        <v>0.96431857808470289</v>
      </c>
      <c r="D35" s="43">
        <f t="shared" si="5"/>
        <v>0.90672203859023781</v>
      </c>
      <c r="E35" s="43">
        <f t="shared" si="5"/>
        <v>1.0455351619267612</v>
      </c>
      <c r="F35" s="43">
        <f t="shared" si="5"/>
        <v>1.0486704048376581</v>
      </c>
      <c r="G35" s="43">
        <f t="shared" si="5"/>
        <v>1.0515428243370066</v>
      </c>
      <c r="H35" s="43">
        <f t="shared" si="5"/>
        <v>1.0318853440035121</v>
      </c>
      <c r="I35" s="43">
        <f t="shared" si="5"/>
        <v>1.0347729637073455</v>
      </c>
      <c r="J35" s="43">
        <f t="shared" si="5"/>
        <v>0.95568268839025816</v>
      </c>
      <c r="K35" s="43">
        <f t="shared" si="5"/>
        <v>0.98567084704249808</v>
      </c>
      <c r="L35" s="43">
        <f t="shared" si="5"/>
        <v>0.94853602020244876</v>
      </c>
      <c r="M35" s="43">
        <f t="shared" si="5"/>
        <v>1.0244289363753534</v>
      </c>
      <c r="N35" s="35">
        <f t="shared" ref="N35" si="6">N3/$N3</f>
        <v>1</v>
      </c>
    </row>
    <row r="36" spans="1:34" x14ac:dyDescent="0.25">
      <c r="A36" s="119">
        <v>2023</v>
      </c>
      <c r="B36" s="43">
        <f t="shared" ref="B36:M36" si="7">B4/$N4</f>
        <v>1.2583935511582103</v>
      </c>
      <c r="C36" s="43">
        <f t="shared" si="7"/>
        <v>1.1736037595450735</v>
      </c>
      <c r="D36" s="43">
        <f t="shared" si="7"/>
        <v>1.0329529326665188</v>
      </c>
      <c r="E36" s="43">
        <f t="shared" si="7"/>
        <v>0.95116898357245216</v>
      </c>
      <c r="F36" s="43">
        <f t="shared" si="7"/>
        <v>0.93731035615969494</v>
      </c>
      <c r="G36" s="43">
        <f t="shared" si="7"/>
        <v>0.93446092658227298</v>
      </c>
      <c r="H36" s="43">
        <f t="shared" si="7"/>
        <v>0.93732829448061461</v>
      </c>
      <c r="I36" s="43">
        <f t="shared" si="7"/>
        <v>0.9423939207766967</v>
      </c>
      <c r="J36" s="43">
        <f t="shared" si="7"/>
        <v>0.96412555337784467</v>
      </c>
      <c r="K36" s="43">
        <f t="shared" si="7"/>
        <v>1.0609717717786991</v>
      </c>
      <c r="L36" s="43">
        <f t="shared" si="7"/>
        <v>0.87307104515582745</v>
      </c>
      <c r="M36" s="43">
        <f t="shared" si="7"/>
        <v>0.93421890474609426</v>
      </c>
      <c r="N36" s="35">
        <f t="shared" ref="N36" si="8">N4/$N4</f>
        <v>1</v>
      </c>
    </row>
    <row r="37" spans="1:34" x14ac:dyDescent="0.25">
      <c r="A37" s="119">
        <v>2024</v>
      </c>
      <c r="B37" s="43">
        <f t="shared" ref="B37:M37" si="9">B5/$N5</f>
        <v>1.1486347052749151</v>
      </c>
      <c r="C37" s="43">
        <f t="shared" si="9"/>
        <v>1.0638437770709956</v>
      </c>
      <c r="D37" s="43">
        <f t="shared" si="9"/>
        <v>0.9595673488430333</v>
      </c>
      <c r="E37" s="43">
        <f t="shared" si="9"/>
        <v>0.8862287709667086</v>
      </c>
      <c r="F37" s="43">
        <f t="shared" si="9"/>
        <v>0.87053598630746409</v>
      </c>
      <c r="G37" s="43">
        <f t="shared" si="9"/>
        <v>0.86519249291719202</v>
      </c>
      <c r="H37" s="43">
        <f t="shared" si="9"/>
        <v>0.88113463942566217</v>
      </c>
      <c r="I37" s="43">
        <f t="shared" si="9"/>
        <v>0.88392120970172883</v>
      </c>
      <c r="J37" s="43">
        <f t="shared" si="9"/>
        <v>0.91468650035684929</v>
      </c>
      <c r="K37" s="43">
        <f t="shared" si="9"/>
        <v>1.0008272692801283</v>
      </c>
      <c r="L37" s="43">
        <f t="shared" si="9"/>
        <v>1.2197419168362322</v>
      </c>
      <c r="M37" s="43">
        <f t="shared" si="9"/>
        <v>1.305685383019088</v>
      </c>
      <c r="N37" s="35">
        <f t="shared" ref="N37" si="10">N5/$N5</f>
        <v>1</v>
      </c>
    </row>
    <row r="38" spans="1:34" x14ac:dyDescent="0.25">
      <c r="A38" s="119">
        <v>2025</v>
      </c>
      <c r="B38" s="43">
        <f t="shared" ref="B38:M38" si="11">B6/$N6</f>
        <v>1.1847535454946185</v>
      </c>
      <c r="C38" s="43">
        <f t="shared" si="11"/>
        <v>1.075290896626578</v>
      </c>
      <c r="D38" s="43">
        <f t="shared" si="11"/>
        <v>1.0006531007420785</v>
      </c>
      <c r="E38" s="43">
        <f t="shared" si="11"/>
        <v>0.92229506578067944</v>
      </c>
      <c r="F38" s="43">
        <f t="shared" si="11"/>
        <v>0.90836075945969841</v>
      </c>
      <c r="G38" s="43">
        <f t="shared" si="11"/>
        <v>0.90157688390234092</v>
      </c>
      <c r="H38" s="43">
        <f t="shared" si="11"/>
        <v>0.91189577144690093</v>
      </c>
      <c r="I38" s="43">
        <f t="shared" si="11"/>
        <v>0.91053223486564805</v>
      </c>
      <c r="J38" s="43">
        <f t="shared" si="11"/>
        <v>0.94596341696419184</v>
      </c>
      <c r="K38" s="43">
        <f t="shared" si="11"/>
        <v>1.01312528918006</v>
      </c>
      <c r="L38" s="43">
        <f t="shared" si="11"/>
        <v>1.0765867103180788</v>
      </c>
      <c r="M38" s="43">
        <f t="shared" si="11"/>
        <v>1.1489663252191262</v>
      </c>
      <c r="N38" s="35">
        <f t="shared" ref="N38" si="12">N6/$N6</f>
        <v>1</v>
      </c>
    </row>
    <row r="39" spans="1:34" x14ac:dyDescent="0.25">
      <c r="A39" s="119">
        <v>2026</v>
      </c>
      <c r="B39" s="43">
        <f t="shared" ref="B39:M39" si="13">B7/$N7</f>
        <v>1.17613999524636</v>
      </c>
      <c r="C39" s="43">
        <f t="shared" si="13"/>
        <v>1.0740467798857545</v>
      </c>
      <c r="D39" s="43">
        <f t="shared" si="13"/>
        <v>0.99443891723182709</v>
      </c>
      <c r="E39" s="43">
        <f t="shared" si="13"/>
        <v>0.90269224391325076</v>
      </c>
      <c r="F39" s="43">
        <f t="shared" si="13"/>
        <v>0.89034567501272843</v>
      </c>
      <c r="G39" s="43">
        <f t="shared" si="13"/>
        <v>0.88477199209395052</v>
      </c>
      <c r="H39" s="43">
        <f t="shared" si="13"/>
        <v>0.89266055867146421</v>
      </c>
      <c r="I39" s="43">
        <f t="shared" si="13"/>
        <v>0.89192747350281598</v>
      </c>
      <c r="J39" s="43">
        <f t="shared" si="13"/>
        <v>0.92926400235795859</v>
      </c>
      <c r="K39" s="43">
        <f t="shared" si="13"/>
        <v>1.0212855704198256</v>
      </c>
      <c r="L39" s="43">
        <f t="shared" si="13"/>
        <v>1.1343597754547583</v>
      </c>
      <c r="M39" s="43">
        <f t="shared" si="13"/>
        <v>1.2080670162093055</v>
      </c>
      <c r="N39" s="35">
        <f t="shared" ref="N39" si="14">N7/$N7</f>
        <v>1</v>
      </c>
    </row>
    <row r="40" spans="1:34" x14ac:dyDescent="0.25">
      <c r="A40" s="119">
        <v>2027</v>
      </c>
      <c r="B40" s="43">
        <f t="shared" ref="B40:M40" si="15">B8/$N8</f>
        <v>1.1512085198933812</v>
      </c>
      <c r="C40" s="43">
        <f t="shared" si="15"/>
        <v>1.0473471037368713</v>
      </c>
      <c r="D40" s="43">
        <f t="shared" si="15"/>
        <v>0.97490976109221206</v>
      </c>
      <c r="E40" s="43">
        <f t="shared" si="15"/>
        <v>0.89325598605918111</v>
      </c>
      <c r="F40" s="43">
        <f t="shared" si="15"/>
        <v>0.88904725584738209</v>
      </c>
      <c r="G40" s="43">
        <f t="shared" si="15"/>
        <v>0.87991568278544174</v>
      </c>
      <c r="H40" s="43">
        <f t="shared" si="15"/>
        <v>0.89134133473754007</v>
      </c>
      <c r="I40" s="43">
        <f t="shared" si="15"/>
        <v>0.88778562937289374</v>
      </c>
      <c r="J40" s="43">
        <f t="shared" si="15"/>
        <v>0.91973815141508475</v>
      </c>
      <c r="K40" s="43">
        <f t="shared" si="15"/>
        <v>1.0280649891131095</v>
      </c>
      <c r="L40" s="43">
        <f t="shared" si="15"/>
        <v>1.183300861199541</v>
      </c>
      <c r="M40" s="43">
        <f t="shared" si="15"/>
        <v>1.2540847247473619</v>
      </c>
      <c r="N40" s="35">
        <f t="shared" ref="N40" si="16">N8/$N8</f>
        <v>1</v>
      </c>
    </row>
    <row r="41" spans="1:34" x14ac:dyDescent="0.25">
      <c r="A41" s="119">
        <v>2028</v>
      </c>
      <c r="B41" s="43">
        <f t="shared" ref="B41:M41" si="17">B9/$N9</f>
        <v>1.1789935932017945</v>
      </c>
      <c r="C41" s="43">
        <f t="shared" si="17"/>
        <v>1.0706626142589966</v>
      </c>
      <c r="D41" s="43">
        <f t="shared" si="17"/>
        <v>0.97650612054679731</v>
      </c>
      <c r="E41" s="43">
        <f t="shared" si="17"/>
        <v>0.88832605869183634</v>
      </c>
      <c r="F41" s="43">
        <f t="shared" si="17"/>
        <v>0.8752889587611441</v>
      </c>
      <c r="G41" s="43">
        <f t="shared" si="17"/>
        <v>0.87192635256199003</v>
      </c>
      <c r="H41" s="43">
        <f t="shared" si="17"/>
        <v>0.8818323043105758</v>
      </c>
      <c r="I41" s="43">
        <f t="shared" si="17"/>
        <v>0.88165229379551713</v>
      </c>
      <c r="J41" s="43">
        <f t="shared" si="17"/>
        <v>0.91755951500519828</v>
      </c>
      <c r="K41" s="43">
        <f t="shared" si="17"/>
        <v>1.0250362117203509</v>
      </c>
      <c r="L41" s="43">
        <f t="shared" si="17"/>
        <v>1.1647273486007943</v>
      </c>
      <c r="M41" s="43">
        <f t="shared" si="17"/>
        <v>1.2674886285450022</v>
      </c>
      <c r="N41" s="35">
        <f t="shared" ref="N41" si="18">N9/$N9</f>
        <v>1</v>
      </c>
    </row>
    <row r="42" spans="1:34" x14ac:dyDescent="0.25">
      <c r="A42" s="119">
        <v>2029</v>
      </c>
      <c r="B42" s="43">
        <f t="shared" ref="B42:M42" si="19">B10/$N10</f>
        <v>1.2012465203276437</v>
      </c>
      <c r="C42" s="43">
        <f t="shared" si="19"/>
        <v>1.049482160535256</v>
      </c>
      <c r="D42" s="43">
        <f t="shared" si="19"/>
        <v>0.98362728111108921</v>
      </c>
      <c r="E42" s="43">
        <f t="shared" si="19"/>
        <v>0.90661996326439043</v>
      </c>
      <c r="F42" s="43">
        <f t="shared" si="19"/>
        <v>0.8940096217443062</v>
      </c>
      <c r="G42" s="43">
        <f t="shared" si="19"/>
        <v>0.88757135637631324</v>
      </c>
      <c r="H42" s="43">
        <f t="shared" si="19"/>
        <v>0.89219571552965904</v>
      </c>
      <c r="I42" s="43">
        <f t="shared" si="19"/>
        <v>0.89222319693211849</v>
      </c>
      <c r="J42" s="43">
        <f t="shared" si="19"/>
        <v>0.92298898557065423</v>
      </c>
      <c r="K42" s="43">
        <f t="shared" si="19"/>
        <v>1.0162588161382511</v>
      </c>
      <c r="L42" s="43">
        <f t="shared" si="19"/>
        <v>1.1370195239626155</v>
      </c>
      <c r="M42" s="43">
        <f t="shared" si="19"/>
        <v>1.216756858507702</v>
      </c>
      <c r="N42" s="35">
        <f t="shared" ref="N42" si="20">N10/$N10</f>
        <v>1</v>
      </c>
    </row>
    <row r="43" spans="1:34" x14ac:dyDescent="0.25">
      <c r="A43" s="119">
        <v>2030</v>
      </c>
      <c r="B43" s="43">
        <f t="shared" ref="B43:M43" si="21">B11/$N11</f>
        <v>1.1713206111302195</v>
      </c>
      <c r="C43" s="43">
        <f t="shared" si="21"/>
        <v>1.0332545959979251</v>
      </c>
      <c r="D43" s="43">
        <f t="shared" si="21"/>
        <v>0.97175549571624231</v>
      </c>
      <c r="E43" s="43">
        <f t="shared" si="21"/>
        <v>0.90102892013823144</v>
      </c>
      <c r="F43" s="43">
        <f t="shared" si="21"/>
        <v>0.88926366698839965</v>
      </c>
      <c r="G43" s="43">
        <f t="shared" si="21"/>
        <v>0.88473781260169171</v>
      </c>
      <c r="H43" s="43">
        <f t="shared" si="21"/>
        <v>0.89231326348068052</v>
      </c>
      <c r="I43" s="43">
        <f t="shared" si="21"/>
        <v>0.89624677595629587</v>
      </c>
      <c r="J43" s="43">
        <f t="shared" si="21"/>
        <v>0.92908395052937887</v>
      </c>
      <c r="K43" s="43">
        <f t="shared" si="21"/>
        <v>1.0194578162970818</v>
      </c>
      <c r="L43" s="43">
        <f t="shared" si="21"/>
        <v>1.1744061011106737</v>
      </c>
      <c r="M43" s="43">
        <f t="shared" si="21"/>
        <v>1.2371309900531802</v>
      </c>
      <c r="N43" s="35">
        <f t="shared" ref="N43" si="22">N11/$N11</f>
        <v>1</v>
      </c>
    </row>
    <row r="44" spans="1:34" x14ac:dyDescent="0.25">
      <c r="A44" s="119">
        <v>2031</v>
      </c>
      <c r="B44" s="43">
        <f t="shared" ref="B44:M44" si="23">B12/$N12</f>
        <v>1.1729924220500549</v>
      </c>
      <c r="C44" s="43">
        <f t="shared" si="23"/>
        <v>1.0600990374588504</v>
      </c>
      <c r="D44" s="43">
        <f t="shared" si="23"/>
        <v>0.98082721104288217</v>
      </c>
      <c r="E44" s="43">
        <f t="shared" si="23"/>
        <v>0.9010776219172113</v>
      </c>
      <c r="F44" s="43">
        <f t="shared" si="23"/>
        <v>0.89207324182866965</v>
      </c>
      <c r="G44" s="43">
        <f t="shared" si="23"/>
        <v>0.88448451920309934</v>
      </c>
      <c r="H44" s="43">
        <f t="shared" si="23"/>
        <v>0.8922205366311905</v>
      </c>
      <c r="I44" s="43">
        <f t="shared" si="23"/>
        <v>0.89324082566379204</v>
      </c>
      <c r="J44" s="43">
        <f t="shared" si="23"/>
        <v>0.92618356014184333</v>
      </c>
      <c r="K44" s="43">
        <f t="shared" si="23"/>
        <v>1.0220099293830149</v>
      </c>
      <c r="L44" s="43">
        <f t="shared" si="23"/>
        <v>1.1548170653121625</v>
      </c>
      <c r="M44" s="43">
        <f t="shared" si="23"/>
        <v>1.2199740293672279</v>
      </c>
      <c r="N44" s="35">
        <f t="shared" ref="N44" si="24">N12/$N12</f>
        <v>1</v>
      </c>
    </row>
    <row r="45" spans="1:34" x14ac:dyDescent="0.25">
      <c r="A45" s="119">
        <v>2032</v>
      </c>
      <c r="B45" s="43">
        <f t="shared" ref="B45:M45" si="25">B13/$N13</f>
        <v>1.1531417017447865</v>
      </c>
      <c r="C45" s="43">
        <f t="shared" si="25"/>
        <v>1.0309325110121985</v>
      </c>
      <c r="D45" s="43">
        <f t="shared" si="25"/>
        <v>0.97452784431723505</v>
      </c>
      <c r="E45" s="43">
        <f t="shared" si="25"/>
        <v>0.90419929359061946</v>
      </c>
      <c r="F45" s="43">
        <f t="shared" si="25"/>
        <v>0.89523134124029269</v>
      </c>
      <c r="G45" s="43">
        <f t="shared" si="25"/>
        <v>0.88890168616676812</v>
      </c>
      <c r="H45" s="43">
        <f t="shared" si="25"/>
        <v>0.89661014271054262</v>
      </c>
      <c r="I45" s="43">
        <f t="shared" si="25"/>
        <v>0.89665559031641595</v>
      </c>
      <c r="J45" s="43">
        <f t="shared" si="25"/>
        <v>0.93108294011122628</v>
      </c>
      <c r="K45" s="43">
        <f t="shared" si="25"/>
        <v>1.0448379240411265</v>
      </c>
      <c r="L45" s="43">
        <f t="shared" si="25"/>
        <v>1.1536522452072828</v>
      </c>
      <c r="M45" s="43">
        <f t="shared" si="25"/>
        <v>1.2302267795415076</v>
      </c>
      <c r="N45" s="35">
        <f t="shared" ref="N45" si="26">N13/$N13</f>
        <v>1</v>
      </c>
    </row>
    <row r="46" spans="1:34" x14ac:dyDescent="0.25">
      <c r="A46" s="119">
        <v>2033</v>
      </c>
      <c r="B46" s="43">
        <f t="shared" ref="B46:M46" si="27">B14/$N14</f>
        <v>1.1606718053474381</v>
      </c>
      <c r="C46" s="43">
        <f t="shared" si="27"/>
        <v>1.0242397038629532</v>
      </c>
      <c r="D46" s="43">
        <f t="shared" si="27"/>
        <v>0.96710351311924048</v>
      </c>
      <c r="E46" s="43">
        <f t="shared" si="27"/>
        <v>0.90543801976255989</v>
      </c>
      <c r="F46" s="43">
        <f t="shared" si="27"/>
        <v>0.89593456210618161</v>
      </c>
      <c r="G46" s="43">
        <f t="shared" si="27"/>
        <v>0.89415385797231872</v>
      </c>
      <c r="H46" s="43">
        <f t="shared" si="27"/>
        <v>0.90527897331268881</v>
      </c>
      <c r="I46" s="43">
        <f t="shared" si="27"/>
        <v>0.90513610534455935</v>
      </c>
      <c r="J46" s="43">
        <f t="shared" si="27"/>
        <v>0.94221976099635152</v>
      </c>
      <c r="K46" s="43">
        <f t="shared" si="27"/>
        <v>1.0358696230053572</v>
      </c>
      <c r="L46" s="43">
        <f t="shared" si="27"/>
        <v>1.1388399225000163</v>
      </c>
      <c r="M46" s="43">
        <f t="shared" si="27"/>
        <v>1.225114152670334</v>
      </c>
      <c r="N46" s="35">
        <f t="shared" ref="N46" si="28">N14/$N14</f>
        <v>1</v>
      </c>
    </row>
    <row r="47" spans="1:34" x14ac:dyDescent="0.25">
      <c r="A47" s="119">
        <v>2034</v>
      </c>
      <c r="B47" s="43">
        <f t="shared" ref="B47:M47" si="29">B15/$N15</f>
        <v>1.1703189092537121</v>
      </c>
      <c r="C47" s="43">
        <f t="shared" si="29"/>
        <v>1.0577750143033053</v>
      </c>
      <c r="D47" s="43">
        <f t="shared" si="29"/>
        <v>0.98972873033047182</v>
      </c>
      <c r="E47" s="43">
        <f t="shared" si="29"/>
        <v>0.91503893522005653</v>
      </c>
      <c r="F47" s="43">
        <f t="shared" si="29"/>
        <v>0.90644913965696472</v>
      </c>
      <c r="G47" s="43">
        <f t="shared" si="29"/>
        <v>0.9010377605272637</v>
      </c>
      <c r="H47" s="43">
        <f t="shared" si="29"/>
        <v>0.90943818753572292</v>
      </c>
      <c r="I47" s="43">
        <f t="shared" si="29"/>
        <v>0.9084620569927242</v>
      </c>
      <c r="J47" s="43">
        <f t="shared" si="29"/>
        <v>0.94334049981961143</v>
      </c>
      <c r="K47" s="43">
        <f t="shared" si="29"/>
        <v>1.0197135608824635</v>
      </c>
      <c r="L47" s="43">
        <f t="shared" si="29"/>
        <v>1.1116609207460755</v>
      </c>
      <c r="M47" s="43">
        <f t="shared" si="29"/>
        <v>1.1670362847316293</v>
      </c>
      <c r="N47" s="35">
        <f t="shared" ref="N47" si="30">N15/$N15</f>
        <v>1</v>
      </c>
    </row>
    <row r="48" spans="1:34" x14ac:dyDescent="0.25">
      <c r="A48" s="119">
        <v>2035</v>
      </c>
      <c r="B48" s="43">
        <f t="shared" ref="B48:M48" si="31">B16/$N16</f>
        <v>1.1390025167479145</v>
      </c>
      <c r="C48" s="43">
        <f t="shared" si="31"/>
        <v>1.0174269179164799</v>
      </c>
      <c r="D48" s="43">
        <f t="shared" si="31"/>
        <v>0.95355763457576448</v>
      </c>
      <c r="E48" s="43">
        <f t="shared" si="31"/>
        <v>0.90684091324366367</v>
      </c>
      <c r="F48" s="43">
        <f t="shared" si="31"/>
        <v>0.9007145484431045</v>
      </c>
      <c r="G48" s="43">
        <f t="shared" si="31"/>
        <v>0.89486660229775739</v>
      </c>
      <c r="H48" s="43">
        <f t="shared" si="31"/>
        <v>0.90466050901344652</v>
      </c>
      <c r="I48" s="43">
        <f t="shared" si="31"/>
        <v>0.90734832246785702</v>
      </c>
      <c r="J48" s="43">
        <f t="shared" si="31"/>
        <v>0.95052300151326807</v>
      </c>
      <c r="K48" s="43">
        <f t="shared" si="31"/>
        <v>1.0427491071396</v>
      </c>
      <c r="L48" s="43">
        <f t="shared" si="31"/>
        <v>1.1618444609607765</v>
      </c>
      <c r="M48" s="43">
        <f t="shared" si="31"/>
        <v>1.2204654656803671</v>
      </c>
      <c r="N48" s="35">
        <f t="shared" ref="N48" si="32">N16/$N16</f>
        <v>1</v>
      </c>
    </row>
    <row r="49" spans="1:14" x14ac:dyDescent="0.25">
      <c r="A49" s="119">
        <v>2036</v>
      </c>
      <c r="B49" s="43">
        <f t="shared" ref="B49:M49" si="33">B17/$N17</f>
        <v>1.1509719237926461</v>
      </c>
      <c r="C49" s="43">
        <f t="shared" si="33"/>
        <v>1.0463372631540877</v>
      </c>
      <c r="D49" s="43">
        <f t="shared" si="33"/>
        <v>0.98717080296811788</v>
      </c>
      <c r="E49" s="43">
        <f t="shared" si="33"/>
        <v>0.90159541101258711</v>
      </c>
      <c r="F49" s="43">
        <f t="shared" si="33"/>
        <v>0.89185700009795488</v>
      </c>
      <c r="G49" s="43">
        <f t="shared" si="33"/>
        <v>0.88584652002666187</v>
      </c>
      <c r="H49" s="43">
        <f t="shared" si="33"/>
        <v>0.89351685045986673</v>
      </c>
      <c r="I49" s="43">
        <f t="shared" si="33"/>
        <v>0.89906577261975884</v>
      </c>
      <c r="J49" s="43">
        <f t="shared" si="33"/>
        <v>0.93489081572515298</v>
      </c>
      <c r="K49" s="43">
        <f t="shared" si="33"/>
        <v>1.0158153589120265</v>
      </c>
      <c r="L49" s="43">
        <f t="shared" si="33"/>
        <v>1.1672879550746316</v>
      </c>
      <c r="M49" s="43">
        <f t="shared" si="33"/>
        <v>1.2256443261565066</v>
      </c>
      <c r="N49" s="35">
        <f t="shared" ref="N49" si="34">N17/$N17</f>
        <v>1</v>
      </c>
    </row>
    <row r="50" spans="1:14" x14ac:dyDescent="0.25">
      <c r="A50" s="119">
        <v>2037</v>
      </c>
      <c r="B50" s="43">
        <f t="shared" ref="B50:M50" si="35">B18/$N18</f>
        <v>1.1440322315940294</v>
      </c>
      <c r="C50" s="43">
        <f t="shared" si="35"/>
        <v>1.032867092636776</v>
      </c>
      <c r="D50" s="43">
        <f t="shared" si="35"/>
        <v>0.98553958907076222</v>
      </c>
      <c r="E50" s="43">
        <f t="shared" si="35"/>
        <v>0.91003269595918934</v>
      </c>
      <c r="F50" s="43">
        <f t="shared" si="35"/>
        <v>0.90304116474314011</v>
      </c>
      <c r="G50" s="43">
        <f t="shared" si="35"/>
        <v>0.89916449200393067</v>
      </c>
      <c r="H50" s="43">
        <f t="shared" si="35"/>
        <v>0.91153035203430055</v>
      </c>
      <c r="I50" s="43">
        <f t="shared" si="35"/>
        <v>0.91044298367233056</v>
      </c>
      <c r="J50" s="43">
        <f t="shared" si="35"/>
        <v>0.95090002743079882</v>
      </c>
      <c r="K50" s="43">
        <f t="shared" si="35"/>
        <v>1.0487630661427552</v>
      </c>
      <c r="L50" s="43">
        <f t="shared" si="35"/>
        <v>1.1160551298791825</v>
      </c>
      <c r="M50" s="43">
        <f t="shared" si="35"/>
        <v>1.1876311748328048</v>
      </c>
      <c r="N50" s="35">
        <f t="shared" ref="N50" si="36">N18/$N18</f>
        <v>1</v>
      </c>
    </row>
    <row r="51" spans="1:14" x14ac:dyDescent="0.25">
      <c r="A51" s="119">
        <v>2038</v>
      </c>
      <c r="B51" s="43">
        <f t="shared" ref="B51:M51" si="37">B19/$N19</f>
        <v>1.1424738911099348</v>
      </c>
      <c r="C51" s="43">
        <f t="shared" si="37"/>
        <v>1.0173956662138925</v>
      </c>
      <c r="D51" s="43">
        <f t="shared" si="37"/>
        <v>0.96166769897021154</v>
      </c>
      <c r="E51" s="43">
        <f t="shared" si="37"/>
        <v>0.9173457713587474</v>
      </c>
      <c r="F51" s="43">
        <f t="shared" si="37"/>
        <v>0.90786394179778862</v>
      </c>
      <c r="G51" s="43">
        <f t="shared" si="37"/>
        <v>0.90598860230388922</v>
      </c>
      <c r="H51" s="43">
        <f t="shared" si="37"/>
        <v>0.9169805451072699</v>
      </c>
      <c r="I51" s="43">
        <f t="shared" si="37"/>
        <v>0.91790306541621569</v>
      </c>
      <c r="J51" s="43">
        <f t="shared" si="37"/>
        <v>0.95678318473923496</v>
      </c>
      <c r="K51" s="43">
        <f t="shared" si="37"/>
        <v>1.0250423890438172</v>
      </c>
      <c r="L51" s="43">
        <f t="shared" si="37"/>
        <v>1.1277076395104124</v>
      </c>
      <c r="M51" s="43">
        <f t="shared" si="37"/>
        <v>1.2028476044285865</v>
      </c>
      <c r="N51" s="35">
        <f t="shared" ref="N51" si="38">N19/$N19</f>
        <v>1</v>
      </c>
    </row>
    <row r="52" spans="1:14" x14ac:dyDescent="0.25">
      <c r="A52" s="119">
        <v>2039</v>
      </c>
      <c r="B52" s="43">
        <f t="shared" ref="B52:M52" si="39">B20/$N20</f>
        <v>1.1465752682179522</v>
      </c>
      <c r="C52" s="43">
        <f t="shared" si="39"/>
        <v>1.034859103269518</v>
      </c>
      <c r="D52" s="43">
        <f t="shared" si="39"/>
        <v>0.98206363328381208</v>
      </c>
      <c r="E52" s="43">
        <f t="shared" si="39"/>
        <v>0.91700078383988559</v>
      </c>
      <c r="F52" s="43">
        <f t="shared" si="39"/>
        <v>0.9077926177352289</v>
      </c>
      <c r="G52" s="43">
        <f t="shared" si="39"/>
        <v>0.90065488682198902</v>
      </c>
      <c r="H52" s="43">
        <f t="shared" si="39"/>
        <v>0.90861994507870325</v>
      </c>
      <c r="I52" s="43">
        <f t="shared" si="39"/>
        <v>0.90834793987981954</v>
      </c>
      <c r="J52" s="43">
        <f t="shared" si="39"/>
        <v>0.94011433414866474</v>
      </c>
      <c r="K52" s="43">
        <f t="shared" si="39"/>
        <v>1.004832555716344</v>
      </c>
      <c r="L52" s="43">
        <f t="shared" si="39"/>
        <v>1.142613422236457</v>
      </c>
      <c r="M52" s="43">
        <f t="shared" si="39"/>
        <v>1.2065255097716234</v>
      </c>
      <c r="N52" s="35">
        <f t="shared" ref="N52" si="40">N20/$N20</f>
        <v>1</v>
      </c>
    </row>
    <row r="53" spans="1:14" x14ac:dyDescent="0.25">
      <c r="A53" s="119">
        <v>2040</v>
      </c>
      <c r="B53" s="43">
        <f t="shared" ref="B53:M53" si="41">B21/$N21</f>
        <v>1.1278156475875207</v>
      </c>
      <c r="C53" s="43">
        <f t="shared" si="41"/>
        <v>1.0046055430327523</v>
      </c>
      <c r="D53" s="43">
        <f t="shared" si="41"/>
        <v>0.95562594433790815</v>
      </c>
      <c r="E53" s="43">
        <f t="shared" si="41"/>
        <v>0.90840379906290802</v>
      </c>
      <c r="F53" s="43">
        <f t="shared" si="41"/>
        <v>0.90202943296231153</v>
      </c>
      <c r="G53" s="43">
        <f t="shared" si="41"/>
        <v>0.90219070696116999</v>
      </c>
      <c r="H53" s="43">
        <f t="shared" si="41"/>
        <v>0.91995321887637893</v>
      </c>
      <c r="I53" s="43">
        <f t="shared" si="41"/>
        <v>0.92566414301572708</v>
      </c>
      <c r="J53" s="43">
        <f t="shared" si="41"/>
        <v>0.96953476783842618</v>
      </c>
      <c r="K53" s="43">
        <f t="shared" si="41"/>
        <v>1.0486702274677364</v>
      </c>
      <c r="L53" s="43">
        <f t="shared" si="41"/>
        <v>1.1398340193825502</v>
      </c>
      <c r="M53" s="43">
        <f t="shared" si="41"/>
        <v>1.1956725494746103</v>
      </c>
      <c r="N53" s="35">
        <f t="shared" ref="N53" si="42">N21/$N21</f>
        <v>1</v>
      </c>
    </row>
    <row r="54" spans="1:14" x14ac:dyDescent="0.25">
      <c r="A54" s="119">
        <v>2041</v>
      </c>
      <c r="B54" s="43">
        <f t="shared" ref="B54:G54" si="43">B22/$N22</f>
        <v>1.1389336804903774</v>
      </c>
      <c r="C54" s="43">
        <f t="shared" si="43"/>
        <v>1.0129718892066493</v>
      </c>
      <c r="D54" s="43">
        <f t="shared" si="43"/>
        <v>0.9660360487453733</v>
      </c>
      <c r="E54" s="43">
        <f t="shared" si="43"/>
        <v>0.90476460982344009</v>
      </c>
      <c r="F54" s="43">
        <f t="shared" si="43"/>
        <v>0.89902348800906695</v>
      </c>
      <c r="G54" s="43">
        <f t="shared" si="43"/>
        <v>0.89254217833106597</v>
      </c>
      <c r="H54" s="43">
        <f t="shared" ref="H54:M54" si="44">H22/$N22</f>
        <v>0.90492849075463688</v>
      </c>
      <c r="I54" s="43">
        <f t="shared" si="44"/>
        <v>0.91359218324564029</v>
      </c>
      <c r="J54" s="43">
        <f t="shared" si="44"/>
        <v>0.95370003397260428</v>
      </c>
      <c r="K54" s="43">
        <f t="shared" si="44"/>
        <v>1.0293920770909215</v>
      </c>
      <c r="L54" s="43">
        <f t="shared" si="44"/>
        <v>1.1585722610301048</v>
      </c>
      <c r="M54" s="43">
        <f t="shared" si="44"/>
        <v>1.2255430593001191</v>
      </c>
      <c r="N54" s="35">
        <f t="shared" ref="N54" si="45">N22/$N22</f>
        <v>1</v>
      </c>
    </row>
    <row r="55" spans="1:14" x14ac:dyDescent="0.25">
      <c r="A55" s="119">
        <v>2042</v>
      </c>
      <c r="B55" s="43">
        <f t="shared" ref="B55:N63" si="46">B23/$N23</f>
        <v>1.1280630240828589</v>
      </c>
      <c r="C55" s="43">
        <f t="shared" si="46"/>
        <v>1.0198350217070586</v>
      </c>
      <c r="D55" s="43">
        <f t="shared" si="46"/>
        <v>0.97537337500018251</v>
      </c>
      <c r="E55" s="43">
        <f t="shared" si="46"/>
        <v>0.91199574447276111</v>
      </c>
      <c r="F55" s="43">
        <f t="shared" si="46"/>
        <v>0.90604689507643632</v>
      </c>
      <c r="G55" s="43">
        <f t="shared" si="46"/>
        <v>0.89879327612303084</v>
      </c>
      <c r="H55" s="43">
        <f t="shared" si="46"/>
        <v>0.9123213444202104</v>
      </c>
      <c r="I55" s="43">
        <f t="shared" si="46"/>
        <v>0.91689961025942834</v>
      </c>
      <c r="J55" s="43">
        <f t="shared" si="46"/>
        <v>0.9549653607114913</v>
      </c>
      <c r="K55" s="43">
        <f t="shared" si="46"/>
        <v>1.0205619629055274</v>
      </c>
      <c r="L55" s="43">
        <f t="shared" si="46"/>
        <v>1.1410496267365389</v>
      </c>
      <c r="M55" s="43">
        <f t="shared" si="46"/>
        <v>1.2140947585044759</v>
      </c>
      <c r="N55" s="119">
        <f t="shared" si="46"/>
        <v>1</v>
      </c>
    </row>
    <row r="56" spans="1:14" x14ac:dyDescent="0.25">
      <c r="A56" s="119">
        <v>2043</v>
      </c>
      <c r="B56" s="43">
        <f t="shared" si="46"/>
        <v>1.1241290489726039</v>
      </c>
      <c r="C56" s="43">
        <f t="shared" si="46"/>
        <v>1.0073168537779296</v>
      </c>
      <c r="D56" s="43">
        <f t="shared" si="46"/>
        <v>0.95566343047147162</v>
      </c>
      <c r="E56" s="43">
        <f t="shared" si="46"/>
        <v>0.91196714496378595</v>
      </c>
      <c r="F56" s="43">
        <f t="shared" si="46"/>
        <v>0.90666149254827122</v>
      </c>
      <c r="G56" s="43">
        <f t="shared" si="46"/>
        <v>0.9099594189844421</v>
      </c>
      <c r="H56" s="43">
        <f t="shared" si="46"/>
        <v>0.9279070496724956</v>
      </c>
      <c r="I56" s="43">
        <f t="shared" si="46"/>
        <v>0.9359896418258925</v>
      </c>
      <c r="J56" s="43">
        <f t="shared" si="46"/>
        <v>0.97532195283881162</v>
      </c>
      <c r="K56" s="43">
        <f t="shared" si="46"/>
        <v>1.0403010058268223</v>
      </c>
      <c r="L56" s="43">
        <f t="shared" si="46"/>
        <v>1.1205834456408565</v>
      </c>
      <c r="M56" s="43">
        <f t="shared" si="46"/>
        <v>1.1841995144766173</v>
      </c>
      <c r="N56" s="119">
        <f t="shared" si="46"/>
        <v>1</v>
      </c>
    </row>
    <row r="57" spans="1:14" x14ac:dyDescent="0.25">
      <c r="A57" s="119">
        <v>2044</v>
      </c>
      <c r="B57" s="43">
        <f t="shared" si="46"/>
        <v>1.1234144181919443</v>
      </c>
      <c r="C57" s="43">
        <f t="shared" si="46"/>
        <v>1.0206388783198574</v>
      </c>
      <c r="D57" s="43">
        <f t="shared" si="46"/>
        <v>0.97143104921232082</v>
      </c>
      <c r="E57" s="43">
        <f t="shared" si="46"/>
        <v>0.91235609312608834</v>
      </c>
      <c r="F57" s="43">
        <f t="shared" si="46"/>
        <v>0.90626185175980323</v>
      </c>
      <c r="G57" s="43">
        <f t="shared" si="46"/>
        <v>0.90333225557170527</v>
      </c>
      <c r="H57" s="43">
        <f t="shared" si="46"/>
        <v>0.91664487972325204</v>
      </c>
      <c r="I57" s="43">
        <f t="shared" si="46"/>
        <v>0.92266934176626259</v>
      </c>
      <c r="J57" s="43">
        <f t="shared" si="46"/>
        <v>0.96533908045801675</v>
      </c>
      <c r="K57" s="43">
        <f t="shared" si="46"/>
        <v>1.0251687971072683</v>
      </c>
      <c r="L57" s="43">
        <f t="shared" si="46"/>
        <v>1.1336207417322939</v>
      </c>
      <c r="M57" s="43">
        <f t="shared" si="46"/>
        <v>1.1991226130311889</v>
      </c>
      <c r="N57" s="119">
        <f t="shared" si="46"/>
        <v>1</v>
      </c>
    </row>
    <row r="58" spans="1:14" x14ac:dyDescent="0.25">
      <c r="A58" s="119">
        <v>2045</v>
      </c>
      <c r="B58" s="43">
        <f t="shared" si="46"/>
        <v>1.1250302240406054</v>
      </c>
      <c r="C58" s="43">
        <f t="shared" si="46"/>
        <v>1.0110192444260282</v>
      </c>
      <c r="D58" s="43">
        <f t="shared" si="46"/>
        <v>0.96216820389685231</v>
      </c>
      <c r="E58" s="43">
        <f t="shared" si="46"/>
        <v>0.92005938057835202</v>
      </c>
      <c r="F58" s="43">
        <f t="shared" si="46"/>
        <v>0.91508490540401766</v>
      </c>
      <c r="G58" s="43">
        <f t="shared" si="46"/>
        <v>0.91343084376040196</v>
      </c>
      <c r="H58" s="43">
        <f t="shared" si="46"/>
        <v>0.93069582863593914</v>
      </c>
      <c r="I58" s="43">
        <f t="shared" si="46"/>
        <v>0.93453038836893165</v>
      </c>
      <c r="J58" s="43">
        <f t="shared" si="46"/>
        <v>0.97677728466870628</v>
      </c>
      <c r="K58" s="43">
        <f t="shared" si="46"/>
        <v>1.0434106114089428</v>
      </c>
      <c r="L58" s="43">
        <f t="shared" si="46"/>
        <v>1.0965342009518562</v>
      </c>
      <c r="M58" s="43">
        <f t="shared" si="46"/>
        <v>1.1712588838593667</v>
      </c>
      <c r="N58" s="119">
        <f t="shared" si="46"/>
        <v>1</v>
      </c>
    </row>
    <row r="59" spans="1:14" x14ac:dyDescent="0.25">
      <c r="A59" s="119">
        <v>2046</v>
      </c>
      <c r="B59" s="43">
        <f t="shared" si="46"/>
        <v>1.1251428109054882</v>
      </c>
      <c r="C59" s="43">
        <f t="shared" si="46"/>
        <v>1.0124577587574572</v>
      </c>
      <c r="D59" s="43">
        <f t="shared" si="46"/>
        <v>0.9714821848276266</v>
      </c>
      <c r="E59" s="43">
        <f t="shared" si="46"/>
        <v>0.91823052727332044</v>
      </c>
      <c r="F59" s="43">
        <f t="shared" si="46"/>
        <v>0.91273960533691234</v>
      </c>
      <c r="G59" s="43">
        <f t="shared" si="46"/>
        <v>0.91035126023542168</v>
      </c>
      <c r="H59" s="43">
        <f t="shared" si="46"/>
        <v>0.92055618642571568</v>
      </c>
      <c r="I59" s="43">
        <f t="shared" si="46"/>
        <v>0.92617570329592225</v>
      </c>
      <c r="J59" s="43">
        <f t="shared" si="46"/>
        <v>0.9616179668807866</v>
      </c>
      <c r="K59" s="43">
        <f t="shared" si="46"/>
        <v>1.0139641806546038</v>
      </c>
      <c r="L59" s="43">
        <f t="shared" si="46"/>
        <v>1.1285944318090888</v>
      </c>
      <c r="M59" s="43">
        <f t="shared" si="46"/>
        <v>1.1986873835976548</v>
      </c>
      <c r="N59" s="119">
        <f t="shared" si="46"/>
        <v>1</v>
      </c>
    </row>
    <row r="60" spans="1:14" x14ac:dyDescent="0.25">
      <c r="A60" s="119">
        <v>2047</v>
      </c>
      <c r="B60" s="43">
        <f t="shared" si="46"/>
        <v>1.1223982345139065</v>
      </c>
      <c r="C60" s="43">
        <f t="shared" si="46"/>
        <v>1.0173702346755844</v>
      </c>
      <c r="D60" s="43">
        <f t="shared" si="46"/>
        <v>0.96376665765821479</v>
      </c>
      <c r="E60" s="43">
        <f t="shared" si="46"/>
        <v>0.91039838522016503</v>
      </c>
      <c r="F60" s="43">
        <f t="shared" si="46"/>
        <v>0.90558627170059947</v>
      </c>
      <c r="G60" s="43">
        <f t="shared" si="46"/>
        <v>0.903176174643751</v>
      </c>
      <c r="H60" s="43">
        <f t="shared" si="46"/>
        <v>0.92182036113528143</v>
      </c>
      <c r="I60" s="43">
        <f t="shared" si="46"/>
        <v>0.93150446083985139</v>
      </c>
      <c r="J60" s="43">
        <f t="shared" si="46"/>
        <v>0.976652254748968</v>
      </c>
      <c r="K60" s="43">
        <f t="shared" si="46"/>
        <v>1.0402602256945683</v>
      </c>
      <c r="L60" s="43">
        <f t="shared" si="46"/>
        <v>1.1189210048705971</v>
      </c>
      <c r="M60" s="43">
        <f t="shared" si="46"/>
        <v>1.1881457342985149</v>
      </c>
      <c r="N60" s="119">
        <f t="shared" si="46"/>
        <v>1</v>
      </c>
    </row>
    <row r="61" spans="1:14" x14ac:dyDescent="0.25">
      <c r="A61" s="119">
        <v>2048</v>
      </c>
      <c r="B61" s="43">
        <f t="shared" si="46"/>
        <v>1.1121637635716557</v>
      </c>
      <c r="C61" s="43">
        <f t="shared" si="46"/>
        <v>1.0064945966283336</v>
      </c>
      <c r="D61" s="43">
        <f t="shared" si="46"/>
        <v>0.9569758007329332</v>
      </c>
      <c r="E61" s="43">
        <f t="shared" si="46"/>
        <v>0.91282566483506722</v>
      </c>
      <c r="F61" s="43">
        <f t="shared" si="46"/>
        <v>0.90676974152155665</v>
      </c>
      <c r="G61" s="43">
        <f t="shared" si="46"/>
        <v>0.90853518670888933</v>
      </c>
      <c r="H61" s="43">
        <f t="shared" si="46"/>
        <v>0.92774692588473051</v>
      </c>
      <c r="I61" s="43">
        <f t="shared" si="46"/>
        <v>0.93805376342211866</v>
      </c>
      <c r="J61" s="43">
        <f t="shared" si="46"/>
        <v>0.98547060178648493</v>
      </c>
      <c r="K61" s="43">
        <f t="shared" si="46"/>
        <v>1.0582605647702943</v>
      </c>
      <c r="L61" s="43">
        <f t="shared" si="46"/>
        <v>1.1135779913443768</v>
      </c>
      <c r="M61" s="43">
        <f t="shared" si="46"/>
        <v>1.1731253987935593</v>
      </c>
      <c r="N61" s="119">
        <f t="shared" si="46"/>
        <v>1</v>
      </c>
    </row>
    <row r="62" spans="1:14" x14ac:dyDescent="0.25">
      <c r="A62" s="119">
        <v>2049</v>
      </c>
      <c r="B62" s="43">
        <f t="shared" si="46"/>
        <v>1.1239640346019282</v>
      </c>
      <c r="C62" s="43">
        <f t="shared" si="46"/>
        <v>1.0161476424048415</v>
      </c>
      <c r="D62" s="43">
        <f t="shared" si="46"/>
        <v>0.9754132621531818</v>
      </c>
      <c r="E62" s="43">
        <f t="shared" si="46"/>
        <v>0.91909947428364713</v>
      </c>
      <c r="F62" s="43">
        <f t="shared" si="46"/>
        <v>0.91417976289057057</v>
      </c>
      <c r="G62" s="43">
        <f t="shared" si="46"/>
        <v>0.91201772090384414</v>
      </c>
      <c r="H62" s="43">
        <f t="shared" si="46"/>
        <v>0.92756478430561928</v>
      </c>
      <c r="I62" s="43">
        <f t="shared" si="46"/>
        <v>0.93413656058757133</v>
      </c>
      <c r="J62" s="43">
        <f t="shared" si="46"/>
        <v>0.97640830143873192</v>
      </c>
      <c r="K62" s="43">
        <f t="shared" si="46"/>
        <v>1.0376245658285794</v>
      </c>
      <c r="L62" s="43">
        <f t="shared" si="46"/>
        <v>1.0921509535810023</v>
      </c>
      <c r="M62" s="43">
        <f t="shared" si="46"/>
        <v>1.1712929370204808</v>
      </c>
      <c r="N62" s="119">
        <f t="shared" si="46"/>
        <v>1</v>
      </c>
    </row>
    <row r="63" spans="1:14" x14ac:dyDescent="0.25">
      <c r="A63" s="119">
        <v>2050</v>
      </c>
      <c r="B63" s="43">
        <f t="shared" si="46"/>
        <v>1.1103916161221341</v>
      </c>
      <c r="C63" s="43">
        <f t="shared" si="46"/>
        <v>1.0014840346052465</v>
      </c>
      <c r="D63" s="43">
        <f t="shared" si="46"/>
        <v>0.95516493699046268</v>
      </c>
      <c r="E63" s="43">
        <f t="shared" si="46"/>
        <v>0.90183420230955347</v>
      </c>
      <c r="F63" s="43">
        <f t="shared" si="46"/>
        <v>0.8963567214327568</v>
      </c>
      <c r="G63" s="43">
        <f t="shared" si="46"/>
        <v>0.89562985202051959</v>
      </c>
      <c r="H63" s="43">
        <f t="shared" si="46"/>
        <v>0.90479094882280864</v>
      </c>
      <c r="I63" s="43">
        <f t="shared" si="46"/>
        <v>0.91447090393083663</v>
      </c>
      <c r="J63" s="43">
        <f t="shared" si="46"/>
        <v>0.95181237493323678</v>
      </c>
      <c r="K63" s="43">
        <f t="shared" si="46"/>
        <v>1.0063121382996705</v>
      </c>
      <c r="L63" s="43">
        <f t="shared" si="46"/>
        <v>1.190788406969608</v>
      </c>
      <c r="M63" s="43">
        <f t="shared" si="46"/>
        <v>1.2709638635631657</v>
      </c>
      <c r="N63" s="119">
        <f t="shared" si="46"/>
        <v>1</v>
      </c>
    </row>
    <row r="64" spans="1:14" x14ac:dyDescent="0.25"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</row>
    <row r="65" spans="2:13" x14ac:dyDescent="0.25"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</row>
    <row r="66" spans="2:13" x14ac:dyDescent="0.25"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</row>
    <row r="67" spans="2:13" x14ac:dyDescent="0.25"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</row>
  </sheetData>
  <mergeCells count="1">
    <mergeCell ref="AD1:AH1"/>
  </mergeCells>
  <pageMargins left="0.7" right="0.7" top="0.75" bottom="0.75" header="0.3" footer="0.3"/>
  <pageSetup orientation="portrait" horizontalDpi="200" verticalDpi="200" r:id="rId1"/>
  <ignoredErrors>
    <ignoredError sqref="AE3:AH31 AI3:AI20 AI23:AI24 AI26:AI3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69368-B879-4CE9-8FCC-7FA097719668}">
  <dimension ref="A1:Y49"/>
  <sheetViews>
    <sheetView tabSelected="1" topLeftCell="A13" workbookViewId="0">
      <selection activeCell="O2" sqref="O2"/>
    </sheetView>
  </sheetViews>
  <sheetFormatPr defaultRowHeight="15" x14ac:dyDescent="0.25"/>
  <cols>
    <col min="3" max="3" width="11.42578125" customWidth="1"/>
    <col min="4" max="4" width="10.5703125" customWidth="1"/>
    <col min="5" max="5" width="10.42578125" customWidth="1"/>
    <col min="6" max="6" width="12.42578125" customWidth="1"/>
    <col min="7" max="7" width="11.85546875" customWidth="1"/>
    <col min="9" max="9" width="11.140625" customWidth="1"/>
    <col min="10" max="10" width="10.5703125" customWidth="1"/>
    <col min="11" max="11" width="10.42578125" customWidth="1"/>
    <col min="12" max="12" width="12.140625" customWidth="1"/>
    <col min="13" max="13" width="11.85546875" customWidth="1"/>
    <col min="17" max="17" width="8.85546875" style="124"/>
  </cols>
  <sheetData>
    <row r="1" spans="1:17" s="103" customFormat="1" ht="58.35" customHeight="1" x14ac:dyDescent="0.25">
      <c r="A1" s="108"/>
      <c r="B1" s="107" t="s">
        <v>149</v>
      </c>
      <c r="C1" s="124" t="s">
        <v>150</v>
      </c>
      <c r="D1" s="108" t="s">
        <v>94</v>
      </c>
      <c r="E1" s="108" t="s">
        <v>95</v>
      </c>
      <c r="F1" s="108" t="s">
        <v>96</v>
      </c>
      <c r="G1" s="108" t="s">
        <v>97</v>
      </c>
      <c r="H1" s="108" t="s">
        <v>99</v>
      </c>
      <c r="I1" s="108" t="s">
        <v>98</v>
      </c>
      <c r="J1" s="108" t="s">
        <v>94</v>
      </c>
      <c r="K1" s="108" t="s">
        <v>95</v>
      </c>
      <c r="L1" s="108" t="s">
        <v>96</v>
      </c>
      <c r="M1" s="108" t="s">
        <v>97</v>
      </c>
      <c r="N1" s="108" t="s">
        <v>99</v>
      </c>
      <c r="O1" s="103" t="s">
        <v>110</v>
      </c>
      <c r="P1" s="108" t="s">
        <v>111</v>
      </c>
      <c r="Q1" s="108"/>
    </row>
    <row r="2" spans="1:17" x14ac:dyDescent="0.25">
      <c r="A2">
        <v>2022</v>
      </c>
      <c r="B2" s="162">
        <f t="shared" ref="B2:B4" si="0">79+($B$5-79)/5*(A2-2020)</f>
        <v>82.2</v>
      </c>
      <c r="C2" s="129">
        <v>0</v>
      </c>
      <c r="D2">
        <v>5.3109999999999997E-2</v>
      </c>
      <c r="E2">
        <f>'[4]In $Dth Form'!$AO$11</f>
        <v>4.3313105860386027E-3</v>
      </c>
      <c r="F2">
        <f>'[4]In $Dth Form'!$AO$12</f>
        <v>3.1274255196872733E-3</v>
      </c>
      <c r="G2">
        <f>'[4]In $Dth Form'!$AO$13</f>
        <v>2.1039099423049751E-3</v>
      </c>
      <c r="H2">
        <f>'[4]In $Dth Form'!$AO$14</f>
        <v>7.0261707093623171E-4</v>
      </c>
      <c r="I2">
        <f t="shared" ref="I2:I29" si="1">SUM(D2:H2)</f>
        <v>6.3375263118967087E-2</v>
      </c>
      <c r="J2" s="104">
        <f t="shared" ref="J2:J29" si="2">$B2*D2</f>
        <v>4.3656420000000002</v>
      </c>
      <c r="K2" s="104">
        <f t="shared" ref="K2:K29" si="3">$B2*E2</f>
        <v>0.35603373017237316</v>
      </c>
      <c r="L2" s="104">
        <f t="shared" ref="K2:L30" si="4">$B2*F2</f>
        <v>0.25707437771829389</v>
      </c>
      <c r="M2" s="104">
        <f t="shared" ref="L2:M30" si="5">$B2*G2</f>
        <v>0.17294139725746896</v>
      </c>
      <c r="N2" s="104">
        <f t="shared" ref="M2:N30" si="6">$B2*H2</f>
        <v>5.7755123230958251E-2</v>
      </c>
      <c r="O2" s="104">
        <f>$B2*I2</f>
        <v>5.2094466283790943</v>
      </c>
      <c r="P2" s="104">
        <f>C2*D2</f>
        <v>0</v>
      </c>
    </row>
    <row r="3" spans="1:17" x14ac:dyDescent="0.25">
      <c r="A3">
        <v>2023</v>
      </c>
      <c r="B3" s="162">
        <f t="shared" si="0"/>
        <v>83.8</v>
      </c>
      <c r="C3" s="129">
        <v>107</v>
      </c>
      <c r="D3" s="124">
        <v>5.3109999999999997E-2</v>
      </c>
      <c r="E3">
        <f>'[4]In $Dth Form'!$AO$11</f>
        <v>4.3313105860386027E-3</v>
      </c>
      <c r="F3">
        <f>'[4]In $Dth Form'!$AO$12</f>
        <v>3.1274255196872733E-3</v>
      </c>
      <c r="G3">
        <f>'[4]In $Dth Form'!$AO$13</f>
        <v>2.1039099423049751E-3</v>
      </c>
      <c r="H3">
        <f>'[4]In $Dth Form'!$AO$14</f>
        <v>7.0261707093623171E-4</v>
      </c>
      <c r="I3">
        <f t="shared" si="1"/>
        <v>6.3375263118967087E-2</v>
      </c>
      <c r="J3" s="104">
        <f t="shared" si="2"/>
        <v>4.4506179999999995</v>
      </c>
      <c r="K3" s="104">
        <f t="shared" si="3"/>
        <v>0.36296382711003489</v>
      </c>
      <c r="L3" s="104">
        <f t="shared" si="4"/>
        <v>0.2620782585497935</v>
      </c>
      <c r="M3" s="104">
        <f t="shared" si="5"/>
        <v>0.1763076531651569</v>
      </c>
      <c r="N3" s="104">
        <f t="shared" si="6"/>
        <v>5.8879310544456213E-2</v>
      </c>
      <c r="O3" s="104">
        <f t="shared" ref="N3:O30" si="7">$B3*I3</f>
        <v>5.3108470493694417</v>
      </c>
      <c r="P3" s="104">
        <f t="shared" ref="P3:P30" si="8">C3*D3</f>
        <v>5.6827699999999997</v>
      </c>
    </row>
    <row r="4" spans="1:17" x14ac:dyDescent="0.25">
      <c r="A4">
        <v>2024</v>
      </c>
      <c r="B4" s="162">
        <f t="shared" si="0"/>
        <v>85.4</v>
      </c>
      <c r="C4" s="129">
        <v>108</v>
      </c>
      <c r="D4" s="124">
        <v>5.3109999999999997E-2</v>
      </c>
      <c r="E4">
        <f>'[4]In $Dth Form'!$AO$11</f>
        <v>4.3313105860386027E-3</v>
      </c>
      <c r="F4">
        <f>'[4]In $Dth Form'!$AO$12</f>
        <v>3.1274255196872733E-3</v>
      </c>
      <c r="G4">
        <f>'[4]In $Dth Form'!$AO$13</f>
        <v>2.1039099423049751E-3</v>
      </c>
      <c r="H4">
        <f>'[4]In $Dth Form'!$AO$14</f>
        <v>7.0261707093623171E-4</v>
      </c>
      <c r="I4">
        <f t="shared" si="1"/>
        <v>6.3375263118967087E-2</v>
      </c>
      <c r="J4" s="104">
        <f t="shared" si="2"/>
        <v>4.5355939999999997</v>
      </c>
      <c r="K4" s="104">
        <f t="shared" si="3"/>
        <v>0.36989392404769672</v>
      </c>
      <c r="L4" s="104">
        <f t="shared" si="4"/>
        <v>0.26708213938129316</v>
      </c>
      <c r="M4" s="104">
        <f t="shared" si="5"/>
        <v>0.17967390907284489</v>
      </c>
      <c r="N4" s="104">
        <f t="shared" si="6"/>
        <v>6.000349785795419E-2</v>
      </c>
      <c r="O4" s="104">
        <f t="shared" si="7"/>
        <v>5.41224747035979</v>
      </c>
      <c r="P4" s="104">
        <f t="shared" si="8"/>
        <v>5.7358799999999999</v>
      </c>
    </row>
    <row r="5" spans="1:17" x14ac:dyDescent="0.25">
      <c r="A5">
        <v>2025</v>
      </c>
      <c r="B5" s="162">
        <v>87</v>
      </c>
      <c r="C5" s="129">
        <v>109</v>
      </c>
      <c r="D5" s="124">
        <v>5.3109999999999997E-2</v>
      </c>
      <c r="E5">
        <f>'[4]In $Dth Form'!$AO$11</f>
        <v>4.3313105860386027E-3</v>
      </c>
      <c r="F5">
        <f>'[4]In $Dth Form'!$AO$12</f>
        <v>3.1274255196872733E-3</v>
      </c>
      <c r="G5">
        <f>'[4]In $Dth Form'!$AO$13</f>
        <v>2.1039099423049751E-3</v>
      </c>
      <c r="H5">
        <f>'[4]In $Dth Form'!$AO$14</f>
        <v>7.0261707093623171E-4</v>
      </c>
      <c r="I5">
        <f t="shared" si="1"/>
        <v>6.3375263118967087E-2</v>
      </c>
      <c r="J5" s="104">
        <f t="shared" si="2"/>
        <v>4.6205699999999998</v>
      </c>
      <c r="K5" s="104">
        <f t="shared" si="3"/>
        <v>0.37682402098535844</v>
      </c>
      <c r="L5" s="104">
        <f t="shared" si="4"/>
        <v>0.27208602021279277</v>
      </c>
      <c r="M5" s="104">
        <f t="shared" si="5"/>
        <v>0.18304016498053283</v>
      </c>
      <c r="N5" s="104">
        <f t="shared" si="6"/>
        <v>6.1127685171452159E-2</v>
      </c>
      <c r="O5" s="104">
        <f t="shared" si="7"/>
        <v>5.5136478913501366</v>
      </c>
      <c r="P5" s="104">
        <f t="shared" si="8"/>
        <v>5.7889900000000001</v>
      </c>
    </row>
    <row r="6" spans="1:17" x14ac:dyDescent="0.25">
      <c r="A6">
        <v>2026</v>
      </c>
      <c r="B6" s="162">
        <f>$B$5+($B$10-$B$5)/5*(A6-$A$5)</f>
        <v>88.4</v>
      </c>
      <c r="C6" s="129">
        <v>110</v>
      </c>
      <c r="D6" s="124">
        <v>5.3109999999999997E-2</v>
      </c>
      <c r="E6">
        <f>'[4]In $Dth Form'!$AO$11</f>
        <v>4.3313105860386027E-3</v>
      </c>
      <c r="F6">
        <f>'[4]In $Dth Form'!$AO$12</f>
        <v>3.1274255196872733E-3</v>
      </c>
      <c r="G6">
        <f>'[4]In $Dth Form'!$AO$13</f>
        <v>2.1039099423049751E-3</v>
      </c>
      <c r="H6">
        <f>'[4]In $Dth Form'!$AO$14</f>
        <v>7.0261707093623171E-4</v>
      </c>
      <c r="I6">
        <f t="shared" si="1"/>
        <v>6.3375263118967087E-2</v>
      </c>
      <c r="J6" s="104">
        <f t="shared" si="2"/>
        <v>4.6949240000000003</v>
      </c>
      <c r="K6" s="104">
        <f t="shared" si="3"/>
        <v>0.38288785580581253</v>
      </c>
      <c r="L6" s="104">
        <f t="shared" si="4"/>
        <v>0.27646441594035498</v>
      </c>
      <c r="M6" s="104">
        <f t="shared" si="5"/>
        <v>0.1859856388997598</v>
      </c>
      <c r="N6" s="104">
        <f t="shared" si="6"/>
        <v>6.2111349070762885E-2</v>
      </c>
      <c r="O6" s="104">
        <f t="shared" si="7"/>
        <v>5.6023732597166909</v>
      </c>
      <c r="P6" s="104">
        <f t="shared" si="8"/>
        <v>5.8420999999999994</v>
      </c>
    </row>
    <row r="7" spans="1:17" x14ac:dyDescent="0.25">
      <c r="A7">
        <v>2027</v>
      </c>
      <c r="B7" s="162">
        <f t="shared" ref="B7:B9" si="9">$B$5+($B$10-$B$5)/5*(A7-$A$5)</f>
        <v>89.8</v>
      </c>
      <c r="C7" s="129">
        <v>111</v>
      </c>
      <c r="D7" s="124">
        <v>5.3109999999999997E-2</v>
      </c>
      <c r="E7">
        <f>'[4]In $Dth Form'!$AO$11</f>
        <v>4.3313105860386027E-3</v>
      </c>
      <c r="F7">
        <f>'[4]In $Dth Form'!$AO$12</f>
        <v>3.1274255196872733E-3</v>
      </c>
      <c r="G7">
        <f>'[4]In $Dth Form'!$AO$13</f>
        <v>2.1039099423049751E-3</v>
      </c>
      <c r="H7">
        <f>'[4]In $Dth Form'!$AO$14</f>
        <v>7.0261707093623171E-4</v>
      </c>
      <c r="I7">
        <f t="shared" si="1"/>
        <v>6.3375263118967087E-2</v>
      </c>
      <c r="J7" s="104">
        <f t="shared" si="2"/>
        <v>4.7692779999999999</v>
      </c>
      <c r="K7" s="104">
        <f t="shared" si="3"/>
        <v>0.3889516906262665</v>
      </c>
      <c r="L7" s="104">
        <f t="shared" si="4"/>
        <v>0.28084281166791714</v>
      </c>
      <c r="M7" s="104">
        <f t="shared" si="5"/>
        <v>0.18893111281898675</v>
      </c>
      <c r="N7" s="104">
        <f t="shared" si="6"/>
        <v>6.3095012970073611E-2</v>
      </c>
      <c r="O7" s="104">
        <f t="shared" si="7"/>
        <v>5.6910986280832443</v>
      </c>
      <c r="P7" s="104">
        <f t="shared" si="8"/>
        <v>5.8952099999999996</v>
      </c>
    </row>
    <row r="8" spans="1:17" x14ac:dyDescent="0.25">
      <c r="A8">
        <v>2028</v>
      </c>
      <c r="B8" s="162">
        <f t="shared" si="9"/>
        <v>91.2</v>
      </c>
      <c r="C8" s="129">
        <v>112</v>
      </c>
      <c r="D8" s="124">
        <v>5.3109999999999997E-2</v>
      </c>
      <c r="E8">
        <f>'[4]In $Dth Form'!$AO$11</f>
        <v>4.3313105860386027E-3</v>
      </c>
      <c r="F8">
        <f>'[4]In $Dth Form'!$AO$12</f>
        <v>3.1274255196872733E-3</v>
      </c>
      <c r="G8">
        <f>'[4]In $Dth Form'!$AO$13</f>
        <v>2.1039099423049751E-3</v>
      </c>
      <c r="H8">
        <f>'[4]In $Dth Form'!$AO$14</f>
        <v>7.0261707093623171E-4</v>
      </c>
      <c r="I8">
        <f t="shared" si="1"/>
        <v>6.3375263118967087E-2</v>
      </c>
      <c r="J8" s="104">
        <f t="shared" si="2"/>
        <v>4.8436319999999995</v>
      </c>
      <c r="K8" s="104">
        <f t="shared" si="3"/>
        <v>0.39501552544672058</v>
      </c>
      <c r="L8" s="104">
        <f t="shared" si="4"/>
        <v>0.28522120739547935</v>
      </c>
      <c r="M8" s="104">
        <f t="shared" si="5"/>
        <v>0.19187658673821373</v>
      </c>
      <c r="N8" s="104">
        <f t="shared" si="6"/>
        <v>6.4078676869384329E-2</v>
      </c>
      <c r="O8" s="104">
        <f t="shared" si="7"/>
        <v>5.7798239964497986</v>
      </c>
      <c r="P8" s="104">
        <f t="shared" si="8"/>
        <v>5.9483199999999998</v>
      </c>
    </row>
    <row r="9" spans="1:17" x14ac:dyDescent="0.25">
      <c r="A9">
        <v>2029</v>
      </c>
      <c r="B9" s="162">
        <f t="shared" si="9"/>
        <v>92.6</v>
      </c>
      <c r="C9" s="129">
        <v>113</v>
      </c>
      <c r="D9" s="124">
        <v>5.3109999999999997E-2</v>
      </c>
      <c r="E9">
        <f>'[4]In $Dth Form'!$AO$11</f>
        <v>4.3313105860386027E-3</v>
      </c>
      <c r="F9">
        <f>'[4]In $Dth Form'!$AO$12</f>
        <v>3.1274255196872733E-3</v>
      </c>
      <c r="G9">
        <f>'[4]In $Dth Form'!$AO$13</f>
        <v>2.1039099423049751E-3</v>
      </c>
      <c r="H9">
        <f>'[4]In $Dth Form'!$AO$14</f>
        <v>7.0261707093623171E-4</v>
      </c>
      <c r="I9">
        <f t="shared" si="1"/>
        <v>6.3375263118967087E-2</v>
      </c>
      <c r="J9" s="104">
        <f t="shared" si="2"/>
        <v>4.9179859999999991</v>
      </c>
      <c r="K9" s="104">
        <f t="shared" si="3"/>
        <v>0.40107936026717461</v>
      </c>
      <c r="L9" s="104">
        <f t="shared" si="4"/>
        <v>0.2895996031230415</v>
      </c>
      <c r="M9" s="104">
        <f t="shared" si="5"/>
        <v>0.19482206065744068</v>
      </c>
      <c r="N9" s="104">
        <f t="shared" si="6"/>
        <v>6.5062340768695048E-2</v>
      </c>
      <c r="O9" s="104">
        <f t="shared" si="7"/>
        <v>5.868549364816352</v>
      </c>
      <c r="P9" s="104">
        <f t="shared" si="8"/>
        <v>6.00143</v>
      </c>
    </row>
    <row r="10" spans="1:17" x14ac:dyDescent="0.25">
      <c r="A10">
        <v>2030</v>
      </c>
      <c r="B10" s="162">
        <v>94</v>
      </c>
      <c r="C10" s="129">
        <v>114</v>
      </c>
      <c r="D10" s="124">
        <v>5.3109999999999997E-2</v>
      </c>
      <c r="E10">
        <f>'[4]In $Dth Form'!$AO$11</f>
        <v>4.3313105860386027E-3</v>
      </c>
      <c r="F10">
        <f>'[4]In $Dth Form'!$AO$12</f>
        <v>3.1274255196872733E-3</v>
      </c>
      <c r="G10">
        <f>'[4]In $Dth Form'!$AO$13</f>
        <v>2.1039099423049751E-3</v>
      </c>
      <c r="H10">
        <f>'[4]In $Dth Form'!$AO$14</f>
        <v>7.0261707093623171E-4</v>
      </c>
      <c r="I10">
        <f t="shared" si="1"/>
        <v>6.3375263118967087E-2</v>
      </c>
      <c r="J10" s="104">
        <f t="shared" si="2"/>
        <v>4.9923399999999996</v>
      </c>
      <c r="K10" s="104">
        <f t="shared" si="3"/>
        <v>0.40714319508762864</v>
      </c>
      <c r="L10" s="104">
        <f t="shared" si="4"/>
        <v>0.29397799885060372</v>
      </c>
      <c r="M10" s="104">
        <f t="shared" si="5"/>
        <v>0.19776753457666765</v>
      </c>
      <c r="N10" s="104">
        <f t="shared" si="6"/>
        <v>6.6046004668005781E-2</v>
      </c>
      <c r="O10" s="104">
        <f t="shared" si="7"/>
        <v>5.9572747331829063</v>
      </c>
      <c r="P10" s="104">
        <f t="shared" si="8"/>
        <v>6.0545399999999994</v>
      </c>
    </row>
    <row r="11" spans="1:17" x14ac:dyDescent="0.25">
      <c r="A11">
        <v>2031</v>
      </c>
      <c r="B11" s="162">
        <f>$B$10+($B$15-$B$10)/5*(A11-$A$10)</f>
        <v>95.2</v>
      </c>
      <c r="C11" s="129">
        <v>115</v>
      </c>
      <c r="D11" s="124">
        <v>5.3109999999999997E-2</v>
      </c>
      <c r="E11">
        <f>'[4]In $Dth Form'!$AO$11</f>
        <v>4.3313105860386027E-3</v>
      </c>
      <c r="F11">
        <f>'[4]In $Dth Form'!$AO$12</f>
        <v>3.1274255196872733E-3</v>
      </c>
      <c r="G11">
        <f>'[4]In $Dth Form'!$AO$13</f>
        <v>2.1039099423049751E-3</v>
      </c>
      <c r="H11">
        <f>'[4]In $Dth Form'!$AO$14</f>
        <v>7.0261707093623171E-4</v>
      </c>
      <c r="I11">
        <f t="shared" si="1"/>
        <v>6.3375263118967087E-2</v>
      </c>
      <c r="J11" s="104">
        <f t="shared" si="2"/>
        <v>5.0560720000000003</v>
      </c>
      <c r="K11" s="104">
        <f t="shared" si="3"/>
        <v>0.41234076779087497</v>
      </c>
      <c r="L11" s="104">
        <f t="shared" si="4"/>
        <v>0.29773090947422842</v>
      </c>
      <c r="M11" s="104">
        <f t="shared" si="5"/>
        <v>0.20029222650743364</v>
      </c>
      <c r="N11" s="104">
        <f t="shared" si="6"/>
        <v>6.6889145153129256E-2</v>
      </c>
      <c r="O11" s="104">
        <f t="shared" si="7"/>
        <v>6.0333250489256667</v>
      </c>
      <c r="P11" s="104">
        <f t="shared" si="8"/>
        <v>6.1076499999999996</v>
      </c>
    </row>
    <row r="12" spans="1:17" x14ac:dyDescent="0.25">
      <c r="A12">
        <v>2032</v>
      </c>
      <c r="B12" s="162">
        <f t="shared" ref="B12:B14" si="10">$B$10+($B$15-$B$10)/5*(A12-$A$10)</f>
        <v>96.4</v>
      </c>
      <c r="C12" s="129">
        <v>116</v>
      </c>
      <c r="D12" s="124">
        <v>5.3109999999999997E-2</v>
      </c>
      <c r="E12">
        <f>'[4]In $Dth Form'!$AO$11</f>
        <v>4.3313105860386027E-3</v>
      </c>
      <c r="F12">
        <f>'[4]In $Dth Form'!$AO$12</f>
        <v>3.1274255196872733E-3</v>
      </c>
      <c r="G12">
        <f>'[4]In $Dth Form'!$AO$13</f>
        <v>2.1039099423049751E-3</v>
      </c>
      <c r="H12">
        <f>'[4]In $Dth Form'!$AO$14</f>
        <v>7.0261707093623171E-4</v>
      </c>
      <c r="I12">
        <f t="shared" si="1"/>
        <v>6.3375263118967087E-2</v>
      </c>
      <c r="J12" s="104">
        <f t="shared" si="2"/>
        <v>5.1198040000000002</v>
      </c>
      <c r="K12" s="104">
        <f t="shared" si="3"/>
        <v>0.41753834049412131</v>
      </c>
      <c r="L12" s="104">
        <f t="shared" si="4"/>
        <v>0.30148382009785318</v>
      </c>
      <c r="M12" s="104">
        <f t="shared" si="5"/>
        <v>0.2028169184381996</v>
      </c>
      <c r="N12" s="104">
        <f t="shared" si="6"/>
        <v>6.7732285638252746E-2</v>
      </c>
      <c r="O12" s="104">
        <f t="shared" si="7"/>
        <v>6.1093753646684279</v>
      </c>
      <c r="P12" s="104">
        <f t="shared" si="8"/>
        <v>6.1607599999999998</v>
      </c>
    </row>
    <row r="13" spans="1:17" x14ac:dyDescent="0.25">
      <c r="A13">
        <v>2033</v>
      </c>
      <c r="B13" s="162">
        <f t="shared" si="10"/>
        <v>97.6</v>
      </c>
      <c r="C13" s="129">
        <v>117</v>
      </c>
      <c r="D13" s="124">
        <v>5.3109999999999997E-2</v>
      </c>
      <c r="E13">
        <f>'[4]In $Dth Form'!$AO$11</f>
        <v>4.3313105860386027E-3</v>
      </c>
      <c r="F13">
        <f>'[4]In $Dth Form'!$AO$12</f>
        <v>3.1274255196872733E-3</v>
      </c>
      <c r="G13">
        <f>'[4]In $Dth Form'!$AO$13</f>
        <v>2.1039099423049751E-3</v>
      </c>
      <c r="H13">
        <f>'[4]In $Dth Form'!$AO$14</f>
        <v>7.0261707093623171E-4</v>
      </c>
      <c r="I13">
        <f t="shared" si="1"/>
        <v>6.3375263118967087E-2</v>
      </c>
      <c r="J13" s="104">
        <f t="shared" si="2"/>
        <v>5.1835359999999993</v>
      </c>
      <c r="K13" s="104">
        <f t="shared" si="3"/>
        <v>0.42273591319736759</v>
      </c>
      <c r="L13" s="104">
        <f t="shared" si="4"/>
        <v>0.30523673072147783</v>
      </c>
      <c r="M13" s="104">
        <f t="shared" si="5"/>
        <v>0.20534161036896556</v>
      </c>
      <c r="N13" s="104">
        <f t="shared" si="6"/>
        <v>6.8575426123376207E-2</v>
      </c>
      <c r="O13" s="104">
        <f t="shared" si="7"/>
        <v>6.1854256804111873</v>
      </c>
      <c r="P13" s="104">
        <f t="shared" si="8"/>
        <v>6.21387</v>
      </c>
    </row>
    <row r="14" spans="1:17" x14ac:dyDescent="0.25">
      <c r="A14">
        <v>2034</v>
      </c>
      <c r="B14" s="162">
        <f t="shared" si="10"/>
        <v>98.8</v>
      </c>
      <c r="C14" s="129">
        <v>118</v>
      </c>
      <c r="D14" s="124">
        <v>5.3109999999999997E-2</v>
      </c>
      <c r="E14">
        <f>'[4]In $Dth Form'!$AO$11</f>
        <v>4.3313105860386027E-3</v>
      </c>
      <c r="F14">
        <f>'[4]In $Dth Form'!$AO$12</f>
        <v>3.1274255196872733E-3</v>
      </c>
      <c r="G14">
        <f>'[4]In $Dth Form'!$AO$13</f>
        <v>2.1039099423049751E-3</v>
      </c>
      <c r="H14">
        <f>'[4]In $Dth Form'!$AO$14</f>
        <v>7.0261707093623171E-4</v>
      </c>
      <c r="I14">
        <f t="shared" si="1"/>
        <v>6.3375263118967087E-2</v>
      </c>
      <c r="J14" s="104">
        <f t="shared" si="2"/>
        <v>5.247268</v>
      </c>
      <c r="K14" s="104">
        <f t="shared" si="3"/>
        <v>0.42793348590061392</v>
      </c>
      <c r="L14" s="104">
        <f t="shared" si="4"/>
        <v>0.30898964134510259</v>
      </c>
      <c r="M14" s="104">
        <f t="shared" si="5"/>
        <v>0.20786630229973152</v>
      </c>
      <c r="N14" s="104">
        <f t="shared" si="6"/>
        <v>6.9418566608499696E-2</v>
      </c>
      <c r="O14" s="104">
        <f t="shared" si="7"/>
        <v>6.2614759961539477</v>
      </c>
      <c r="P14" s="104">
        <f t="shared" si="8"/>
        <v>6.2669799999999993</v>
      </c>
    </row>
    <row r="15" spans="1:17" x14ac:dyDescent="0.25">
      <c r="A15">
        <v>2035</v>
      </c>
      <c r="B15" s="162">
        <v>100</v>
      </c>
      <c r="C15" s="129">
        <v>119</v>
      </c>
      <c r="D15" s="124">
        <v>5.3109999999999997E-2</v>
      </c>
      <c r="E15">
        <f>'[4]In $Dth Form'!$AO$11</f>
        <v>4.3313105860386027E-3</v>
      </c>
      <c r="F15">
        <f>'[4]In $Dth Form'!$AO$12</f>
        <v>3.1274255196872733E-3</v>
      </c>
      <c r="G15">
        <f>'[4]In $Dth Form'!$AO$13</f>
        <v>2.1039099423049751E-3</v>
      </c>
      <c r="H15">
        <f>'[4]In $Dth Form'!$AO$14</f>
        <v>7.0261707093623171E-4</v>
      </c>
      <c r="I15">
        <f t="shared" si="1"/>
        <v>6.3375263118967087E-2</v>
      </c>
      <c r="J15" s="104">
        <f t="shared" si="2"/>
        <v>5.3109999999999999</v>
      </c>
      <c r="K15" s="104">
        <f t="shared" si="3"/>
        <v>0.43313105860386025</v>
      </c>
      <c r="L15" s="104">
        <f t="shared" si="4"/>
        <v>0.31274255196872736</v>
      </c>
      <c r="M15" s="104">
        <f t="shared" si="5"/>
        <v>0.21039099423049751</v>
      </c>
      <c r="N15" s="104">
        <f t="shared" si="6"/>
        <v>7.0261707093623171E-2</v>
      </c>
      <c r="O15" s="104">
        <f t="shared" si="7"/>
        <v>6.3375263118967089</v>
      </c>
      <c r="P15" s="104">
        <f t="shared" si="8"/>
        <v>6.3200899999999995</v>
      </c>
    </row>
    <row r="16" spans="1:17" x14ac:dyDescent="0.25">
      <c r="A16">
        <v>2036</v>
      </c>
      <c r="B16" s="162">
        <f>$B$15+($B$20-$B$15)/5*(A16-$A$15)</f>
        <v>101.6</v>
      </c>
      <c r="C16" s="129">
        <v>120</v>
      </c>
      <c r="D16" s="124">
        <v>5.3109999999999997E-2</v>
      </c>
      <c r="E16">
        <f>'[4]In $Dth Form'!$AO$11</f>
        <v>4.3313105860386027E-3</v>
      </c>
      <c r="F16">
        <f>'[4]In $Dth Form'!$AO$12</f>
        <v>3.1274255196872733E-3</v>
      </c>
      <c r="G16">
        <f>'[4]In $Dth Form'!$AO$13</f>
        <v>2.1039099423049751E-3</v>
      </c>
      <c r="H16">
        <f>'[4]In $Dth Form'!$AO$14</f>
        <v>7.0261707093623171E-4</v>
      </c>
      <c r="I16">
        <f t="shared" si="1"/>
        <v>6.3375263118967087E-2</v>
      </c>
      <c r="J16" s="104">
        <f t="shared" si="2"/>
        <v>5.3959759999999992</v>
      </c>
      <c r="K16" s="104">
        <f t="shared" si="3"/>
        <v>0.44006115554152203</v>
      </c>
      <c r="L16" s="104">
        <f t="shared" si="4"/>
        <v>0.31774643280022696</v>
      </c>
      <c r="M16" s="104">
        <f t="shared" si="5"/>
        <v>0.21375725013818545</v>
      </c>
      <c r="N16" s="104">
        <f t="shared" si="6"/>
        <v>7.1385894407121134E-2</v>
      </c>
      <c r="O16" s="104">
        <f t="shared" si="7"/>
        <v>6.4389267328870554</v>
      </c>
      <c r="P16" s="104">
        <f t="shared" si="8"/>
        <v>6.3731999999999998</v>
      </c>
    </row>
    <row r="17" spans="1:16" x14ac:dyDescent="0.25">
      <c r="A17">
        <v>2037</v>
      </c>
      <c r="B17" s="162">
        <f t="shared" ref="B17:B19" si="11">$B$15+($B$20-$B$15)/5*(A17-$A$15)</f>
        <v>103.2</v>
      </c>
      <c r="C17" s="129">
        <v>121</v>
      </c>
      <c r="D17" s="124">
        <v>5.3109999999999997E-2</v>
      </c>
      <c r="E17">
        <f>'[4]In $Dth Form'!$AO$11</f>
        <v>4.3313105860386027E-3</v>
      </c>
      <c r="F17">
        <f>'[4]In $Dth Form'!$AO$12</f>
        <v>3.1274255196872733E-3</v>
      </c>
      <c r="G17">
        <f>'[4]In $Dth Form'!$AO$13</f>
        <v>2.1039099423049751E-3</v>
      </c>
      <c r="H17">
        <f>'[4]In $Dth Form'!$AO$14</f>
        <v>7.0261707093623171E-4</v>
      </c>
      <c r="I17">
        <f t="shared" si="1"/>
        <v>6.3375263118967087E-2</v>
      </c>
      <c r="J17" s="104">
        <f t="shared" si="2"/>
        <v>5.4809520000000003</v>
      </c>
      <c r="K17" s="104">
        <f t="shared" si="3"/>
        <v>0.44699125247918381</v>
      </c>
      <c r="L17" s="104">
        <f t="shared" si="4"/>
        <v>0.32275031363172663</v>
      </c>
      <c r="M17" s="104">
        <f t="shared" si="5"/>
        <v>0.21712350604587344</v>
      </c>
      <c r="N17" s="104">
        <f t="shared" si="6"/>
        <v>7.251008172061911E-2</v>
      </c>
      <c r="O17" s="104">
        <f t="shared" si="7"/>
        <v>6.5403271538774037</v>
      </c>
      <c r="P17" s="104">
        <f t="shared" si="8"/>
        <v>6.42631</v>
      </c>
    </row>
    <row r="18" spans="1:16" x14ac:dyDescent="0.25">
      <c r="A18">
        <v>2038</v>
      </c>
      <c r="B18" s="162">
        <f t="shared" si="11"/>
        <v>104.8</v>
      </c>
      <c r="C18" s="129">
        <v>122</v>
      </c>
      <c r="D18" s="124">
        <v>5.3109999999999997E-2</v>
      </c>
      <c r="E18">
        <f>'[4]In $Dth Form'!$AO$11</f>
        <v>4.3313105860386027E-3</v>
      </c>
      <c r="F18">
        <f>'[4]In $Dth Form'!$AO$12</f>
        <v>3.1274255196872733E-3</v>
      </c>
      <c r="G18">
        <f>'[4]In $Dth Form'!$AO$13</f>
        <v>2.1039099423049751E-3</v>
      </c>
      <c r="H18">
        <f>'[4]In $Dth Form'!$AO$14</f>
        <v>7.0261707093623171E-4</v>
      </c>
      <c r="I18">
        <f t="shared" si="1"/>
        <v>6.3375263118967087E-2</v>
      </c>
      <c r="J18" s="104">
        <f t="shared" si="2"/>
        <v>5.5659279999999995</v>
      </c>
      <c r="K18" s="104">
        <f t="shared" si="3"/>
        <v>0.45392134941684553</v>
      </c>
      <c r="L18" s="104">
        <f t="shared" si="4"/>
        <v>0.32775419446322623</v>
      </c>
      <c r="M18" s="104">
        <f t="shared" si="5"/>
        <v>0.22048976195356138</v>
      </c>
      <c r="N18" s="104">
        <f t="shared" si="6"/>
        <v>7.3634269034117086E-2</v>
      </c>
      <c r="O18" s="104">
        <f t="shared" si="7"/>
        <v>6.6417275748677502</v>
      </c>
      <c r="P18" s="104">
        <f t="shared" si="8"/>
        <v>6.4794199999999993</v>
      </c>
    </row>
    <row r="19" spans="1:16" x14ac:dyDescent="0.25">
      <c r="A19">
        <v>2039</v>
      </c>
      <c r="B19" s="162">
        <f t="shared" si="11"/>
        <v>106.4</v>
      </c>
      <c r="C19" s="129">
        <v>123</v>
      </c>
      <c r="D19" s="124">
        <v>5.3109999999999997E-2</v>
      </c>
      <c r="E19">
        <f>'[4]In $Dth Form'!$AO$11</f>
        <v>4.3313105860386027E-3</v>
      </c>
      <c r="F19">
        <f>'[4]In $Dth Form'!$AO$12</f>
        <v>3.1274255196872733E-3</v>
      </c>
      <c r="G19">
        <f>'[4]In $Dth Form'!$AO$13</f>
        <v>2.1039099423049751E-3</v>
      </c>
      <c r="H19">
        <f>'[4]In $Dth Form'!$AO$14</f>
        <v>7.0261707093623171E-4</v>
      </c>
      <c r="I19">
        <f t="shared" si="1"/>
        <v>6.3375263118967087E-2</v>
      </c>
      <c r="J19" s="104">
        <f t="shared" si="2"/>
        <v>5.6509039999999997</v>
      </c>
      <c r="K19" s="104">
        <f t="shared" si="3"/>
        <v>0.46085144635450737</v>
      </c>
      <c r="L19" s="104">
        <f t="shared" si="4"/>
        <v>0.3327580752947259</v>
      </c>
      <c r="M19" s="104">
        <f t="shared" si="5"/>
        <v>0.22385601786124937</v>
      </c>
      <c r="N19" s="104">
        <f t="shared" si="6"/>
        <v>7.4758456347615063E-2</v>
      </c>
      <c r="O19" s="104">
        <f t="shared" si="7"/>
        <v>6.7431279958580985</v>
      </c>
      <c r="P19" s="104">
        <f t="shared" si="8"/>
        <v>6.5325299999999995</v>
      </c>
    </row>
    <row r="20" spans="1:16" x14ac:dyDescent="0.25">
      <c r="A20">
        <v>2040</v>
      </c>
      <c r="B20" s="162">
        <v>108</v>
      </c>
      <c r="C20" s="129">
        <v>124</v>
      </c>
      <c r="D20" s="124">
        <v>5.3109999999999997E-2</v>
      </c>
      <c r="E20">
        <f>'[4]In $Dth Form'!$AO$11</f>
        <v>4.3313105860386027E-3</v>
      </c>
      <c r="F20">
        <f>'[4]In $Dth Form'!$AO$12</f>
        <v>3.1274255196872733E-3</v>
      </c>
      <c r="G20">
        <f>'[4]In $Dth Form'!$AO$13</f>
        <v>2.1039099423049751E-3</v>
      </c>
      <c r="H20">
        <f>'[4]In $Dth Form'!$AO$14</f>
        <v>7.0261707093623171E-4</v>
      </c>
      <c r="I20">
        <f t="shared" si="1"/>
        <v>6.3375263118967087E-2</v>
      </c>
      <c r="J20" s="104">
        <f t="shared" si="2"/>
        <v>5.7358799999999999</v>
      </c>
      <c r="K20" s="104">
        <f t="shared" si="3"/>
        <v>0.46778154329216909</v>
      </c>
      <c r="L20" s="104">
        <f t="shared" si="4"/>
        <v>0.3377619561262255</v>
      </c>
      <c r="M20" s="104">
        <f t="shared" si="5"/>
        <v>0.22722227376893731</v>
      </c>
      <c r="N20" s="104">
        <f t="shared" si="6"/>
        <v>7.5882643661113025E-2</v>
      </c>
      <c r="O20" s="104">
        <f t="shared" si="7"/>
        <v>6.844528416848445</v>
      </c>
      <c r="P20" s="104">
        <f t="shared" si="8"/>
        <v>6.5856399999999997</v>
      </c>
    </row>
    <row r="21" spans="1:16" x14ac:dyDescent="0.25">
      <c r="A21">
        <v>2041</v>
      </c>
      <c r="B21" s="162">
        <f>$B$20+($B$25-$B$20)/5*(A21-$A$20)</f>
        <v>109.2</v>
      </c>
      <c r="C21" s="129">
        <v>125</v>
      </c>
      <c r="D21" s="124">
        <v>5.3109999999999997E-2</v>
      </c>
      <c r="E21">
        <f>'[4]In $Dth Form'!$AO$11</f>
        <v>4.3313105860386027E-3</v>
      </c>
      <c r="F21">
        <f>'[4]In $Dth Form'!$AO$12</f>
        <v>3.1274255196872733E-3</v>
      </c>
      <c r="G21">
        <f>'[4]In $Dth Form'!$AO$13</f>
        <v>2.1039099423049751E-3</v>
      </c>
      <c r="H21">
        <f>'[4]In $Dth Form'!$AO$14</f>
        <v>7.0261707093623171E-4</v>
      </c>
      <c r="I21">
        <f t="shared" si="1"/>
        <v>6.3375263118967087E-2</v>
      </c>
      <c r="J21" s="104">
        <f t="shared" si="2"/>
        <v>5.7996119999999998</v>
      </c>
      <c r="K21" s="104">
        <f t="shared" si="3"/>
        <v>0.47297911599541542</v>
      </c>
      <c r="L21" s="104">
        <f t="shared" si="4"/>
        <v>0.34151486674985027</v>
      </c>
      <c r="M21" s="104">
        <f t="shared" si="5"/>
        <v>0.22974696569970329</v>
      </c>
      <c r="N21" s="104">
        <f t="shared" si="6"/>
        <v>7.67257841462365E-2</v>
      </c>
      <c r="O21" s="104">
        <f t="shared" si="7"/>
        <v>6.9205787325912063</v>
      </c>
      <c r="P21" s="104">
        <f t="shared" si="8"/>
        <v>6.6387499999999999</v>
      </c>
    </row>
    <row r="22" spans="1:16" x14ac:dyDescent="0.25">
      <c r="A22">
        <v>2042</v>
      </c>
      <c r="B22" s="162">
        <f t="shared" ref="B22:B24" si="12">$B$20+($B$25-$B$20)/5*(A22-$A$20)</f>
        <v>110.4</v>
      </c>
      <c r="C22" s="129">
        <v>126</v>
      </c>
      <c r="D22" s="124">
        <v>5.3109999999999997E-2</v>
      </c>
      <c r="E22">
        <f>'[4]In $Dth Form'!$AO$11</f>
        <v>4.3313105860386027E-3</v>
      </c>
      <c r="F22">
        <f>'[4]In $Dth Form'!$AO$12</f>
        <v>3.1274255196872733E-3</v>
      </c>
      <c r="G22">
        <f>'[4]In $Dth Form'!$AO$13</f>
        <v>2.1039099423049751E-3</v>
      </c>
      <c r="H22">
        <f>'[4]In $Dth Form'!$AO$14</f>
        <v>7.0261707093623171E-4</v>
      </c>
      <c r="I22">
        <f t="shared" si="1"/>
        <v>6.3375263118967087E-2</v>
      </c>
      <c r="J22" s="104">
        <f t="shared" si="2"/>
        <v>5.8633439999999997</v>
      </c>
      <c r="K22" s="104">
        <f t="shared" si="3"/>
        <v>0.47817668869866176</v>
      </c>
      <c r="L22" s="104">
        <f t="shared" si="4"/>
        <v>0.34526777737347497</v>
      </c>
      <c r="M22" s="104">
        <f t="shared" si="5"/>
        <v>0.23227165763046925</v>
      </c>
      <c r="N22" s="104">
        <f t="shared" si="6"/>
        <v>7.7568924631359989E-2</v>
      </c>
      <c r="O22" s="104">
        <f t="shared" si="7"/>
        <v>6.9966290483339666</v>
      </c>
      <c r="P22" s="104">
        <f t="shared" si="8"/>
        <v>6.6918599999999993</v>
      </c>
    </row>
    <row r="23" spans="1:16" x14ac:dyDescent="0.25">
      <c r="A23">
        <v>2043</v>
      </c>
      <c r="B23" s="162">
        <f t="shared" si="12"/>
        <v>111.6</v>
      </c>
      <c r="C23" s="129">
        <v>127</v>
      </c>
      <c r="D23" s="124">
        <v>5.3109999999999997E-2</v>
      </c>
      <c r="E23">
        <f>'[4]In $Dth Form'!$AO$11</f>
        <v>4.3313105860386027E-3</v>
      </c>
      <c r="F23">
        <f>'[4]In $Dth Form'!$AO$12</f>
        <v>3.1274255196872733E-3</v>
      </c>
      <c r="G23">
        <f>'[4]In $Dth Form'!$AO$13</f>
        <v>2.1039099423049751E-3</v>
      </c>
      <c r="H23">
        <f>'[4]In $Dth Form'!$AO$14</f>
        <v>7.0261707093623171E-4</v>
      </c>
      <c r="I23">
        <f t="shared" si="1"/>
        <v>6.3375263118967087E-2</v>
      </c>
      <c r="J23" s="104">
        <f t="shared" si="2"/>
        <v>5.9270759999999996</v>
      </c>
      <c r="K23" s="104">
        <f t="shared" si="3"/>
        <v>0.48337426140190803</v>
      </c>
      <c r="L23" s="104">
        <f t="shared" si="4"/>
        <v>0.34902068799709968</v>
      </c>
      <c r="M23" s="104">
        <f t="shared" si="5"/>
        <v>0.23479634956123521</v>
      </c>
      <c r="N23" s="104">
        <f t="shared" si="6"/>
        <v>7.8412065116483451E-2</v>
      </c>
      <c r="O23" s="104">
        <f t="shared" si="7"/>
        <v>7.0726793640767269</v>
      </c>
      <c r="P23" s="104">
        <f t="shared" si="8"/>
        <v>6.7449699999999995</v>
      </c>
    </row>
    <row r="24" spans="1:16" x14ac:dyDescent="0.25">
      <c r="A24">
        <v>2044</v>
      </c>
      <c r="B24" s="162">
        <f t="shared" si="12"/>
        <v>112.8</v>
      </c>
      <c r="C24" s="129">
        <v>128</v>
      </c>
      <c r="D24" s="124">
        <v>5.3109999999999997E-2</v>
      </c>
      <c r="E24">
        <f>'[4]In $Dth Form'!$AO$11</f>
        <v>4.3313105860386027E-3</v>
      </c>
      <c r="F24">
        <f>'[4]In $Dth Form'!$AO$12</f>
        <v>3.1274255196872733E-3</v>
      </c>
      <c r="G24">
        <f>'[4]In $Dth Form'!$AO$13</f>
        <v>2.1039099423049751E-3</v>
      </c>
      <c r="H24">
        <f>'[4]In $Dth Form'!$AO$14</f>
        <v>7.0261707093623171E-4</v>
      </c>
      <c r="I24">
        <f t="shared" si="1"/>
        <v>6.3375263118967087E-2</v>
      </c>
      <c r="J24" s="104">
        <f t="shared" si="2"/>
        <v>5.9908079999999995</v>
      </c>
      <c r="K24" s="104">
        <f t="shared" si="3"/>
        <v>0.48857183410515437</v>
      </c>
      <c r="L24" s="104">
        <f t="shared" si="4"/>
        <v>0.35277359862072444</v>
      </c>
      <c r="M24" s="104">
        <f t="shared" si="5"/>
        <v>0.23732104149200117</v>
      </c>
      <c r="N24" s="104">
        <f t="shared" si="6"/>
        <v>7.925520560160694E-2</v>
      </c>
      <c r="O24" s="104">
        <f t="shared" si="7"/>
        <v>7.1487296798194873</v>
      </c>
      <c r="P24" s="104">
        <f t="shared" si="8"/>
        <v>6.7980799999999997</v>
      </c>
    </row>
    <row r="25" spans="1:16" x14ac:dyDescent="0.25">
      <c r="A25">
        <v>2045</v>
      </c>
      <c r="B25" s="162">
        <v>114</v>
      </c>
      <c r="C25" s="129">
        <v>129</v>
      </c>
      <c r="D25" s="124">
        <v>5.3109999999999997E-2</v>
      </c>
      <c r="E25">
        <f>'[4]In $Dth Form'!$AO$11</f>
        <v>4.3313105860386027E-3</v>
      </c>
      <c r="F25">
        <f>'[4]In $Dth Form'!$AO$12</f>
        <v>3.1274255196872733E-3</v>
      </c>
      <c r="G25">
        <f>'[4]In $Dth Form'!$AO$13</f>
        <v>2.1039099423049751E-3</v>
      </c>
      <c r="H25">
        <f>'[4]In $Dth Form'!$AO$14</f>
        <v>7.0261707093623171E-4</v>
      </c>
      <c r="I25">
        <f t="shared" si="1"/>
        <v>6.3375263118967087E-2</v>
      </c>
      <c r="J25" s="104">
        <f t="shared" si="2"/>
        <v>6.0545399999999994</v>
      </c>
      <c r="K25" s="104">
        <f t="shared" si="3"/>
        <v>0.4937694068084007</v>
      </c>
      <c r="L25" s="104">
        <f t="shared" si="4"/>
        <v>0.35652650924434914</v>
      </c>
      <c r="M25" s="104">
        <f t="shared" si="5"/>
        <v>0.23984573342276716</v>
      </c>
      <c r="N25" s="104">
        <f t="shared" si="6"/>
        <v>8.0098346086730415E-2</v>
      </c>
      <c r="O25" s="104">
        <f t="shared" si="7"/>
        <v>7.2247799955622476</v>
      </c>
      <c r="P25" s="104">
        <f t="shared" si="8"/>
        <v>6.8511899999999999</v>
      </c>
    </row>
    <row r="26" spans="1:16" x14ac:dyDescent="0.25">
      <c r="A26">
        <v>2046</v>
      </c>
      <c r="B26" s="162">
        <f>$B$25+($B$30-$B$25)/5*(A26-$A$25)</f>
        <v>115.6</v>
      </c>
      <c r="C26" s="129">
        <v>130</v>
      </c>
      <c r="D26" s="124">
        <v>5.3109999999999997E-2</v>
      </c>
      <c r="E26">
        <f>'[4]In $Dth Form'!$AO$11</f>
        <v>4.3313105860386027E-3</v>
      </c>
      <c r="F26">
        <f>'[4]In $Dth Form'!$AO$12</f>
        <v>3.1274255196872733E-3</v>
      </c>
      <c r="G26">
        <f>'[4]In $Dth Form'!$AO$13</f>
        <v>2.1039099423049751E-3</v>
      </c>
      <c r="H26">
        <f>'[4]In $Dth Form'!$AO$14</f>
        <v>7.0261707093623171E-4</v>
      </c>
      <c r="I26">
        <f t="shared" si="1"/>
        <v>6.3375263118967087E-2</v>
      </c>
      <c r="J26" s="104">
        <f t="shared" si="2"/>
        <v>6.1395159999999995</v>
      </c>
      <c r="K26" s="104">
        <f t="shared" si="3"/>
        <v>0.50069950374606242</v>
      </c>
      <c r="L26" s="104">
        <f t="shared" si="4"/>
        <v>0.36153039007584881</v>
      </c>
      <c r="M26" s="104">
        <f t="shared" si="5"/>
        <v>0.2432119893304551</v>
      </c>
      <c r="N26" s="104">
        <f t="shared" si="6"/>
        <v>8.1222533400228378E-2</v>
      </c>
      <c r="O26" s="104">
        <f t="shared" si="7"/>
        <v>7.326180416552595</v>
      </c>
      <c r="P26" s="104">
        <f t="shared" si="8"/>
        <v>6.9043000000000001</v>
      </c>
    </row>
    <row r="27" spans="1:16" x14ac:dyDescent="0.25">
      <c r="A27">
        <v>2047</v>
      </c>
      <c r="B27" s="162">
        <f t="shared" ref="B27:B29" si="13">$B$25+($B$30-$B$25)/5*(A27-$A$25)</f>
        <v>117.2</v>
      </c>
      <c r="C27" s="129">
        <v>131</v>
      </c>
      <c r="D27" s="124">
        <v>5.3109999999999997E-2</v>
      </c>
      <c r="E27">
        <f>'[4]In $Dth Form'!$AO$11</f>
        <v>4.3313105860386027E-3</v>
      </c>
      <c r="F27">
        <f>'[4]In $Dth Form'!$AO$12</f>
        <v>3.1274255196872733E-3</v>
      </c>
      <c r="G27">
        <f>'[4]In $Dth Form'!$AO$13</f>
        <v>2.1039099423049751E-3</v>
      </c>
      <c r="H27">
        <f>'[4]In $Dth Form'!$AO$14</f>
        <v>7.0261707093623171E-4</v>
      </c>
      <c r="I27">
        <f t="shared" si="1"/>
        <v>6.3375263118967087E-2</v>
      </c>
      <c r="J27" s="104">
        <f t="shared" si="2"/>
        <v>6.2244919999999997</v>
      </c>
      <c r="K27" s="104">
        <f t="shared" si="3"/>
        <v>0.5076296006837242</v>
      </c>
      <c r="L27" s="104">
        <f t="shared" si="4"/>
        <v>0.36653427090734847</v>
      </c>
      <c r="M27" s="104">
        <f t="shared" si="5"/>
        <v>0.24657824523814309</v>
      </c>
      <c r="N27" s="104">
        <f t="shared" si="6"/>
        <v>8.2346720713726354E-2</v>
      </c>
      <c r="O27" s="104">
        <f t="shared" si="7"/>
        <v>7.4275808375429424</v>
      </c>
      <c r="P27" s="104">
        <f t="shared" si="8"/>
        <v>6.9574099999999994</v>
      </c>
    </row>
    <row r="28" spans="1:16" x14ac:dyDescent="0.25">
      <c r="A28">
        <v>2048</v>
      </c>
      <c r="B28" s="162">
        <f t="shared" si="13"/>
        <v>118.8</v>
      </c>
      <c r="C28" s="129">
        <v>132</v>
      </c>
      <c r="D28" s="124">
        <v>5.3109999999999997E-2</v>
      </c>
      <c r="E28">
        <f>'[4]In $Dth Form'!$AO$11</f>
        <v>4.3313105860386027E-3</v>
      </c>
      <c r="F28">
        <f>'[4]In $Dth Form'!$AO$12</f>
        <v>3.1274255196872733E-3</v>
      </c>
      <c r="G28">
        <f>'[4]In $Dth Form'!$AO$13</f>
        <v>2.1039099423049751E-3</v>
      </c>
      <c r="H28">
        <f>'[4]In $Dth Form'!$AO$14</f>
        <v>7.0261707093623171E-4</v>
      </c>
      <c r="I28">
        <f t="shared" si="1"/>
        <v>6.3375263118967087E-2</v>
      </c>
      <c r="J28" s="104">
        <f t="shared" si="2"/>
        <v>6.3094679999999999</v>
      </c>
      <c r="K28" s="104">
        <f t="shared" si="3"/>
        <v>0.51455969762138598</v>
      </c>
      <c r="L28" s="104">
        <f t="shared" si="4"/>
        <v>0.37153815173884808</v>
      </c>
      <c r="M28" s="104">
        <f t="shared" si="5"/>
        <v>0.24994450114583103</v>
      </c>
      <c r="N28" s="104">
        <f t="shared" si="6"/>
        <v>8.347090802722433E-2</v>
      </c>
      <c r="O28" s="104">
        <f t="shared" si="7"/>
        <v>7.5289812585332898</v>
      </c>
      <c r="P28" s="104">
        <f t="shared" si="8"/>
        <v>7.0105199999999996</v>
      </c>
    </row>
    <row r="29" spans="1:16" x14ac:dyDescent="0.25">
      <c r="A29">
        <v>2049</v>
      </c>
      <c r="B29" s="162">
        <f t="shared" si="13"/>
        <v>120.4</v>
      </c>
      <c r="C29" s="129">
        <v>133</v>
      </c>
      <c r="D29" s="124">
        <v>5.3109999999999997E-2</v>
      </c>
      <c r="E29">
        <f>'[4]In $Dth Form'!$AO$11</f>
        <v>4.3313105860386027E-3</v>
      </c>
      <c r="F29">
        <f>'[4]In $Dth Form'!$AO$12</f>
        <v>3.1274255196872733E-3</v>
      </c>
      <c r="G29">
        <f>'[4]In $Dth Form'!$AO$13</f>
        <v>2.1039099423049751E-3</v>
      </c>
      <c r="H29">
        <f>'[4]In $Dth Form'!$AO$14</f>
        <v>7.0261707093623171E-4</v>
      </c>
      <c r="I29">
        <f t="shared" si="1"/>
        <v>6.3375263118967087E-2</v>
      </c>
      <c r="J29" s="104">
        <f t="shared" si="2"/>
        <v>6.394444</v>
      </c>
      <c r="K29" s="104">
        <f t="shared" si="3"/>
        <v>0.52148979455904776</v>
      </c>
      <c r="L29" s="104">
        <f t="shared" si="4"/>
        <v>0.37654203257034774</v>
      </c>
      <c r="M29" s="104">
        <f t="shared" si="5"/>
        <v>0.25331075705351902</v>
      </c>
      <c r="N29" s="104">
        <f t="shared" si="6"/>
        <v>8.4595095340722307E-2</v>
      </c>
      <c r="O29" s="104">
        <f t="shared" si="7"/>
        <v>7.6303816795236381</v>
      </c>
      <c r="P29" s="104">
        <f t="shared" si="8"/>
        <v>7.0636299999999999</v>
      </c>
    </row>
    <row r="30" spans="1:16" x14ac:dyDescent="0.25">
      <c r="A30">
        <v>2050</v>
      </c>
      <c r="B30" s="162">
        <v>122</v>
      </c>
      <c r="C30" s="129">
        <v>134</v>
      </c>
      <c r="D30" s="124">
        <v>5.3109999999999997E-2</v>
      </c>
      <c r="E30" s="124">
        <f>'[4]In $Dth Form'!$AO$11</f>
        <v>4.3313105860386027E-3</v>
      </c>
      <c r="F30" s="124">
        <f>'[4]In $Dth Form'!$AO$12</f>
        <v>3.1274255196872733E-3</v>
      </c>
      <c r="G30" s="124">
        <f>'[4]In $Dth Form'!$AO$13</f>
        <v>2.1039099423049751E-3</v>
      </c>
      <c r="H30" s="124">
        <f>'[4]In $Dth Form'!$AO$14</f>
        <v>7.0261707093623171E-4</v>
      </c>
      <c r="I30" s="124">
        <f t="shared" ref="I30" si="14">SUM(D30:H30)</f>
        <v>6.3375263118967087E-2</v>
      </c>
      <c r="J30" s="104">
        <f>$B30*D30</f>
        <v>6.4794199999999993</v>
      </c>
      <c r="K30" s="104">
        <f t="shared" si="4"/>
        <v>0.52841989149670954</v>
      </c>
      <c r="L30" s="104">
        <f t="shared" si="5"/>
        <v>0.38154591340184735</v>
      </c>
      <c r="M30" s="104">
        <f t="shared" si="6"/>
        <v>0.25667701296120699</v>
      </c>
      <c r="N30" s="104">
        <f t="shared" si="7"/>
        <v>8.5719282654220269E-2</v>
      </c>
      <c r="O30" s="104">
        <f t="shared" si="7"/>
        <v>7.7317821005139846</v>
      </c>
      <c r="P30" s="104">
        <f t="shared" si="8"/>
        <v>7.1167400000000001</v>
      </c>
    </row>
    <row r="31" spans="1:16" x14ac:dyDescent="0.25">
      <c r="C31">
        <v>5.3085E-2</v>
      </c>
    </row>
    <row r="47" spans="18:25" ht="18.75" x14ac:dyDescent="0.25">
      <c r="R47" s="124"/>
      <c r="S47" s="124"/>
      <c r="T47" s="124"/>
      <c r="U47" s="156" t="s">
        <v>151</v>
      </c>
      <c r="V47" s="124"/>
      <c r="W47" s="124"/>
      <c r="X47" s="124"/>
      <c r="Y47" s="124"/>
    </row>
    <row r="48" spans="18:25" x14ac:dyDescent="0.25">
      <c r="R48" s="124"/>
      <c r="S48" s="124"/>
      <c r="T48" s="124"/>
      <c r="U48" s="124"/>
      <c r="V48" s="124"/>
      <c r="W48" s="124"/>
      <c r="X48" s="124"/>
      <c r="Y48" s="124"/>
    </row>
    <row r="49" spans="18:25" ht="15.75" x14ac:dyDescent="0.25">
      <c r="R49" s="124"/>
      <c r="S49" s="154" t="s">
        <v>152</v>
      </c>
      <c r="T49" s="124"/>
      <c r="U49" s="124"/>
      <c r="V49" s="124"/>
      <c r="W49" s="124"/>
      <c r="X49" s="124"/>
      <c r="Y49" s="124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6837F87FE21B34D9D63DA5118681A0B" ma:contentTypeVersion="44" ma:contentTypeDescription="" ma:contentTypeScope="" ma:versionID="5f7914d73e7dd15ae8f4b8ff970bdf3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Closed</CaseStatus>
    <OpenedDate xmlns="dc463f71-b30c-4ab2-9473-d307f9d35888">2021-02-11T08:00:00+00:00</OpenedDate>
    <SignificantOrder xmlns="dc463f71-b30c-4ab2-9473-d307f9d35888">false</SignificantOrder>
    <Date1 xmlns="dc463f71-b30c-4ab2-9473-d307f9d35888">2022-11-08T08:00:00+00:00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210094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6C886D0-5D84-46C6-A2B6-77871525D5E2}"/>
</file>

<file path=customXml/itemProps2.xml><?xml version="1.0" encoding="utf-8"?>
<ds:datastoreItem xmlns:ds="http://schemas.openxmlformats.org/officeDocument/2006/customXml" ds:itemID="{79F8810E-53FC-4507-B152-45F7464B1F7B}"/>
</file>

<file path=customXml/itemProps3.xml><?xml version="1.0" encoding="utf-8"?>
<ds:datastoreItem xmlns:ds="http://schemas.openxmlformats.org/officeDocument/2006/customXml" ds:itemID="{BE162D0A-5B43-4758-BFB5-3E227EFA5471}"/>
</file>

<file path=customXml/itemProps4.xml><?xml version="1.0" encoding="utf-8"?>
<ds:datastoreItem xmlns:ds="http://schemas.openxmlformats.org/officeDocument/2006/customXml" ds:itemID="{C1F36C55-3B85-43EB-9929-B693BD49EC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Avoided Costs Summary</vt:lpstr>
      <vt:lpstr>Residential Breakdowns</vt:lpstr>
      <vt:lpstr>Commodity Costs Avoided Detail</vt:lpstr>
      <vt:lpstr>Greenhouse Gas Costs Avoided De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Bracken, Ryan</dc:creator>
  <cp:lastModifiedBy>Martin, Melissa</cp:lastModifiedBy>
  <dcterms:created xsi:type="dcterms:W3CDTF">2019-11-15T20:54:27Z</dcterms:created>
  <dcterms:modified xsi:type="dcterms:W3CDTF">2022-11-04T17:43:22Z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0x0101006E56B4D1795A2E4DB2F0B01679ED314A0086837F87FE21B34D9D63DA5118681A0B</vt:lpwstr>
  </property>
  <property fmtid="{D5CDD505-2E9C-101B-9397-08002B2CF9AE}" pid="3" name="_dlc_DocIdItemGuid">
    <vt:lpwstr>478d3fa4-2fdf-4291-9ccb-c72e468a2ad2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