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externalLinks/externalLink11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externalLinks/externalLink1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4 Rebuttal\240004-05-PSE-WP-REVREQ-COS-24GRC-Rebuttal-09-2024 (C)\"/>
    </mc:Choice>
  </mc:AlternateContent>
  <bookViews>
    <workbookView xWindow="0" yWindow="0" windowWidth="19200" windowHeight="6765"/>
  </bookViews>
  <sheets>
    <sheet name="SEF-48 pg.1" sheetId="1" r:id="rId1"/>
    <sheet name="SEF-48 pg.2" sheetId="3" r:id="rId2"/>
    <sheet name="SEF-48 pg.3" sheetId="4" r:id="rId3"/>
    <sheet name="SEF-48 pg.4" sheetId="5" r:id="rId4"/>
    <sheet name="SEF-48 pg.5" sheetId="6" r:id="rId5"/>
    <sheet name="SEF-48 pg.6" sheetId="7" r:id="rId6"/>
    <sheet name="SEF-48 pg.7" sheetId="8" r:id="rId7"/>
    <sheet name="SEF-48 pg.8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IntlFixup" hidden="1">TRUE</definedName>
    <definedName name="__Jun09">" BS!$AI$7:$AI$1643"</definedName>
    <definedName name="__www1" hidden="1">{#N/A,#N/A,FALSE,"schA"}</definedName>
    <definedName name="_1__123Graph_ABUDG6_D_ESCRPR" hidden="1">[1]Quant!$D$71:$O$71</definedName>
    <definedName name="_2__123Graph_ABUDG6_Dtons_inv" hidden="1">[5]Quant!#REF!</definedName>
    <definedName name="_3__123Graph_ABUDG6_Dtons_inv" hidden="1">[6]Quant!#REF!</definedName>
    <definedName name="_3__123Graph_BBUDG6_D_ESCRPR" hidden="1">[1]Quant!$D$72:$O$72</definedName>
    <definedName name="_4__123Graph_ABUDG6_Dtons_inv" hidden="1">'[7]Area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'[8]2012 Area AB BudgetSummary'!#REF!</definedName>
    <definedName name="_6__123Graph_DBUDG6_D_ESCRPR" hidden="1">[1]Quant!$D$88:$O$88</definedName>
    <definedName name="_7__123Graph_CBUDG6_D_ESCRPR" hidden="1">'[7]Area D 2011'!#REF!</definedName>
    <definedName name="_7__123Graph_DBUDG6_D_ESCRPR" hidden="1">'[8]2012 Area AB BudgetSummary'!#REF!</definedName>
    <definedName name="_7__123Graph_XBUDG6_D_ESCRPR" hidden="1">[1]Quant!$D$5:$O$5</definedName>
    <definedName name="_8__123Graph_DBUDG6_D_ESCRPR" hidden="1">'[7]Area D 2011'!#REF!</definedName>
    <definedName name="_8__123Graph_XBUDG6_Dtons_inv" hidden="1">[1]Quant!$D$5:$O$5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_Button1" hidden="1">"Headcount_Workbook_Schedules_List"</definedName>
    <definedName name="AccessCode" hidden="1">""""</definedName>
    <definedName name="AccessDatabase" hidden="1">"I:\COMTREL\FINICLE\TradeSummary.mdb"</definedName>
    <definedName name="ACwvu.allocations." hidden="1">#REF!</definedName>
    <definedName name="ACwvu.annual._.hotel." hidden="1">[9]development!$C$5</definedName>
    <definedName name="ACwvu.bottom._.line." hidden="1">[9]development!#REF!</definedName>
    <definedName name="ACwvu.cash._.flow." hidden="1">#REF!</definedName>
    <definedName name="ACwvu.combo." hidden="1">[9]development!$B$89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urora_Prices">"Monthly Price Summary'!$C$4:$H$63"</definedName>
    <definedName name="b" hidden="1">{#N/A,#N/A,FALSE,"Coversheet";#N/A,#N/A,FALSE,"QA"}</definedName>
    <definedName name="bi" hidden="1">{#N/A,#N/A,FALSE,"BidCo Assumptions";#N/A,#N/A,FALSE,"Credit Stats";#N/A,#N/A,FALSE,"Bidco Summary";#N/A,#N/A,FALSE,"BIDCO Consolidated"}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NE_MESSAGES_HIDDEN" hidden="1">#REF!</definedName>
    <definedName name="Button_1">"TradeSummary_Ken_Finicle_List"</definedName>
    <definedName name="CASE">'[10]Named Ranges'!$C$4</definedName>
    <definedName name="CASE_E">'[11]Named Ranges E'!$C$4</definedName>
    <definedName name="CASE_GAS">'[12]Named Ranges G'!$C$4</definedName>
    <definedName name="CBWorkbookPriority" hidden="1">-2060790043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>"533dd5ee-2992-4878-a6fe-10c93711618f"</definedName>
    <definedName name="combined1" hidden="1">{"YTD-Total",#N/A,TRUE,"Provision";"YTD-Utility",#N/A,TRUE,"Prov Utility";"YTD-NonUtility",#N/A,TRUE,"Prov NonUtility"}</definedName>
    <definedName name="Comp">'[10]Named Ranges'!$C$8</definedName>
    <definedName name="Comp_E">'[11]Named Ranges E'!$C$8</definedName>
    <definedName name="Comp_GAS">'[12]Named Ranges G'!$C$8</definedName>
    <definedName name="Company">[13]Title!$A$2</definedName>
    <definedName name="Cwvu.annual." hidden="1">#REF!,#REF!,#REF!,#REF!,#REF!,#REF!,#REF!,#REF!,#REF!,#REF!,#REF!,#REF!,#REF!,#REF!,#REF!,#REF!,#REF!,#REF!,#REF!,#REF!,#REF!,#REF!,#REF!,#REF!</definedName>
    <definedName name="Cwvu.annual._.hotel." hidden="1">[9]development!$A$16:$IV$16,[9]development!$A$21:$IV$21,[9]development!#REF!,[9]development!#REF!,[9]development!$A$36:$IV$36,[9]development!$A$46:$IV$46,[9]development!#REF!,[9]development!#REF!,[9]development!#REF!,[9]development!#REF!,[9]development!#REF!,[9]development!#REF!,[9]development!#REF!,[9]development!#REF!,[9]development!#REF!,[9]development!$A$89:$IV$89,[9]development!#REF!,[9]development!#REF!,[9]development!#REF!</definedName>
    <definedName name="Cwvu.bottom._.line." hidden="1">[9]development!$A$16:$IV$16,[9]development!$A$21:$IV$21,[9]development!#REF!,[9]development!#REF!,[9]development!$A$36:$IV$36,[9]development!$A$46:$IV$46,[9]development!#REF!,[9]development!#REF!,[9]development!#REF!,[9]development!#REF!,[9]development!#REF!,[9]development!#REF!,[9]development!#REF!,[9]development!#REF!,[9]development!#REF!,[9]development!$A$89:$IV$89,[9]development!#REF!,[9]development!#REF!,[9]development!#REF!,[9]development!#REF!,[9]development!#REF!,[9]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[9]development!$A$16:$IV$16,[9]development!$A$21:$IV$21,[9]development!#REF!,[9]development!#REF!,[9]development!$A$36:$IV$36,[9]development!$A$46:$IV$46,[9]development!#REF!,[9]development!#REF!,[9]development!#REF!,[9]development!#REF!,[9]development!#REF!,[9]development!#REF!,[9]development!#REF!,[9]development!#REF!,[9]development!#REF!,[9]development!$A$85:$IV$85,[9]development!$A$89:$IV$89,[9]development!$A$91:$IV$91,[9]development!#REF!,[9]development!#REF!,[9]development!#REF!,[9]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'[10]Named Ranges'!$C$6</definedName>
    <definedName name="DOCKETNUMBER_E">'[11]Named Ranges E'!$C$6</definedName>
    <definedName name="DOCKETNUMBER_GAS">'[12]Named Ranges G'!$C$6</definedName>
    <definedName name="DUDE" hidden="1">#REF!</definedName>
    <definedName name="ee" hidden="1">{#N/A,#N/A,FALSE,"Month ";#N/A,#N/A,FALSE,"YTD";#N/A,#N/A,FALSE,"12 mo ended"}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timate" hidden="1">{#N/A,#N/A,FALSE,"Summ";#N/A,#N/A,FALSE,"General"}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f" hidden="1">{"ALL",#N/A,FALSE,"A"}</definedName>
    <definedName name="FIT">'[10]Named Ranges'!$C$3</definedName>
    <definedName name="FIT_E">'[11]Named Ranges E'!$C$3</definedName>
    <definedName name="FIT_GAS">'[12]Named Ranges G'!$C$3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ary" hidden="1">{#N/A,#N/A,FALSE,"Cover Sheet";"Use of Equipment",#N/A,FALSE,"Area C";"Equipment Hours",#N/A,FALSE,"All";"Summary",#N/A,FALSE,"All"}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ctaxrate">0.4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 hidden="1">1000</definedName>
    <definedName name="IQ_LATESTQ" hidden="1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>800000</definedName>
    <definedName name="IQ_NAMES_REVISION_DATE_">41626.981087963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 hidden="1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3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[14]Inputs!#REF!</definedName>
    <definedName name="qqq" hidden="1">{#N/A,#N/A,FALSE,"schA"}</definedName>
    <definedName name="RateCase">'[15]Named Ranges E'!$B$7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[9]development!#REF!</definedName>
    <definedName name="Rwvu.bottom._.line." hidden="1">[9]development!#REF!</definedName>
    <definedName name="Rwvu.cash._.flow." hidden="1">#REF!</definedName>
    <definedName name="Rwvu.combo." hidden="1">[9]development!#REF!</definedName>
    <definedName name="Rwvu.offsite." hidden="1">#REF!</definedName>
    <definedName name="Rwvu.onsite." hidden="1">#REF!</definedName>
    <definedName name="SAPBEXdnldView">"46HLPWIQ6J3TDMPT5WG7XVEBI"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pippw" hidden="1">{#N/A,#N/A,FALSE,"Actual";#N/A,#N/A,FALSE,"Normalized";#N/A,#N/A,FALSE,"Electric Actual";#N/A,#N/A,FALSE,"Electric Normalized"}</definedName>
    <definedName name="SpreadsheetBuilder_2" hidden="1">[16]Sheet2!#REF!</definedName>
    <definedName name="SpreadsheetBuilder_3" hidden="1">[17]Sheet2!#REF!</definedName>
    <definedName name="standard1" hidden="1">{"YTD-Total",#N/A,FALSE,"Provision"}</definedName>
    <definedName name="sue" hidden="1">{#N/A,#N/A,FALSE,"Cover Sheet";"Use of Equipment",#N/A,FALSE,"Area C";"Equipment Hours",#N/A,FALSE,"All";"Summary",#N/A,FALSE,"All"}</definedName>
    <definedName name="Summary">#REF!</definedName>
    <definedName name="susan" hidden="1">{#N/A,#N/A,FALSE,"Cover Sheet";"Use of Equipment",#N/A,FALSE,"Area C";"Equipment Hours",#N/A,FALSE,"All";"Summary",#N/A,FALSE,"All"}</definedName>
    <definedName name="Swvu.allocations." hidden="1">#REF!</definedName>
    <definedName name="Swvu.annual._.hotel." hidden="1">[9]development!$C$5</definedName>
    <definedName name="Swvu.bottom._.line." hidden="1">[9]development!#REF!</definedName>
    <definedName name="Swvu.cash._.flow." hidden="1">#REF!</definedName>
    <definedName name="Swvu.combo." hidden="1">[9]development!$B$89</definedName>
    <definedName name="Swvu.full." hidden="1">#REF!</definedName>
    <definedName name="Swvu.offsite." hidden="1">#REF!</definedName>
    <definedName name="Swvu.onsite." hidden="1">#REF!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">2000</definedName>
    <definedName name="TESTYEAR">'[10]Named Ranges'!$C$5</definedName>
    <definedName name="TESTYEAR_E">'[11]Named Ranges E'!$C$5</definedName>
    <definedName name="TESTYEAR_GAS">'[12]Named Ranges G'!$C$5</definedName>
    <definedName name="Title1">[13]Title!$A$3</definedName>
    <definedName name="Title2">[13]Title!$A$4</definedName>
    <definedName name="Title3">[13]Title!$A$5</definedName>
    <definedName name="Title8">[13]Title!$A$10</definedName>
    <definedName name="TP_Footer_User" hidden="1">"Dylan Moser"</definedName>
    <definedName name="TP_Footer_Version" hidden="1">"v4.00"</definedName>
    <definedName name="trth" hidden="1">{"ALL",#N/A,FALSE,"A"}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cdv" hidden="1">#REF!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" hidden="1">{"Output-3Column",#N/A,FALSE,"Output"}</definedName>
    <definedName name="wrn" hidden="1">{"Inflation-BaseYear",#N/A,FALSE,"Inputs"}</definedName>
    <definedName name="wrn.1._.Bi._.Monthly._.CR." hidden="1">{#N/A,#N/A,FALSE,"Drill Sites";"WP 212",#N/A,FALSE,"MWAG EOR";"WP 213",#N/A,FALSE,"MWAG EOR";#N/A,#N/A,FALSE,"Misc. Facility";#N/A,#N/A,FALSE,"WWTP"}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ost._.Adjustment." hidden="1">{#N/A,#N/A,FALSE,"Cost Adjustment 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CF._.Valuation." hidden="1">{"value box",#N/A,TRUE,"DPL Inc. Fin Statements";"unlevered free cash flows",#N/A,TRUE,"DPL Inc. Fin Statements"}</definedName>
    <definedName name="wrn.Depreciation." hidden="1">{#N/A,#N/A,TRUE,"Depreciation Summary";#N/A,#N/A,TRUE,"18, 21 &amp; 22 Depreciation";#N/A,#N/A,TRUE,"11 &amp; 12 Depreciation"}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ECR." hidden="1">{#N/A,#N/A,FALSE,"schA"}</definedName>
    <definedName name="wrn.ESTIMATE." hidden="1">{#N/A,#N/A,FALSE,"CESTSUM";#N/A,#N/A,FALSE,"est sum A";#N/A,#N/A,FALSE,"est detail A"}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EO." hidden="1">{#N/A,#N/A,FALSE,"SUMMARY";#N/A,#N/A,FALSE,"AE7616";#N/A,#N/A,FALSE,"AE7617";#N/A,#N/A,FALSE,"AE7618";#N/A,#N/A,FALSE,"AE7619"}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centive._.Overhead." hidden="1">{#N/A,#N/A,FALSE,"Coversheet";#N/A,#N/A,FALSE,"QA"}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{#N/A,#N/A,FALSE,"Summ";#N/A,#N/A,FALSE,"General"}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www" hidden="1">{#N/A,#N/A,FALSE,"schA"}</definedName>
    <definedName name="x" hidden="1">{#N/A,#N/A,FALSE,"Coversheet";#N/A,#N/A,FALSE,"QA"}</definedName>
    <definedName name="xxx" hidden="1">#REF!</definedName>
    <definedName name="y" hidden="1">#REF!</definedName>
    <definedName name="z" hidden="1">{#N/A,#N/A,FALSE,"Coversheet";#N/A,#N/A,FALSE,"QA"}</definedName>
    <definedName name="Z_01844156_6462_4A28_9785_1A86F4D0C834_.wvu.PrintTitles" hidden="1">#REF!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F20" i="1"/>
  <c r="E21" i="1"/>
  <c r="D20" i="1"/>
  <c r="D21" i="1"/>
  <c r="I10" i="9" l="1"/>
  <c r="J10" i="9" s="1"/>
  <c r="C12" i="9"/>
  <c r="F12" i="9"/>
  <c r="F13" i="9" s="1"/>
  <c r="F14" i="9" s="1"/>
  <c r="F15" i="9" s="1"/>
  <c r="C13" i="9"/>
  <c r="C14" i="9"/>
  <c r="C15" i="9" s="1"/>
  <c r="C16" i="9" s="1"/>
  <c r="E16" i="9" s="1"/>
  <c r="I15" i="9"/>
  <c r="Q26" i="9"/>
  <c r="D28" i="9"/>
  <c r="AC42" i="9"/>
  <c r="H11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E36" i="8"/>
  <c r="J36" i="8"/>
  <c r="E37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H11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E36" i="7"/>
  <c r="J36" i="7"/>
  <c r="E37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H11" i="6"/>
  <c r="I23" i="6"/>
  <c r="K23" i="6" s="1"/>
  <c r="M23" i="6" s="1"/>
  <c r="J23" i="6"/>
  <c r="L23" i="6"/>
  <c r="I24" i="6"/>
  <c r="K24" i="6" s="1"/>
  <c r="M24" i="6" s="1"/>
  <c r="J24" i="6"/>
  <c r="L24" i="6"/>
  <c r="I25" i="6"/>
  <c r="K25" i="6" s="1"/>
  <c r="M25" i="6" s="1"/>
  <c r="J25" i="6"/>
  <c r="L25" i="6"/>
  <c r="I26" i="6"/>
  <c r="K26" i="6" s="1"/>
  <c r="M26" i="6" s="1"/>
  <c r="J26" i="6"/>
  <c r="L26" i="6"/>
  <c r="J27" i="6"/>
  <c r="J28" i="6"/>
  <c r="J29" i="6"/>
  <c r="J30" i="6"/>
  <c r="J31" i="6"/>
  <c r="J32" i="6"/>
  <c r="J33" i="6"/>
  <c r="J34" i="6"/>
  <c r="J35" i="6"/>
  <c r="E36" i="6"/>
  <c r="J36" i="6" s="1"/>
  <c r="E37" i="6"/>
  <c r="E38" i="6" s="1"/>
  <c r="F111" i="6"/>
  <c r="F112" i="6"/>
  <c r="F113" i="6"/>
  <c r="F114" i="6"/>
  <c r="F115" i="6"/>
  <c r="F116" i="6"/>
  <c r="F117" i="6"/>
  <c r="F118" i="6"/>
  <c r="F119" i="6"/>
  <c r="F120" i="6"/>
  <c r="F121" i="6"/>
  <c r="F122" i="6"/>
  <c r="H11" i="5"/>
  <c r="I23" i="5"/>
  <c r="J23" i="5"/>
  <c r="L23" i="5"/>
  <c r="I24" i="5"/>
  <c r="K24" i="5" s="1"/>
  <c r="M24" i="5" s="1"/>
  <c r="J24" i="5"/>
  <c r="L24" i="5"/>
  <c r="I25" i="5"/>
  <c r="J25" i="5"/>
  <c r="L25" i="5"/>
  <c r="I26" i="5"/>
  <c r="J26" i="5"/>
  <c r="L26" i="5"/>
  <c r="F41" i="5"/>
  <c r="J27" i="5"/>
  <c r="J28" i="5"/>
  <c r="J29" i="5"/>
  <c r="J30" i="5"/>
  <c r="J31" i="5"/>
  <c r="J32" i="5"/>
  <c r="J33" i="5"/>
  <c r="J34" i="5"/>
  <c r="J35" i="5"/>
  <c r="E36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E10" i="4"/>
  <c r="G10" i="4" s="1"/>
  <c r="E11" i="4"/>
  <c r="E16" i="4" s="1"/>
  <c r="E12" i="4"/>
  <c r="G12" i="4" s="1"/>
  <c r="I12" i="4" s="1"/>
  <c r="K12" i="4" s="1"/>
  <c r="M12" i="4" s="1"/>
  <c r="O12" i="4" s="1"/>
  <c r="C16" i="4"/>
  <c r="D16" i="4"/>
  <c r="F16" i="4"/>
  <c r="H16" i="4"/>
  <c r="J16" i="4"/>
  <c r="L16" i="4"/>
  <c r="N16" i="4"/>
  <c r="E19" i="4"/>
  <c r="G19" i="4" s="1"/>
  <c r="D20" i="4"/>
  <c r="D29" i="4" s="1"/>
  <c r="D31" i="4" s="1"/>
  <c r="J21" i="4"/>
  <c r="L21" i="4"/>
  <c r="J22" i="4"/>
  <c r="L22" i="4"/>
  <c r="F24" i="4"/>
  <c r="C29" i="4"/>
  <c r="C31" i="4" s="1"/>
  <c r="E34" i="4"/>
  <c r="J35" i="4"/>
  <c r="L35" i="4"/>
  <c r="J36" i="4"/>
  <c r="L36" i="4"/>
  <c r="D39" i="4"/>
  <c r="D41" i="4" s="1"/>
  <c r="H39" i="4"/>
  <c r="H41" i="4"/>
  <c r="H43" i="4" s="1"/>
  <c r="A11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F13" i="3"/>
  <c r="H13" i="3"/>
  <c r="J13" i="3"/>
  <c r="F14" i="3"/>
  <c r="H14" i="3" s="1"/>
  <c r="F15" i="3"/>
  <c r="H15" i="3" s="1"/>
  <c r="J15" i="3" s="1"/>
  <c r="L15" i="3" s="1"/>
  <c r="N15" i="3" s="1"/>
  <c r="D16" i="3"/>
  <c r="D31" i="3" s="1"/>
  <c r="E16" i="3"/>
  <c r="F16" i="3"/>
  <c r="F31" i="3" s="1"/>
  <c r="G16" i="3"/>
  <c r="I16" i="3"/>
  <c r="K16" i="3"/>
  <c r="M16" i="3"/>
  <c r="F19" i="3"/>
  <c r="H19" i="3"/>
  <c r="J19" i="3"/>
  <c r="E20" i="3"/>
  <c r="E29" i="3" s="1"/>
  <c r="I20" i="3"/>
  <c r="K20" i="3"/>
  <c r="E21" i="3"/>
  <c r="G21" i="3"/>
  <c r="K21" i="3"/>
  <c r="M21" i="3"/>
  <c r="E22" i="3"/>
  <c r="G22" i="3"/>
  <c r="I22" i="3"/>
  <c r="K22" i="3"/>
  <c r="E23" i="3"/>
  <c r="E24" i="3"/>
  <c r="G24" i="3"/>
  <c r="E25" i="3"/>
  <c r="D29" i="3"/>
  <c r="F29" i="3"/>
  <c r="F34" i="3"/>
  <c r="E35" i="3"/>
  <c r="E39" i="3" s="1"/>
  <c r="E41" i="3" s="1"/>
  <c r="H35" i="3"/>
  <c r="G35" i="3" s="1"/>
  <c r="K35" i="3"/>
  <c r="M35" i="3"/>
  <c r="E36" i="3"/>
  <c r="G36" i="3"/>
  <c r="H36" i="3"/>
  <c r="I36" i="3"/>
  <c r="K36" i="3"/>
  <c r="M36" i="3"/>
  <c r="E37" i="3"/>
  <c r="G37" i="3"/>
  <c r="I37" i="3"/>
  <c r="E38" i="3"/>
  <c r="G38" i="3"/>
  <c r="I38" i="3"/>
  <c r="I13" i="9" l="1"/>
  <c r="I12" i="9"/>
  <c r="F16" i="9"/>
  <c r="I14" i="9"/>
  <c r="I11" i="9"/>
  <c r="J11" i="9" s="1"/>
  <c r="F62" i="6"/>
  <c r="F36" i="6"/>
  <c r="G36" i="6" s="1"/>
  <c r="F60" i="6"/>
  <c r="F44" i="6"/>
  <c r="F35" i="6"/>
  <c r="G35" i="6" s="1"/>
  <c r="F59" i="6"/>
  <c r="F43" i="6"/>
  <c r="F51" i="6"/>
  <c r="F28" i="6"/>
  <c r="G28" i="6" s="1"/>
  <c r="L28" i="6" s="1"/>
  <c r="F54" i="6"/>
  <c r="F38" i="6"/>
  <c r="F32" i="6"/>
  <c r="G32" i="6" s="1"/>
  <c r="K26" i="5"/>
  <c r="M26" i="5" s="1"/>
  <c r="K23" i="5"/>
  <c r="M23" i="5" s="1"/>
  <c r="K25" i="5"/>
  <c r="M25" i="5" s="1"/>
  <c r="F45" i="5"/>
  <c r="F37" i="5"/>
  <c r="F33" i="5"/>
  <c r="G33" i="5" s="1"/>
  <c r="F29" i="5"/>
  <c r="G29" i="5" s="1"/>
  <c r="F59" i="5"/>
  <c r="F53" i="5"/>
  <c r="F51" i="5"/>
  <c r="F43" i="5"/>
  <c r="F36" i="5"/>
  <c r="G36" i="5" s="1"/>
  <c r="F28" i="5"/>
  <c r="G28" i="5" s="1"/>
  <c r="F60" i="5"/>
  <c r="F58" i="5"/>
  <c r="F50" i="5"/>
  <c r="F42" i="5"/>
  <c r="F32" i="5"/>
  <c r="G32" i="5" s="1"/>
  <c r="F62" i="5"/>
  <c r="F56" i="5"/>
  <c r="F48" i="5"/>
  <c r="F61" i="5"/>
  <c r="F40" i="5"/>
  <c r="F34" i="5"/>
  <c r="G34" i="5" s="1"/>
  <c r="F39" i="5"/>
  <c r="F55" i="5"/>
  <c r="F47" i="5"/>
  <c r="F30" i="5"/>
  <c r="G30" i="5" s="1"/>
  <c r="I16" i="9"/>
  <c r="L16" i="9"/>
  <c r="U26" i="9"/>
  <c r="V26" i="9" s="1"/>
  <c r="W26" i="9" s="1"/>
  <c r="C17" i="9"/>
  <c r="L11" i="9"/>
  <c r="L15" i="9"/>
  <c r="L14" i="9"/>
  <c r="L10" i="9"/>
  <c r="M10" i="9" s="1"/>
  <c r="L13" i="9"/>
  <c r="L12" i="9"/>
  <c r="P40" i="9"/>
  <c r="Q40" i="9" s="1"/>
  <c r="R40" i="9" s="1"/>
  <c r="E38" i="8"/>
  <c r="J37" i="8"/>
  <c r="E38" i="7"/>
  <c r="J37" i="7"/>
  <c r="F31" i="6"/>
  <c r="G31" i="6" s="1"/>
  <c r="F46" i="6"/>
  <c r="E39" i="6"/>
  <c r="J38" i="6"/>
  <c r="F27" i="6"/>
  <c r="G27" i="6" s="1"/>
  <c r="C27" i="6"/>
  <c r="F29" i="6"/>
  <c r="G29" i="6" s="1"/>
  <c r="F55" i="6"/>
  <c r="F47" i="6"/>
  <c r="F39" i="6"/>
  <c r="F52" i="6"/>
  <c r="J37" i="6"/>
  <c r="F52" i="5"/>
  <c r="F44" i="5"/>
  <c r="J36" i="5"/>
  <c r="E37" i="5"/>
  <c r="F34" i="4"/>
  <c r="F39" i="4" s="1"/>
  <c r="F41" i="4" s="1"/>
  <c r="G34" i="4"/>
  <c r="E39" i="4"/>
  <c r="E41" i="4" s="1"/>
  <c r="D43" i="4"/>
  <c r="D44" i="4" s="1"/>
  <c r="I19" i="4"/>
  <c r="I10" i="4"/>
  <c r="G16" i="4"/>
  <c r="G11" i="4"/>
  <c r="I11" i="4" s="1"/>
  <c r="K11" i="4" s="1"/>
  <c r="M11" i="4" s="1"/>
  <c r="O11" i="4" s="1"/>
  <c r="C39" i="4"/>
  <c r="C41" i="4" s="1"/>
  <c r="H44" i="4"/>
  <c r="E29" i="4"/>
  <c r="E31" i="4" s="1"/>
  <c r="H16" i="3"/>
  <c r="J14" i="3"/>
  <c r="L14" i="3" s="1"/>
  <c r="N14" i="3" s="1"/>
  <c r="G34" i="3"/>
  <c r="G39" i="3" s="1"/>
  <c r="G41" i="3" s="1"/>
  <c r="H34" i="3"/>
  <c r="F39" i="3"/>
  <c r="F41" i="3" s="1"/>
  <c r="E31" i="3"/>
  <c r="J16" i="3"/>
  <c r="E43" i="3"/>
  <c r="E44" i="3" s="1"/>
  <c r="L19" i="3"/>
  <c r="L13" i="3"/>
  <c r="G20" i="3"/>
  <c r="D39" i="3"/>
  <c r="D41" i="3" s="1"/>
  <c r="I35" i="3"/>
  <c r="I39" i="3" s="1"/>
  <c r="I41" i="3" s="1"/>
  <c r="M22" i="3"/>
  <c r="I21" i="3"/>
  <c r="M20" i="3"/>
  <c r="J12" i="9" l="1"/>
  <c r="J13" i="9" s="1"/>
  <c r="J14" i="9" s="1"/>
  <c r="J15" i="9" s="1"/>
  <c r="J16" i="9" s="1"/>
  <c r="M11" i="9"/>
  <c r="M12" i="9" s="1"/>
  <c r="M13" i="9" s="1"/>
  <c r="M14" i="9" s="1"/>
  <c r="M15" i="9" s="1"/>
  <c r="M16" i="9" s="1"/>
  <c r="U27" i="9"/>
  <c r="V27" i="9" s="1"/>
  <c r="W27" i="9" s="1"/>
  <c r="C18" i="9"/>
  <c r="E17" i="9"/>
  <c r="Z16" i="9"/>
  <c r="Y16" i="9"/>
  <c r="P41" i="9"/>
  <c r="E39" i="8"/>
  <c r="J38" i="8"/>
  <c r="E39" i="7"/>
  <c r="J38" i="7"/>
  <c r="F34" i="6"/>
  <c r="G34" i="6" s="1"/>
  <c r="L36" i="6" s="1"/>
  <c r="F49" i="6"/>
  <c r="F40" i="6"/>
  <c r="F50" i="6"/>
  <c r="J39" i="6"/>
  <c r="E40" i="6"/>
  <c r="F37" i="6"/>
  <c r="G37" i="6" s="1"/>
  <c r="F58" i="6"/>
  <c r="F57" i="6"/>
  <c r="F45" i="6"/>
  <c r="L29" i="6"/>
  <c r="F48" i="6"/>
  <c r="F33" i="6"/>
  <c r="G33" i="6" s="1"/>
  <c r="F53" i="6"/>
  <c r="F61" i="6"/>
  <c r="F56" i="6"/>
  <c r="C28" i="6"/>
  <c r="H27" i="6"/>
  <c r="I27" i="6"/>
  <c r="K27" i="6" s="1"/>
  <c r="M27" i="6" s="1"/>
  <c r="F42" i="6"/>
  <c r="F30" i="6"/>
  <c r="G30" i="6" s="1"/>
  <c r="F41" i="6"/>
  <c r="L27" i="6"/>
  <c r="C27" i="5"/>
  <c r="F27" i="5"/>
  <c r="G27" i="5" s="1"/>
  <c r="L29" i="5" s="1"/>
  <c r="L30" i="5"/>
  <c r="F35" i="5"/>
  <c r="G35" i="5" s="1"/>
  <c r="F31" i="5"/>
  <c r="G31" i="5" s="1"/>
  <c r="F49" i="5"/>
  <c r="F38" i="5"/>
  <c r="F57" i="5"/>
  <c r="F46" i="5"/>
  <c r="G37" i="5"/>
  <c r="L28" i="5"/>
  <c r="F54" i="5"/>
  <c r="J37" i="5"/>
  <c r="E38" i="5"/>
  <c r="C43" i="4"/>
  <c r="E43" i="4" s="1"/>
  <c r="I34" i="4"/>
  <c r="G39" i="4"/>
  <c r="G41" i="4" s="1"/>
  <c r="I16" i="4"/>
  <c r="K10" i="4"/>
  <c r="K19" i="4"/>
  <c r="F43" i="4"/>
  <c r="F44" i="4" s="1"/>
  <c r="L16" i="3"/>
  <c r="N13" i="3"/>
  <c r="N16" i="3" s="1"/>
  <c r="N19" i="3"/>
  <c r="H39" i="3"/>
  <c r="H41" i="3" s="1"/>
  <c r="J34" i="3"/>
  <c r="I43" i="3"/>
  <c r="I44" i="3"/>
  <c r="G43" i="3"/>
  <c r="G44" i="3"/>
  <c r="D44" i="3"/>
  <c r="D43" i="3"/>
  <c r="F43" i="3" s="1"/>
  <c r="U28" i="9" l="1"/>
  <c r="V28" i="9" s="1"/>
  <c r="Q41" i="9"/>
  <c r="R41" i="9" s="1"/>
  <c r="P42" i="9"/>
  <c r="B23" i="7"/>
  <c r="AA16" i="9"/>
  <c r="AB16" i="9" s="1"/>
  <c r="B23" i="8"/>
  <c r="I17" i="9"/>
  <c r="L17" i="9"/>
  <c r="F17" i="9"/>
  <c r="E28" i="9"/>
  <c r="W28" i="9"/>
  <c r="C19" i="9"/>
  <c r="E18" i="9"/>
  <c r="U29" i="9"/>
  <c r="E40" i="8"/>
  <c r="J39" i="8"/>
  <c r="J39" i="7"/>
  <c r="E40" i="7"/>
  <c r="H28" i="6"/>
  <c r="I28" i="6"/>
  <c r="K28" i="6" s="1"/>
  <c r="M28" i="6" s="1"/>
  <c r="C29" i="6"/>
  <c r="L30" i="6"/>
  <c r="L34" i="6"/>
  <c r="L33" i="6"/>
  <c r="L31" i="6"/>
  <c r="E41" i="6"/>
  <c r="J40" i="6"/>
  <c r="G38" i="6"/>
  <c r="L37" i="6"/>
  <c r="L35" i="6"/>
  <c r="L32" i="6"/>
  <c r="L31" i="5"/>
  <c r="L34" i="5"/>
  <c r="J38" i="5"/>
  <c r="E39" i="5"/>
  <c r="L27" i="5"/>
  <c r="L33" i="5"/>
  <c r="L32" i="5"/>
  <c r="L36" i="5"/>
  <c r="G38" i="5"/>
  <c r="L37" i="5"/>
  <c r="L35" i="5"/>
  <c r="H27" i="5"/>
  <c r="I27" i="5"/>
  <c r="K27" i="5" s="1"/>
  <c r="C28" i="5"/>
  <c r="G43" i="4"/>
  <c r="I43" i="4" s="1"/>
  <c r="G44" i="4"/>
  <c r="K34" i="4"/>
  <c r="I39" i="4"/>
  <c r="I41" i="4" s="1"/>
  <c r="I44" i="4" s="1"/>
  <c r="C44" i="4"/>
  <c r="E44" i="4"/>
  <c r="M19" i="4"/>
  <c r="K16" i="4"/>
  <c r="M10" i="4"/>
  <c r="J39" i="3"/>
  <c r="J41" i="3" s="1"/>
  <c r="L34" i="3"/>
  <c r="H43" i="3"/>
  <c r="J43" i="3" s="1"/>
  <c r="F44" i="3"/>
  <c r="V29" i="9" l="1"/>
  <c r="W29" i="9" s="1"/>
  <c r="U30" i="9"/>
  <c r="I18" i="9"/>
  <c r="L18" i="9"/>
  <c r="E19" i="9"/>
  <c r="C20" i="9"/>
  <c r="I28" i="9"/>
  <c r="L28" i="9"/>
  <c r="C23" i="8"/>
  <c r="I23" i="8" s="1"/>
  <c r="K23" i="8" s="1"/>
  <c r="F23" i="8"/>
  <c r="G23" i="8" s="1"/>
  <c r="Q42" i="9"/>
  <c r="R42" i="9" s="1"/>
  <c r="P43" i="9"/>
  <c r="Y17" i="9"/>
  <c r="J17" i="9"/>
  <c r="C23" i="7"/>
  <c r="I23" i="7" s="1"/>
  <c r="K23" i="7" s="1"/>
  <c r="F23" i="7"/>
  <c r="G23" i="7" s="1"/>
  <c r="F18" i="9"/>
  <c r="M17" i="9"/>
  <c r="Z17" i="9"/>
  <c r="J40" i="8"/>
  <c r="E41" i="8"/>
  <c r="J40" i="7"/>
  <c r="E41" i="7"/>
  <c r="G39" i="6"/>
  <c r="L38" i="6"/>
  <c r="E42" i="6"/>
  <c r="J41" i="6"/>
  <c r="I29" i="6"/>
  <c r="K29" i="6" s="1"/>
  <c r="M29" i="6" s="1"/>
  <c r="H29" i="6"/>
  <c r="C30" i="6"/>
  <c r="L38" i="5"/>
  <c r="G39" i="5"/>
  <c r="H28" i="5"/>
  <c r="I28" i="5"/>
  <c r="K28" i="5" s="1"/>
  <c r="M28" i="5" s="1"/>
  <c r="C29" i="5"/>
  <c r="M27" i="5"/>
  <c r="E40" i="5"/>
  <c r="J39" i="5"/>
  <c r="M16" i="4"/>
  <c r="O10" i="4"/>
  <c r="O16" i="4" s="1"/>
  <c r="M34" i="4"/>
  <c r="H44" i="3"/>
  <c r="N34" i="3"/>
  <c r="J44" i="3"/>
  <c r="Z28" i="9" l="1"/>
  <c r="B35" i="8" s="1"/>
  <c r="F35" i="8" s="1"/>
  <c r="B24" i="8"/>
  <c r="L23" i="7"/>
  <c r="M23" i="7" s="1"/>
  <c r="Y28" i="9"/>
  <c r="C21" i="9"/>
  <c r="E20" i="9"/>
  <c r="L19" i="9"/>
  <c r="I19" i="9"/>
  <c r="Z18" i="9"/>
  <c r="B25" i="8" s="1"/>
  <c r="F25" i="8" s="1"/>
  <c r="M18" i="9"/>
  <c r="J18" i="9"/>
  <c r="Y18" i="9"/>
  <c r="L23" i="8"/>
  <c r="M23" i="8" s="1"/>
  <c r="V30" i="9"/>
  <c r="W30" i="9" s="1"/>
  <c r="U31" i="9"/>
  <c r="AA17" i="9"/>
  <c r="AB17" i="9" s="1"/>
  <c r="B24" i="7"/>
  <c r="Q43" i="9"/>
  <c r="R43" i="9" s="1"/>
  <c r="P44" i="9"/>
  <c r="F19" i="9"/>
  <c r="J41" i="8"/>
  <c r="E42" i="8"/>
  <c r="E42" i="7"/>
  <c r="J41" i="7"/>
  <c r="J42" i="6"/>
  <c r="E43" i="6"/>
  <c r="H30" i="6"/>
  <c r="I30" i="6"/>
  <c r="K30" i="6" s="1"/>
  <c r="M30" i="6" s="1"/>
  <c r="C31" i="6"/>
  <c r="G40" i="6"/>
  <c r="L39" i="6"/>
  <c r="I29" i="5"/>
  <c r="K29" i="5" s="1"/>
  <c r="M29" i="5" s="1"/>
  <c r="H29" i="5"/>
  <c r="C30" i="5"/>
  <c r="J40" i="5"/>
  <c r="E41" i="5"/>
  <c r="G40" i="5"/>
  <c r="L39" i="5"/>
  <c r="F20" i="9" l="1"/>
  <c r="AA28" i="9"/>
  <c r="B35" i="7"/>
  <c r="F35" i="7" s="1"/>
  <c r="C24" i="7"/>
  <c r="F24" i="7"/>
  <c r="G24" i="7" s="1"/>
  <c r="V31" i="9"/>
  <c r="W31" i="9" s="1"/>
  <c r="U32" i="9"/>
  <c r="Y19" i="9"/>
  <c r="J19" i="9"/>
  <c r="B25" i="7"/>
  <c r="AA18" i="9"/>
  <c r="AB18" i="9" s="1"/>
  <c r="M19" i="9"/>
  <c r="Z19" i="9"/>
  <c r="B26" i="8" s="1"/>
  <c r="F24" i="8"/>
  <c r="G24" i="8" s="1"/>
  <c r="C24" i="8"/>
  <c r="Q44" i="9"/>
  <c r="R44" i="9" s="1"/>
  <c r="P45" i="9"/>
  <c r="L20" i="9"/>
  <c r="I20" i="9"/>
  <c r="E21" i="9"/>
  <c r="C22" i="9"/>
  <c r="J42" i="8"/>
  <c r="E43" i="8"/>
  <c r="E43" i="7"/>
  <c r="J42" i="7"/>
  <c r="E44" i="6"/>
  <c r="J43" i="6"/>
  <c r="G41" i="6"/>
  <c r="L40" i="6"/>
  <c r="C32" i="6"/>
  <c r="H31" i="6"/>
  <c r="I31" i="6"/>
  <c r="K31" i="6" s="1"/>
  <c r="M31" i="6" s="1"/>
  <c r="J41" i="5"/>
  <c r="E42" i="5"/>
  <c r="I30" i="5"/>
  <c r="K30" i="5" s="1"/>
  <c r="M30" i="5" s="1"/>
  <c r="H30" i="5"/>
  <c r="C31" i="5"/>
  <c r="G41" i="5"/>
  <c r="L40" i="5"/>
  <c r="G25" i="8" l="1"/>
  <c r="L24" i="8"/>
  <c r="C25" i="8"/>
  <c r="H24" i="8"/>
  <c r="I24" i="8"/>
  <c r="K24" i="8" s="1"/>
  <c r="AA19" i="9"/>
  <c r="AB19" i="9" s="1"/>
  <c r="B26" i="7"/>
  <c r="E22" i="9"/>
  <c r="C23" i="9"/>
  <c r="V32" i="9"/>
  <c r="W32" i="9" s="1"/>
  <c r="U33" i="9"/>
  <c r="F26" i="8"/>
  <c r="C26" i="8"/>
  <c r="I21" i="9"/>
  <c r="L21" i="9"/>
  <c r="J20" i="9"/>
  <c r="Y20" i="9"/>
  <c r="F21" i="9"/>
  <c r="L24" i="7"/>
  <c r="M20" i="9"/>
  <c r="Z20" i="9"/>
  <c r="B27" i="8" s="1"/>
  <c r="I24" i="7"/>
  <c r="K24" i="7" s="1"/>
  <c r="H24" i="7"/>
  <c r="Q45" i="9"/>
  <c r="R45" i="9" s="1"/>
  <c r="P46" i="9"/>
  <c r="F25" i="7"/>
  <c r="G25" i="7" s="1"/>
  <c r="C25" i="7"/>
  <c r="E44" i="8"/>
  <c r="J43" i="8"/>
  <c r="E44" i="7"/>
  <c r="J43" i="7"/>
  <c r="H32" i="6"/>
  <c r="I32" i="6"/>
  <c r="K32" i="6" s="1"/>
  <c r="M32" i="6" s="1"/>
  <c r="C33" i="6"/>
  <c r="G42" i="6"/>
  <c r="L41" i="6"/>
  <c r="E45" i="6"/>
  <c r="J44" i="6"/>
  <c r="G42" i="5"/>
  <c r="L41" i="5"/>
  <c r="I31" i="5"/>
  <c r="K31" i="5" s="1"/>
  <c r="M31" i="5" s="1"/>
  <c r="H31" i="5"/>
  <c r="C32" i="5"/>
  <c r="E43" i="5"/>
  <c r="J42" i="5"/>
  <c r="F22" i="9" l="1"/>
  <c r="M21" i="9"/>
  <c r="Z21" i="9"/>
  <c r="B28" i="8" s="1"/>
  <c r="F27" i="8"/>
  <c r="C27" i="8"/>
  <c r="I25" i="7"/>
  <c r="K25" i="7" s="1"/>
  <c r="H25" i="7"/>
  <c r="Y21" i="9"/>
  <c r="J21" i="9"/>
  <c r="V33" i="9"/>
  <c r="W33" i="9" s="1"/>
  <c r="U34" i="9"/>
  <c r="Q46" i="9"/>
  <c r="R46" i="9" s="1"/>
  <c r="P47" i="9"/>
  <c r="I25" i="8"/>
  <c r="K25" i="8" s="1"/>
  <c r="H25" i="8"/>
  <c r="F26" i="7"/>
  <c r="G26" i="7" s="1"/>
  <c r="C26" i="7"/>
  <c r="M24" i="7"/>
  <c r="AA20" i="9"/>
  <c r="AB20" i="9" s="1"/>
  <c r="B27" i="7"/>
  <c r="E23" i="9"/>
  <c r="C24" i="9"/>
  <c r="M24" i="8"/>
  <c r="I26" i="8"/>
  <c r="K26" i="8" s="1"/>
  <c r="L25" i="7"/>
  <c r="I22" i="9"/>
  <c r="L22" i="9"/>
  <c r="L25" i="8"/>
  <c r="G26" i="8"/>
  <c r="J44" i="8"/>
  <c r="E45" i="8"/>
  <c r="J44" i="7"/>
  <c r="E45" i="7"/>
  <c r="G43" i="6"/>
  <c r="L42" i="6"/>
  <c r="I33" i="6"/>
  <c r="K33" i="6" s="1"/>
  <c r="M33" i="6" s="1"/>
  <c r="H33" i="6"/>
  <c r="C34" i="6"/>
  <c r="E46" i="6"/>
  <c r="J45" i="6"/>
  <c r="E44" i="5"/>
  <c r="J43" i="5"/>
  <c r="I32" i="5"/>
  <c r="K32" i="5" s="1"/>
  <c r="M32" i="5" s="1"/>
  <c r="H32" i="5"/>
  <c r="C33" i="5"/>
  <c r="G43" i="5"/>
  <c r="L42" i="5"/>
  <c r="M25" i="8" l="1"/>
  <c r="L26" i="7"/>
  <c r="G27" i="8"/>
  <c r="L26" i="8"/>
  <c r="M26" i="8" s="1"/>
  <c r="M22" i="9"/>
  <c r="Z22" i="9"/>
  <c r="B29" i="8" s="1"/>
  <c r="I23" i="9"/>
  <c r="L23" i="9"/>
  <c r="AA21" i="9"/>
  <c r="AB21" i="9" s="1"/>
  <c r="B28" i="7"/>
  <c r="M25" i="7"/>
  <c r="F27" i="7"/>
  <c r="G27" i="7" s="1"/>
  <c r="C27" i="7"/>
  <c r="Q47" i="9"/>
  <c r="R47" i="9" s="1"/>
  <c r="P48" i="9"/>
  <c r="I27" i="8"/>
  <c r="K27" i="8" s="1"/>
  <c r="H26" i="8"/>
  <c r="V34" i="9"/>
  <c r="W34" i="9" s="1"/>
  <c r="U35" i="9"/>
  <c r="F28" i="8"/>
  <c r="C28" i="8"/>
  <c r="C25" i="9"/>
  <c r="E24" i="9"/>
  <c r="J22" i="9"/>
  <c r="Y22" i="9"/>
  <c r="F23" i="9"/>
  <c r="I26" i="7"/>
  <c r="K26" i="7" s="1"/>
  <c r="H26" i="7"/>
  <c r="E46" i="8"/>
  <c r="J45" i="8"/>
  <c r="E46" i="7"/>
  <c r="J45" i="7"/>
  <c r="E47" i="6"/>
  <c r="J46" i="6"/>
  <c r="H34" i="6"/>
  <c r="I34" i="6"/>
  <c r="K34" i="6" s="1"/>
  <c r="M34" i="6" s="1"/>
  <c r="C35" i="6"/>
  <c r="G44" i="6"/>
  <c r="L43" i="6"/>
  <c r="I33" i="5"/>
  <c r="K33" i="5" s="1"/>
  <c r="M33" i="5" s="1"/>
  <c r="H33" i="5"/>
  <c r="C34" i="5"/>
  <c r="J44" i="5"/>
  <c r="E45" i="5"/>
  <c r="G44" i="5"/>
  <c r="L43" i="5"/>
  <c r="F24" i="9" l="1"/>
  <c r="L27" i="7"/>
  <c r="Y23" i="9"/>
  <c r="J23" i="9"/>
  <c r="M23" i="9"/>
  <c r="Z23" i="9"/>
  <c r="B30" i="8" s="1"/>
  <c r="E25" i="9"/>
  <c r="C26" i="9"/>
  <c r="F29" i="8"/>
  <c r="C29" i="8"/>
  <c r="B29" i="7"/>
  <c r="AA22" i="9"/>
  <c r="AB22" i="9" s="1"/>
  <c r="L27" i="8"/>
  <c r="M27" i="8" s="1"/>
  <c r="G28" i="8"/>
  <c r="H28" i="8" s="1"/>
  <c r="H27" i="8"/>
  <c r="F28" i="7"/>
  <c r="G28" i="7" s="1"/>
  <c r="C28" i="7"/>
  <c r="Q48" i="9"/>
  <c r="R48" i="9" s="1"/>
  <c r="P49" i="9"/>
  <c r="I28" i="8"/>
  <c r="K28" i="8" s="1"/>
  <c r="I27" i="7"/>
  <c r="K27" i="7" s="1"/>
  <c r="H27" i="7"/>
  <c r="V35" i="9"/>
  <c r="W35" i="9" s="1"/>
  <c r="U36" i="9"/>
  <c r="I24" i="9"/>
  <c r="L24" i="9"/>
  <c r="M26" i="7"/>
  <c r="E47" i="8"/>
  <c r="J46" i="8"/>
  <c r="E47" i="7"/>
  <c r="J46" i="7"/>
  <c r="C36" i="6"/>
  <c r="H35" i="6"/>
  <c r="I35" i="6"/>
  <c r="K35" i="6" s="1"/>
  <c r="M35" i="6" s="1"/>
  <c r="G45" i="6"/>
  <c r="L44" i="6"/>
  <c r="J47" i="6"/>
  <c r="E48" i="6"/>
  <c r="J45" i="5"/>
  <c r="E46" i="5"/>
  <c r="I34" i="5"/>
  <c r="K34" i="5" s="1"/>
  <c r="M34" i="5" s="1"/>
  <c r="H34" i="5"/>
  <c r="C35" i="5"/>
  <c r="G45" i="5"/>
  <c r="L44" i="5"/>
  <c r="F25" i="9" l="1"/>
  <c r="L28" i="7"/>
  <c r="I25" i="9"/>
  <c r="L25" i="9"/>
  <c r="M24" i="9"/>
  <c r="Z24" i="9"/>
  <c r="B31" i="8" s="1"/>
  <c r="J24" i="9"/>
  <c r="Y24" i="9"/>
  <c r="V36" i="9"/>
  <c r="W36" i="9" s="1"/>
  <c r="U37" i="9"/>
  <c r="AA23" i="9"/>
  <c r="AB23" i="9" s="1"/>
  <c r="B30" i="7"/>
  <c r="G29" i="8"/>
  <c r="L28" i="8"/>
  <c r="M28" i="8" s="1"/>
  <c r="F30" i="8"/>
  <c r="C30" i="8"/>
  <c r="F29" i="7"/>
  <c r="G29" i="7" s="1"/>
  <c r="C29" i="7"/>
  <c r="I28" i="7"/>
  <c r="K28" i="7" s="1"/>
  <c r="H28" i="7"/>
  <c r="I29" i="8"/>
  <c r="K29" i="8" s="1"/>
  <c r="H29" i="8"/>
  <c r="Q49" i="9"/>
  <c r="R49" i="9" s="1"/>
  <c r="P50" i="9"/>
  <c r="E26" i="9"/>
  <c r="F26" i="9" s="1"/>
  <c r="C27" i="9"/>
  <c r="M27" i="7"/>
  <c r="E48" i="8"/>
  <c r="J47" i="8"/>
  <c r="J47" i="7"/>
  <c r="E48" i="7"/>
  <c r="G46" i="6"/>
  <c r="L45" i="6"/>
  <c r="E49" i="6"/>
  <c r="J48" i="6"/>
  <c r="H36" i="6"/>
  <c r="I36" i="6"/>
  <c r="K36" i="6" s="1"/>
  <c r="M36" i="6" s="1"/>
  <c r="C37" i="6"/>
  <c r="G46" i="5"/>
  <c r="L45" i="5"/>
  <c r="I35" i="5"/>
  <c r="K35" i="5" s="1"/>
  <c r="M35" i="5" s="1"/>
  <c r="H35" i="5"/>
  <c r="C36" i="5"/>
  <c r="J46" i="5"/>
  <c r="E47" i="5"/>
  <c r="L29" i="7" l="1"/>
  <c r="F31" i="8"/>
  <c r="C31" i="8"/>
  <c r="G30" i="8"/>
  <c r="L29" i="8"/>
  <c r="M29" i="8" s="1"/>
  <c r="F30" i="7"/>
  <c r="G30" i="7" s="1"/>
  <c r="C30" i="7"/>
  <c r="Y25" i="9"/>
  <c r="J25" i="9"/>
  <c r="I29" i="7"/>
  <c r="K29" i="7" s="1"/>
  <c r="H29" i="7"/>
  <c r="V37" i="9"/>
  <c r="W37" i="9" s="1"/>
  <c r="U38" i="9"/>
  <c r="I26" i="9"/>
  <c r="L26" i="9"/>
  <c r="M28" i="7"/>
  <c r="M25" i="9"/>
  <c r="Z25" i="9"/>
  <c r="B32" i="8" s="1"/>
  <c r="E27" i="9"/>
  <c r="C28" i="9"/>
  <c r="C29" i="9" s="1"/>
  <c r="Q50" i="9"/>
  <c r="R50" i="9" s="1"/>
  <c r="P51" i="9"/>
  <c r="I30" i="8"/>
  <c r="K30" i="8" s="1"/>
  <c r="AA24" i="9"/>
  <c r="AB24" i="9" s="1"/>
  <c r="B31" i="7"/>
  <c r="J48" i="8"/>
  <c r="E49" i="8"/>
  <c r="E49" i="7"/>
  <c r="J48" i="7"/>
  <c r="E50" i="6"/>
  <c r="J49" i="6"/>
  <c r="H37" i="6"/>
  <c r="I37" i="6"/>
  <c r="K37" i="6" s="1"/>
  <c r="M37" i="6" s="1"/>
  <c r="C38" i="6"/>
  <c r="G47" i="6"/>
  <c r="L46" i="6"/>
  <c r="H36" i="5"/>
  <c r="I36" i="5"/>
  <c r="K36" i="5" s="1"/>
  <c r="M36" i="5" s="1"/>
  <c r="C37" i="5"/>
  <c r="E48" i="5"/>
  <c r="J47" i="5"/>
  <c r="G47" i="5"/>
  <c r="L46" i="5"/>
  <c r="L30" i="7" l="1"/>
  <c r="Y26" i="9"/>
  <c r="J26" i="9"/>
  <c r="I27" i="9"/>
  <c r="L27" i="9"/>
  <c r="V38" i="9"/>
  <c r="W38" i="9" s="1"/>
  <c r="U39" i="9"/>
  <c r="C30" i="9"/>
  <c r="E29" i="9"/>
  <c r="G31" i="8"/>
  <c r="H31" i="8" s="1"/>
  <c r="L30" i="8"/>
  <c r="M30" i="8" s="1"/>
  <c r="F32" i="8"/>
  <c r="C32" i="8"/>
  <c r="H30" i="8"/>
  <c r="AA25" i="9"/>
  <c r="AB25" i="9" s="1"/>
  <c r="B32" i="7"/>
  <c r="Q51" i="9"/>
  <c r="R51" i="9" s="1"/>
  <c r="P52" i="9"/>
  <c r="I31" i="8"/>
  <c r="K31" i="8" s="1"/>
  <c r="F31" i="7"/>
  <c r="G31" i="7" s="1"/>
  <c r="C31" i="7"/>
  <c r="F27" i="9"/>
  <c r="F28" i="9" s="1"/>
  <c r="Z26" i="9"/>
  <c r="B33" i="8" s="1"/>
  <c r="M26" i="9"/>
  <c r="I30" i="7"/>
  <c r="K30" i="7" s="1"/>
  <c r="H30" i="7"/>
  <c r="M29" i="7"/>
  <c r="E50" i="8"/>
  <c r="J49" i="8"/>
  <c r="E50" i="7"/>
  <c r="J49" i="7"/>
  <c r="H38" i="6"/>
  <c r="I38" i="6"/>
  <c r="K38" i="6" s="1"/>
  <c r="M38" i="6" s="1"/>
  <c r="C39" i="6"/>
  <c r="E51" i="6"/>
  <c r="J50" i="6"/>
  <c r="G48" i="6"/>
  <c r="L47" i="6"/>
  <c r="G48" i="5"/>
  <c r="L47" i="5"/>
  <c r="E49" i="5"/>
  <c r="J48" i="5"/>
  <c r="I37" i="5"/>
  <c r="K37" i="5" s="1"/>
  <c r="M37" i="5" s="1"/>
  <c r="H37" i="5"/>
  <c r="C38" i="5"/>
  <c r="F29" i="9" l="1"/>
  <c r="L31" i="7"/>
  <c r="Z27" i="9"/>
  <c r="B34" i="8" s="1"/>
  <c r="M27" i="9"/>
  <c r="M28" i="9" s="1"/>
  <c r="Q52" i="9"/>
  <c r="R52" i="9" s="1"/>
  <c r="P53" i="9"/>
  <c r="M30" i="7"/>
  <c r="V39" i="9"/>
  <c r="W39" i="9" s="1"/>
  <c r="U40" i="9"/>
  <c r="I31" i="7"/>
  <c r="K31" i="7" s="1"/>
  <c r="H31" i="7"/>
  <c r="I32" i="8"/>
  <c r="K32" i="8" s="1"/>
  <c r="Y27" i="9"/>
  <c r="J27" i="9"/>
  <c r="J28" i="9" s="1"/>
  <c r="L31" i="8"/>
  <c r="M31" i="8" s="1"/>
  <c r="G32" i="8"/>
  <c r="H32" i="8" s="1"/>
  <c r="AA26" i="9"/>
  <c r="AB26" i="9" s="1"/>
  <c r="B33" i="7"/>
  <c r="I29" i="9"/>
  <c r="L29" i="9"/>
  <c r="F33" i="8"/>
  <c r="C33" i="8"/>
  <c r="F32" i="7"/>
  <c r="G32" i="7" s="1"/>
  <c r="C32" i="7"/>
  <c r="E30" i="9"/>
  <c r="C31" i="9"/>
  <c r="E51" i="8"/>
  <c r="J50" i="8"/>
  <c r="E51" i="7"/>
  <c r="J50" i="7"/>
  <c r="G49" i="6"/>
  <c r="L48" i="6"/>
  <c r="E52" i="6"/>
  <c r="J51" i="6"/>
  <c r="H39" i="6"/>
  <c r="I39" i="6"/>
  <c r="K39" i="6" s="1"/>
  <c r="M39" i="6" s="1"/>
  <c r="C40" i="6"/>
  <c r="E50" i="5"/>
  <c r="J49" i="5"/>
  <c r="H38" i="5"/>
  <c r="I38" i="5"/>
  <c r="K38" i="5" s="1"/>
  <c r="M38" i="5" s="1"/>
  <c r="C39" i="5"/>
  <c r="G49" i="5"/>
  <c r="L48" i="5"/>
  <c r="L32" i="7" l="1"/>
  <c r="Q53" i="9"/>
  <c r="R53" i="9" s="1"/>
  <c r="P54" i="9"/>
  <c r="M29" i="9"/>
  <c r="Z29" i="9"/>
  <c r="B36" i="8" s="1"/>
  <c r="AA27" i="9"/>
  <c r="AB27" i="9" s="1"/>
  <c r="AB28" i="9" s="1"/>
  <c r="B34" i="7"/>
  <c r="J29" i="9"/>
  <c r="Y29" i="9"/>
  <c r="E31" i="9"/>
  <c r="C32" i="9"/>
  <c r="I30" i="9"/>
  <c r="L30" i="9"/>
  <c r="M31" i="7"/>
  <c r="I33" i="8"/>
  <c r="K33" i="8" s="1"/>
  <c r="F33" i="7"/>
  <c r="G33" i="7" s="1"/>
  <c r="C33" i="7"/>
  <c r="F34" i="8"/>
  <c r="C34" i="8"/>
  <c r="F30" i="9"/>
  <c r="F31" i="9" s="1"/>
  <c r="I32" i="7"/>
  <c r="K32" i="7" s="1"/>
  <c r="H32" i="7"/>
  <c r="L32" i="8"/>
  <c r="M32" i="8" s="1"/>
  <c r="G33" i="8"/>
  <c r="V40" i="9"/>
  <c r="W40" i="9" s="1"/>
  <c r="U41" i="9"/>
  <c r="E52" i="8"/>
  <c r="J51" i="8"/>
  <c r="E52" i="7"/>
  <c r="J51" i="7"/>
  <c r="E53" i="6"/>
  <c r="J52" i="6"/>
  <c r="H40" i="6"/>
  <c r="C41" i="6"/>
  <c r="I40" i="6"/>
  <c r="K40" i="6" s="1"/>
  <c r="M40" i="6" s="1"/>
  <c r="G50" i="6"/>
  <c r="L49" i="6"/>
  <c r="G50" i="5"/>
  <c r="L49" i="5"/>
  <c r="H39" i="5"/>
  <c r="C40" i="5"/>
  <c r="I39" i="5"/>
  <c r="K39" i="5" s="1"/>
  <c r="M39" i="5" s="1"/>
  <c r="E51" i="5"/>
  <c r="J50" i="5"/>
  <c r="L33" i="7" l="1"/>
  <c r="F34" i="7"/>
  <c r="G34" i="7" s="1"/>
  <c r="C34" i="7"/>
  <c r="Z30" i="9"/>
  <c r="B37" i="8" s="1"/>
  <c r="M30" i="9"/>
  <c r="I34" i="8"/>
  <c r="K34" i="8" s="1"/>
  <c r="C35" i="8"/>
  <c r="C36" i="8" s="1"/>
  <c r="V41" i="9"/>
  <c r="W41" i="9" s="1"/>
  <c r="U42" i="9"/>
  <c r="E32" i="9"/>
  <c r="C33" i="9"/>
  <c r="M32" i="7"/>
  <c r="F36" i="8"/>
  <c r="J30" i="9"/>
  <c r="Y30" i="9"/>
  <c r="Q54" i="9"/>
  <c r="R54" i="9" s="1"/>
  <c r="P55" i="9"/>
  <c r="Q55" i="9" s="1"/>
  <c r="I33" i="7"/>
  <c r="K33" i="7" s="1"/>
  <c r="H33" i="7"/>
  <c r="I31" i="9"/>
  <c r="L31" i="9"/>
  <c r="G34" i="8"/>
  <c r="H34" i="8" s="1"/>
  <c r="L33" i="8"/>
  <c r="M33" i="8" s="1"/>
  <c r="AA29" i="9"/>
  <c r="AB29" i="9" s="1"/>
  <c r="B36" i="7"/>
  <c r="H33" i="8"/>
  <c r="E53" i="8"/>
  <c r="J52" i="8"/>
  <c r="E53" i="7"/>
  <c r="J52" i="7"/>
  <c r="H41" i="6"/>
  <c r="C42" i="6"/>
  <c r="I41" i="6"/>
  <c r="K41" i="6" s="1"/>
  <c r="M41" i="6" s="1"/>
  <c r="E54" i="6"/>
  <c r="J53" i="6"/>
  <c r="G51" i="6"/>
  <c r="L50" i="6"/>
  <c r="G25" i="4" s="1"/>
  <c r="E52" i="5"/>
  <c r="J51" i="5"/>
  <c r="H40" i="5"/>
  <c r="C41" i="5"/>
  <c r="I40" i="5"/>
  <c r="K40" i="5" s="1"/>
  <c r="M40" i="5" s="1"/>
  <c r="G51" i="5"/>
  <c r="L50" i="5"/>
  <c r="H25" i="3" s="1"/>
  <c r="G25" i="3" s="1"/>
  <c r="R55" i="9" l="1"/>
  <c r="L34" i="7"/>
  <c r="G35" i="7"/>
  <c r="J31" i="9"/>
  <c r="Y31" i="9"/>
  <c r="F37" i="8"/>
  <c r="C37" i="8"/>
  <c r="F36" i="7"/>
  <c r="L32" i="9"/>
  <c r="I32" i="9"/>
  <c r="C35" i="7"/>
  <c r="C36" i="7" s="1"/>
  <c r="I34" i="7"/>
  <c r="K34" i="7" s="1"/>
  <c r="H34" i="7"/>
  <c r="E33" i="9"/>
  <c r="C34" i="9"/>
  <c r="F32" i="9"/>
  <c r="V42" i="9"/>
  <c r="W42" i="9" s="1"/>
  <c r="U43" i="9"/>
  <c r="AA30" i="9"/>
  <c r="AB30" i="9" s="1"/>
  <c r="B37" i="7"/>
  <c r="G35" i="8"/>
  <c r="H35" i="8" s="1"/>
  <c r="L34" i="8"/>
  <c r="M34" i="8" s="1"/>
  <c r="M33" i="7"/>
  <c r="M31" i="9"/>
  <c r="Z31" i="9"/>
  <c r="B38" i="8" s="1"/>
  <c r="I36" i="8"/>
  <c r="K36" i="8" s="1"/>
  <c r="I35" i="8"/>
  <c r="K35" i="8" s="1"/>
  <c r="E54" i="8"/>
  <c r="J53" i="8"/>
  <c r="E54" i="7"/>
  <c r="J53" i="7"/>
  <c r="G52" i="6"/>
  <c r="L51" i="6"/>
  <c r="E55" i="6"/>
  <c r="J54" i="6"/>
  <c r="H42" i="6"/>
  <c r="C43" i="6"/>
  <c r="I42" i="6"/>
  <c r="K42" i="6" s="1"/>
  <c r="M42" i="6" s="1"/>
  <c r="F25" i="4"/>
  <c r="C42" i="5"/>
  <c r="H41" i="5"/>
  <c r="I41" i="5"/>
  <c r="K41" i="5" s="1"/>
  <c r="M41" i="5" s="1"/>
  <c r="G52" i="5"/>
  <c r="L51" i="5"/>
  <c r="E53" i="5"/>
  <c r="J52" i="5"/>
  <c r="F33" i="9" l="1"/>
  <c r="L33" i="9"/>
  <c r="I33" i="9"/>
  <c r="I36" i="7"/>
  <c r="K36" i="7" s="1"/>
  <c r="H36" i="7"/>
  <c r="E34" i="9"/>
  <c r="C35" i="9"/>
  <c r="F37" i="7"/>
  <c r="C37" i="7"/>
  <c r="Y32" i="9"/>
  <c r="J32" i="9"/>
  <c r="G36" i="7"/>
  <c r="L35" i="7"/>
  <c r="M35" i="7" s="1"/>
  <c r="I37" i="8"/>
  <c r="K37" i="8" s="1"/>
  <c r="G36" i="8"/>
  <c r="L35" i="8"/>
  <c r="M35" i="8" s="1"/>
  <c r="AA31" i="9"/>
  <c r="AB31" i="9" s="1"/>
  <c r="B38" i="7"/>
  <c r="I35" i="7"/>
  <c r="K35" i="7" s="1"/>
  <c r="H35" i="7"/>
  <c r="V43" i="9"/>
  <c r="W43" i="9" s="1"/>
  <c r="U44" i="9"/>
  <c r="F38" i="8"/>
  <c r="C38" i="8"/>
  <c r="Z32" i="9"/>
  <c r="B39" i="8" s="1"/>
  <c r="M32" i="9"/>
  <c r="M34" i="7"/>
  <c r="E55" i="8"/>
  <c r="J54" i="8"/>
  <c r="E55" i="7"/>
  <c r="J54" i="7"/>
  <c r="E56" i="6"/>
  <c r="J55" i="6"/>
  <c r="G53" i="6"/>
  <c r="L52" i="6"/>
  <c r="C44" i="6"/>
  <c r="H43" i="6"/>
  <c r="I43" i="6"/>
  <c r="K43" i="6" s="1"/>
  <c r="M43" i="6" s="1"/>
  <c r="E54" i="5"/>
  <c r="J53" i="5"/>
  <c r="G53" i="5"/>
  <c r="L52" i="5"/>
  <c r="H42" i="5"/>
  <c r="C43" i="5"/>
  <c r="I42" i="5"/>
  <c r="K42" i="5" s="1"/>
  <c r="M42" i="5" s="1"/>
  <c r="F34" i="9" l="1"/>
  <c r="G37" i="8"/>
  <c r="L36" i="8"/>
  <c r="M36" i="8" s="1"/>
  <c r="H36" i="8"/>
  <c r="V44" i="9"/>
  <c r="W44" i="9" s="1"/>
  <c r="U45" i="9"/>
  <c r="I37" i="7"/>
  <c r="K37" i="7" s="1"/>
  <c r="H37" i="7"/>
  <c r="E35" i="9"/>
  <c r="F35" i="9" s="1"/>
  <c r="C36" i="9"/>
  <c r="F38" i="7"/>
  <c r="C38" i="7"/>
  <c r="F39" i="8"/>
  <c r="C39" i="8"/>
  <c r="J33" i="9"/>
  <c r="Y33" i="9"/>
  <c r="I34" i="9"/>
  <c r="L34" i="9"/>
  <c r="G37" i="7"/>
  <c r="L36" i="7"/>
  <c r="M36" i="7" s="1"/>
  <c r="I38" i="8"/>
  <c r="K38" i="8" s="1"/>
  <c r="AA32" i="9"/>
  <c r="AB32" i="9" s="1"/>
  <c r="B39" i="7"/>
  <c r="M33" i="9"/>
  <c r="Z33" i="9"/>
  <c r="B40" i="8" s="1"/>
  <c r="E56" i="8"/>
  <c r="J55" i="8"/>
  <c r="E56" i="7"/>
  <c r="J55" i="7"/>
  <c r="H44" i="6"/>
  <c r="C45" i="6"/>
  <c r="I44" i="6"/>
  <c r="K44" i="6" s="1"/>
  <c r="M44" i="6" s="1"/>
  <c r="G54" i="6"/>
  <c r="L53" i="6"/>
  <c r="E57" i="6"/>
  <c r="J56" i="6"/>
  <c r="G54" i="5"/>
  <c r="L53" i="5"/>
  <c r="E55" i="5"/>
  <c r="J54" i="5"/>
  <c r="H43" i="5"/>
  <c r="C44" i="5"/>
  <c r="I43" i="5"/>
  <c r="K43" i="5" s="1"/>
  <c r="M43" i="5" s="1"/>
  <c r="AA33" i="9" l="1"/>
  <c r="AB33" i="9" s="1"/>
  <c r="B40" i="7"/>
  <c r="V45" i="9"/>
  <c r="W45" i="9" s="1"/>
  <c r="U46" i="9"/>
  <c r="I38" i="7"/>
  <c r="K38" i="7" s="1"/>
  <c r="L37" i="7"/>
  <c r="M37" i="7" s="1"/>
  <c r="G38" i="7"/>
  <c r="H38" i="7" s="1"/>
  <c r="E36" i="9"/>
  <c r="F36" i="9" s="1"/>
  <c r="C37" i="9"/>
  <c r="F39" i="7"/>
  <c r="C39" i="7"/>
  <c r="I39" i="8"/>
  <c r="K39" i="8" s="1"/>
  <c r="F40" i="8"/>
  <c r="C40" i="8"/>
  <c r="Z34" i="9"/>
  <c r="B41" i="8" s="1"/>
  <c r="M34" i="9"/>
  <c r="Y34" i="9"/>
  <c r="J34" i="9"/>
  <c r="L35" i="9"/>
  <c r="I35" i="9"/>
  <c r="L37" i="8"/>
  <c r="M37" i="8" s="1"/>
  <c r="G38" i="8"/>
  <c r="H37" i="8"/>
  <c r="E57" i="8"/>
  <c r="J56" i="8"/>
  <c r="E57" i="7"/>
  <c r="J56" i="7"/>
  <c r="E58" i="6"/>
  <c r="J57" i="6"/>
  <c r="G55" i="6"/>
  <c r="L54" i="6"/>
  <c r="H45" i="6"/>
  <c r="C46" i="6"/>
  <c r="I45" i="6"/>
  <c r="K45" i="6" s="1"/>
  <c r="M45" i="6" s="1"/>
  <c r="E56" i="5"/>
  <c r="J55" i="5"/>
  <c r="H44" i="5"/>
  <c r="C45" i="5"/>
  <c r="I44" i="5"/>
  <c r="K44" i="5" s="1"/>
  <c r="M44" i="5" s="1"/>
  <c r="G55" i="5"/>
  <c r="L54" i="5"/>
  <c r="J35" i="9" l="1"/>
  <c r="Y35" i="9"/>
  <c r="I39" i="7"/>
  <c r="K39" i="7" s="1"/>
  <c r="F40" i="7"/>
  <c r="C40" i="7"/>
  <c r="M35" i="9"/>
  <c r="Z35" i="9"/>
  <c r="B42" i="8" s="1"/>
  <c r="V46" i="9"/>
  <c r="W46" i="9" s="1"/>
  <c r="U47" i="9"/>
  <c r="AA34" i="9"/>
  <c r="AB34" i="9" s="1"/>
  <c r="B41" i="7"/>
  <c r="E37" i="9"/>
  <c r="C38" i="9"/>
  <c r="F37" i="9"/>
  <c r="F41" i="8"/>
  <c r="C41" i="8"/>
  <c r="I36" i="9"/>
  <c r="L36" i="9"/>
  <c r="G39" i="8"/>
  <c r="L38" i="8"/>
  <c r="M38" i="8" s="1"/>
  <c r="H38" i="8"/>
  <c r="I40" i="8"/>
  <c r="K40" i="8" s="1"/>
  <c r="L38" i="7"/>
  <c r="M38" i="7" s="1"/>
  <c r="G39" i="7"/>
  <c r="H39" i="7" s="1"/>
  <c r="E58" i="8"/>
  <c r="J57" i="8"/>
  <c r="E58" i="7"/>
  <c r="J57" i="7"/>
  <c r="G56" i="6"/>
  <c r="L55" i="6"/>
  <c r="E59" i="6"/>
  <c r="J58" i="6"/>
  <c r="H46" i="6"/>
  <c r="C47" i="6"/>
  <c r="I46" i="6"/>
  <c r="K46" i="6" s="1"/>
  <c r="M46" i="6" s="1"/>
  <c r="G56" i="5"/>
  <c r="L55" i="5"/>
  <c r="H45" i="5"/>
  <c r="C46" i="5"/>
  <c r="I45" i="5"/>
  <c r="K45" i="5" s="1"/>
  <c r="M45" i="5" s="1"/>
  <c r="E57" i="5"/>
  <c r="J56" i="5"/>
  <c r="F42" i="8" l="1"/>
  <c r="C42" i="8"/>
  <c r="I37" i="9"/>
  <c r="L37" i="9"/>
  <c r="F41" i="7"/>
  <c r="C41" i="7"/>
  <c r="L39" i="7"/>
  <c r="M39" i="7" s="1"/>
  <c r="G40" i="7"/>
  <c r="H40" i="7" s="1"/>
  <c r="AA35" i="9"/>
  <c r="AB35" i="9" s="1"/>
  <c r="B42" i="7"/>
  <c r="E38" i="9"/>
  <c r="C39" i="9"/>
  <c r="I40" i="7"/>
  <c r="K40" i="7" s="1"/>
  <c r="G40" i="8"/>
  <c r="L39" i="8"/>
  <c r="M39" i="8" s="1"/>
  <c r="H39" i="8"/>
  <c r="Z36" i="9"/>
  <c r="B43" i="8" s="1"/>
  <c r="M36" i="9"/>
  <c r="J36" i="9"/>
  <c r="Y36" i="9"/>
  <c r="V47" i="9"/>
  <c r="W47" i="9" s="1"/>
  <c r="U48" i="9"/>
  <c r="I41" i="8"/>
  <c r="K41" i="8" s="1"/>
  <c r="E59" i="8"/>
  <c r="J58" i="8"/>
  <c r="E59" i="7"/>
  <c r="J58" i="7"/>
  <c r="E60" i="6"/>
  <c r="J59" i="6"/>
  <c r="H47" i="6"/>
  <c r="C48" i="6"/>
  <c r="I47" i="6"/>
  <c r="K47" i="6" s="1"/>
  <c r="M47" i="6" s="1"/>
  <c r="G57" i="6"/>
  <c r="L56" i="6"/>
  <c r="H46" i="5"/>
  <c r="C47" i="5"/>
  <c r="I46" i="5"/>
  <c r="K46" i="5" s="1"/>
  <c r="M46" i="5" s="1"/>
  <c r="G57" i="5"/>
  <c r="L56" i="5"/>
  <c r="E58" i="5"/>
  <c r="J57" i="5"/>
  <c r="V48" i="9" l="1"/>
  <c r="W48" i="9" s="1"/>
  <c r="U49" i="9"/>
  <c r="G41" i="8"/>
  <c r="L40" i="8"/>
  <c r="M40" i="8" s="1"/>
  <c r="H40" i="8"/>
  <c r="J37" i="9"/>
  <c r="Y37" i="9"/>
  <c r="I42" i="8"/>
  <c r="K42" i="8" s="1"/>
  <c r="I41" i="7"/>
  <c r="K41" i="7" s="1"/>
  <c r="B43" i="7"/>
  <c r="AA36" i="9"/>
  <c r="AB36" i="9" s="1"/>
  <c r="E39" i="9"/>
  <c r="C40" i="9"/>
  <c r="M37" i="9"/>
  <c r="Z37" i="9"/>
  <c r="B44" i="8" s="1"/>
  <c r="I38" i="9"/>
  <c r="L38" i="9"/>
  <c r="F43" i="8"/>
  <c r="C43" i="8"/>
  <c r="F42" i="7"/>
  <c r="C42" i="7"/>
  <c r="F38" i="9"/>
  <c r="G41" i="7"/>
  <c r="H41" i="7" s="1"/>
  <c r="L40" i="7"/>
  <c r="M40" i="7" s="1"/>
  <c r="E60" i="8"/>
  <c r="J59" i="8"/>
  <c r="E60" i="7"/>
  <c r="J59" i="7"/>
  <c r="G58" i="6"/>
  <c r="L57" i="6"/>
  <c r="H48" i="6"/>
  <c r="C49" i="6"/>
  <c r="I48" i="6"/>
  <c r="K48" i="6" s="1"/>
  <c r="M48" i="6" s="1"/>
  <c r="E61" i="6"/>
  <c r="J60" i="6"/>
  <c r="G58" i="5"/>
  <c r="L57" i="5"/>
  <c r="H47" i="5"/>
  <c r="C48" i="5"/>
  <c r="I47" i="5"/>
  <c r="K47" i="5" s="1"/>
  <c r="M47" i="5" s="1"/>
  <c r="E59" i="5"/>
  <c r="J58" i="5"/>
  <c r="F39" i="9" l="1"/>
  <c r="AA37" i="9"/>
  <c r="AB37" i="9" s="1"/>
  <c r="B44" i="7"/>
  <c r="I39" i="9"/>
  <c r="L39" i="9"/>
  <c r="I43" i="8"/>
  <c r="K43" i="8" s="1"/>
  <c r="F43" i="7"/>
  <c r="C43" i="7"/>
  <c r="Z38" i="9"/>
  <c r="B45" i="8" s="1"/>
  <c r="M38" i="9"/>
  <c r="Y38" i="9"/>
  <c r="J38" i="9"/>
  <c r="V49" i="9"/>
  <c r="W49" i="9" s="1"/>
  <c r="U50" i="9"/>
  <c r="I42" i="7"/>
  <c r="K42" i="7" s="1"/>
  <c r="C41" i="9"/>
  <c r="E40" i="9"/>
  <c r="G42" i="8"/>
  <c r="L41" i="8"/>
  <c r="M41" i="8" s="1"/>
  <c r="H41" i="8"/>
  <c r="L41" i="7"/>
  <c r="M41" i="7" s="1"/>
  <c r="G42" i="7"/>
  <c r="F44" i="8"/>
  <c r="C44" i="8"/>
  <c r="E61" i="8"/>
  <c r="J60" i="8"/>
  <c r="E61" i="7"/>
  <c r="J60" i="7"/>
  <c r="H49" i="6"/>
  <c r="C50" i="6"/>
  <c r="I49" i="6"/>
  <c r="K49" i="6" s="1"/>
  <c r="M49" i="6" s="1"/>
  <c r="G59" i="6"/>
  <c r="L58" i="6"/>
  <c r="E62" i="6"/>
  <c r="J61" i="6"/>
  <c r="E60" i="5"/>
  <c r="J59" i="5"/>
  <c r="H48" i="5"/>
  <c r="C49" i="5"/>
  <c r="I48" i="5"/>
  <c r="K48" i="5" s="1"/>
  <c r="M48" i="5" s="1"/>
  <c r="G59" i="5"/>
  <c r="L58" i="5"/>
  <c r="J39" i="9" l="1"/>
  <c r="Y39" i="9"/>
  <c r="C42" i="9"/>
  <c r="E41" i="9"/>
  <c r="G43" i="7"/>
  <c r="L42" i="7"/>
  <c r="M42" i="7" s="1"/>
  <c r="V50" i="9"/>
  <c r="W50" i="9" s="1"/>
  <c r="U51" i="9"/>
  <c r="M39" i="9"/>
  <c r="Z39" i="9"/>
  <c r="B46" i="8" s="1"/>
  <c r="L42" i="8"/>
  <c r="M42" i="8" s="1"/>
  <c r="G43" i="8"/>
  <c r="H42" i="8"/>
  <c r="AA38" i="9"/>
  <c r="AB38" i="9" s="1"/>
  <c r="B45" i="7"/>
  <c r="L40" i="9"/>
  <c r="I40" i="9"/>
  <c r="F44" i="7"/>
  <c r="C44" i="7"/>
  <c r="I44" i="8"/>
  <c r="K44" i="8" s="1"/>
  <c r="F45" i="8"/>
  <c r="C45" i="8"/>
  <c r="H42" i="7"/>
  <c r="I43" i="7"/>
  <c r="K43" i="7" s="1"/>
  <c r="F40" i="9"/>
  <c r="E62" i="8"/>
  <c r="J61" i="8"/>
  <c r="E62" i="7"/>
  <c r="J61" i="7"/>
  <c r="G60" i="6"/>
  <c r="L59" i="6"/>
  <c r="H50" i="6"/>
  <c r="C51" i="6"/>
  <c r="I50" i="6"/>
  <c r="J62" i="6"/>
  <c r="I24" i="4" s="1"/>
  <c r="H24" i="4" s="1"/>
  <c r="C50" i="5"/>
  <c r="H49" i="5"/>
  <c r="I49" i="5"/>
  <c r="K49" i="5" s="1"/>
  <c r="M49" i="5" s="1"/>
  <c r="E61" i="5"/>
  <c r="J60" i="5"/>
  <c r="G60" i="5"/>
  <c r="L59" i="5"/>
  <c r="V51" i="9" l="1"/>
  <c r="W51" i="9" s="1"/>
  <c r="U52" i="9"/>
  <c r="F45" i="7"/>
  <c r="C45" i="7"/>
  <c r="F46" i="8"/>
  <c r="C46" i="8"/>
  <c r="Z40" i="9"/>
  <c r="B47" i="8" s="1"/>
  <c r="M40" i="9"/>
  <c r="I45" i="8"/>
  <c r="K45" i="8" s="1"/>
  <c r="G44" i="7"/>
  <c r="L43" i="7"/>
  <c r="M43" i="7" s="1"/>
  <c r="G44" i="8"/>
  <c r="L43" i="8"/>
  <c r="M43" i="8" s="1"/>
  <c r="H43" i="8"/>
  <c r="I41" i="9"/>
  <c r="L41" i="9"/>
  <c r="F41" i="9"/>
  <c r="I44" i="7"/>
  <c r="K44" i="7" s="1"/>
  <c r="H44" i="7"/>
  <c r="C43" i="9"/>
  <c r="E42" i="9"/>
  <c r="H43" i="7"/>
  <c r="AA39" i="9"/>
  <c r="AB39" i="9" s="1"/>
  <c r="B46" i="7"/>
  <c r="Y40" i="9"/>
  <c r="J40" i="9"/>
  <c r="J62" i="8"/>
  <c r="J62" i="7"/>
  <c r="K50" i="6"/>
  <c r="M50" i="6" s="1"/>
  <c r="G23" i="4"/>
  <c r="H51" i="6"/>
  <c r="C52" i="6"/>
  <c r="I51" i="6"/>
  <c r="K51" i="6" s="1"/>
  <c r="M51" i="6" s="1"/>
  <c r="G61" i="6"/>
  <c r="L60" i="6"/>
  <c r="E62" i="5"/>
  <c r="J61" i="5"/>
  <c r="G61" i="5"/>
  <c r="L60" i="5"/>
  <c r="H50" i="5"/>
  <c r="C51" i="5"/>
  <c r="I50" i="5"/>
  <c r="I46" i="8" l="1"/>
  <c r="K46" i="8" s="1"/>
  <c r="J41" i="9"/>
  <c r="Y41" i="9"/>
  <c r="I42" i="9"/>
  <c r="L42" i="9"/>
  <c r="I45" i="7"/>
  <c r="K45" i="7" s="1"/>
  <c r="H45" i="7"/>
  <c r="AA40" i="9"/>
  <c r="AB40" i="9" s="1"/>
  <c r="B47" i="7"/>
  <c r="V52" i="9"/>
  <c r="W52" i="9" s="1"/>
  <c r="U53" i="9"/>
  <c r="F47" i="8"/>
  <c r="C47" i="8"/>
  <c r="E43" i="9"/>
  <c r="C44" i="9"/>
  <c r="L44" i="8"/>
  <c r="M44" i="8" s="1"/>
  <c r="G45" i="8"/>
  <c r="H44" i="8"/>
  <c r="G45" i="7"/>
  <c r="L44" i="7"/>
  <c r="M44" i="7" s="1"/>
  <c r="F42" i="9"/>
  <c r="F46" i="7"/>
  <c r="C46" i="7"/>
  <c r="M41" i="9"/>
  <c r="Z41" i="9"/>
  <c r="B48" i="8" s="1"/>
  <c r="F23" i="4"/>
  <c r="F29" i="4" s="1"/>
  <c r="F31" i="4" s="1"/>
  <c r="G29" i="4"/>
  <c r="G31" i="4" s="1"/>
  <c r="G62" i="6"/>
  <c r="L61" i="6"/>
  <c r="H52" i="6"/>
  <c r="C53" i="6"/>
  <c r="I52" i="6"/>
  <c r="K52" i="6" s="1"/>
  <c r="M52" i="6" s="1"/>
  <c r="G62" i="5"/>
  <c r="L61" i="5"/>
  <c r="K50" i="5"/>
  <c r="M50" i="5" s="1"/>
  <c r="H23" i="3"/>
  <c r="J62" i="5"/>
  <c r="J24" i="3" s="1"/>
  <c r="H51" i="5"/>
  <c r="C52" i="5"/>
  <c r="I51" i="5"/>
  <c r="K51" i="5" s="1"/>
  <c r="M51" i="5" s="1"/>
  <c r="E44" i="9" l="1"/>
  <c r="C45" i="9"/>
  <c r="I47" i="8"/>
  <c r="K47" i="8" s="1"/>
  <c r="I46" i="7"/>
  <c r="K46" i="7" s="1"/>
  <c r="I43" i="9"/>
  <c r="L43" i="9"/>
  <c r="F43" i="9"/>
  <c r="F44" i="9" s="1"/>
  <c r="M42" i="9"/>
  <c r="Z42" i="9"/>
  <c r="B49" i="8" s="1"/>
  <c r="Y42" i="9"/>
  <c r="J42" i="9"/>
  <c r="G46" i="7"/>
  <c r="H46" i="7" s="1"/>
  <c r="L45" i="7"/>
  <c r="M45" i="7" s="1"/>
  <c r="V53" i="9"/>
  <c r="W53" i="9" s="1"/>
  <c r="U54" i="9"/>
  <c r="AA41" i="9"/>
  <c r="AB41" i="9" s="1"/>
  <c r="B48" i="7"/>
  <c r="F48" i="8"/>
  <c r="C48" i="8"/>
  <c r="G46" i="8"/>
  <c r="L45" i="8"/>
  <c r="M45" i="8" s="1"/>
  <c r="H45" i="8"/>
  <c r="F47" i="7"/>
  <c r="C47" i="7"/>
  <c r="H53" i="6"/>
  <c r="C54" i="6"/>
  <c r="I53" i="6"/>
  <c r="K53" i="6" s="1"/>
  <c r="M53" i="6" s="1"/>
  <c r="L62" i="6"/>
  <c r="I25" i="4" s="1"/>
  <c r="H25" i="4" s="1"/>
  <c r="I24" i="3"/>
  <c r="G23" i="3"/>
  <c r="G29" i="3" s="1"/>
  <c r="G31" i="3" s="1"/>
  <c r="H29" i="3"/>
  <c r="H31" i="3" s="1"/>
  <c r="H52" i="5"/>
  <c r="C53" i="5"/>
  <c r="I52" i="5"/>
  <c r="K52" i="5" s="1"/>
  <c r="M52" i="5" s="1"/>
  <c r="L62" i="5"/>
  <c r="J25" i="3" s="1"/>
  <c r="I25" i="3" s="1"/>
  <c r="Z43" i="9" l="1"/>
  <c r="B50" i="8" s="1"/>
  <c r="M43" i="9"/>
  <c r="Y43" i="9"/>
  <c r="J43" i="9"/>
  <c r="I48" i="8"/>
  <c r="K48" i="8" s="1"/>
  <c r="B49" i="7"/>
  <c r="AA42" i="9"/>
  <c r="AB42" i="9" s="1"/>
  <c r="F49" i="8"/>
  <c r="C49" i="8"/>
  <c r="I47" i="7"/>
  <c r="K47" i="7" s="1"/>
  <c r="G47" i="8"/>
  <c r="L46" i="8"/>
  <c r="M46" i="8" s="1"/>
  <c r="H46" i="8"/>
  <c r="L46" i="7"/>
  <c r="M46" i="7" s="1"/>
  <c r="G47" i="7"/>
  <c r="H47" i="7" s="1"/>
  <c r="F48" i="7"/>
  <c r="C48" i="7"/>
  <c r="E45" i="9"/>
  <c r="C46" i="9"/>
  <c r="V54" i="9"/>
  <c r="W54" i="9" s="1"/>
  <c r="U55" i="9"/>
  <c r="V55" i="9" s="1"/>
  <c r="W55" i="9" s="1"/>
  <c r="F45" i="9"/>
  <c r="L44" i="9"/>
  <c r="I44" i="9"/>
  <c r="H54" i="6"/>
  <c r="C55" i="6"/>
  <c r="I54" i="6"/>
  <c r="K54" i="6" s="1"/>
  <c r="M54" i="6" s="1"/>
  <c r="H53" i="5"/>
  <c r="C54" i="5"/>
  <c r="I53" i="5"/>
  <c r="K53" i="5" s="1"/>
  <c r="M53" i="5" s="1"/>
  <c r="E46" i="9" l="1"/>
  <c r="C47" i="9"/>
  <c r="L47" i="8"/>
  <c r="M47" i="8" s="1"/>
  <c r="G48" i="8"/>
  <c r="H47" i="8"/>
  <c r="F46" i="9"/>
  <c r="F49" i="7"/>
  <c r="C49" i="7"/>
  <c r="I45" i="9"/>
  <c r="L45" i="9"/>
  <c r="I48" i="7"/>
  <c r="K48" i="7" s="1"/>
  <c r="AA43" i="9"/>
  <c r="AB43" i="9" s="1"/>
  <c r="B50" i="7"/>
  <c r="Y44" i="9"/>
  <c r="J44" i="9"/>
  <c r="I49" i="8"/>
  <c r="K49" i="8" s="1"/>
  <c r="M44" i="9"/>
  <c r="Z44" i="9"/>
  <c r="B51" i="8" s="1"/>
  <c r="G48" i="7"/>
  <c r="L47" i="7"/>
  <c r="M47" i="7" s="1"/>
  <c r="F50" i="8"/>
  <c r="C50" i="8"/>
  <c r="H55" i="6"/>
  <c r="C56" i="6"/>
  <c r="I55" i="6"/>
  <c r="K55" i="6" s="1"/>
  <c r="M55" i="6" s="1"/>
  <c r="H54" i="5"/>
  <c r="C55" i="5"/>
  <c r="I54" i="5"/>
  <c r="K54" i="5" s="1"/>
  <c r="M54" i="5" s="1"/>
  <c r="I50" i="8" l="1"/>
  <c r="K50" i="8" s="1"/>
  <c r="I49" i="7"/>
  <c r="K49" i="7" s="1"/>
  <c r="AA44" i="9"/>
  <c r="AB44" i="9" s="1"/>
  <c r="B51" i="7"/>
  <c r="F50" i="7"/>
  <c r="C50" i="7"/>
  <c r="G49" i="7"/>
  <c r="H49" i="7" s="1"/>
  <c r="L48" i="7"/>
  <c r="M48" i="7" s="1"/>
  <c r="F51" i="8"/>
  <c r="C51" i="8"/>
  <c r="H48" i="7"/>
  <c r="G49" i="8"/>
  <c r="L48" i="8"/>
  <c r="M48" i="8" s="1"/>
  <c r="H48" i="8"/>
  <c r="Z45" i="9"/>
  <c r="B52" i="8" s="1"/>
  <c r="M45" i="9"/>
  <c r="E47" i="9"/>
  <c r="F47" i="9" s="1"/>
  <c r="C48" i="9"/>
  <c r="Y45" i="9"/>
  <c r="J45" i="9"/>
  <c r="L46" i="9"/>
  <c r="I46" i="9"/>
  <c r="H56" i="6"/>
  <c r="C57" i="6"/>
  <c r="I56" i="6"/>
  <c r="K56" i="6" s="1"/>
  <c r="M56" i="6" s="1"/>
  <c r="H55" i="5"/>
  <c r="C56" i="5"/>
  <c r="I55" i="5"/>
  <c r="K55" i="5" s="1"/>
  <c r="M55" i="5" s="1"/>
  <c r="AA45" i="9" l="1"/>
  <c r="AB45" i="9" s="1"/>
  <c r="B52" i="7"/>
  <c r="G50" i="8"/>
  <c r="L49" i="8"/>
  <c r="M49" i="8" s="1"/>
  <c r="H49" i="8"/>
  <c r="F51" i="7"/>
  <c r="C51" i="7"/>
  <c r="E48" i="9"/>
  <c r="C49" i="9"/>
  <c r="I51" i="8"/>
  <c r="K51" i="8" s="1"/>
  <c r="I47" i="9"/>
  <c r="L47" i="9"/>
  <c r="M46" i="9"/>
  <c r="Z46" i="9"/>
  <c r="B53" i="8" s="1"/>
  <c r="I50" i="7"/>
  <c r="K50" i="7" s="1"/>
  <c r="Y46" i="9"/>
  <c r="J46" i="9"/>
  <c r="F52" i="8"/>
  <c r="C52" i="8"/>
  <c r="L49" i="7"/>
  <c r="M49" i="7" s="1"/>
  <c r="G50" i="7"/>
  <c r="H57" i="6"/>
  <c r="C58" i="6"/>
  <c r="I57" i="6"/>
  <c r="K57" i="6" s="1"/>
  <c r="M57" i="6" s="1"/>
  <c r="H56" i="5"/>
  <c r="C57" i="5"/>
  <c r="I56" i="5"/>
  <c r="K56" i="5" s="1"/>
  <c r="M56" i="5" s="1"/>
  <c r="F53" i="8" l="1"/>
  <c r="C53" i="8"/>
  <c r="I51" i="7"/>
  <c r="K51" i="7" s="1"/>
  <c r="Z47" i="9"/>
  <c r="B54" i="8" s="1"/>
  <c r="M47" i="9"/>
  <c r="Y47" i="9"/>
  <c r="J47" i="9"/>
  <c r="AA46" i="9"/>
  <c r="AB46" i="9" s="1"/>
  <c r="B53" i="7"/>
  <c r="G51" i="8"/>
  <c r="L50" i="8"/>
  <c r="M50" i="8" s="1"/>
  <c r="H50" i="8"/>
  <c r="L48" i="9"/>
  <c r="I48" i="9"/>
  <c r="G51" i="7"/>
  <c r="L50" i="7"/>
  <c r="M50" i="7" s="1"/>
  <c r="F48" i="9"/>
  <c r="I52" i="8"/>
  <c r="K52" i="8" s="1"/>
  <c r="H50" i="7"/>
  <c r="E49" i="9"/>
  <c r="C50" i="9"/>
  <c r="F52" i="7"/>
  <c r="C52" i="7"/>
  <c r="H58" i="6"/>
  <c r="C59" i="6"/>
  <c r="I58" i="6"/>
  <c r="K58" i="6" s="1"/>
  <c r="M58" i="6" s="1"/>
  <c r="H57" i="5"/>
  <c r="C58" i="5"/>
  <c r="I57" i="5"/>
  <c r="K57" i="5" s="1"/>
  <c r="M57" i="5" s="1"/>
  <c r="AA47" i="9" l="1"/>
  <c r="AB47" i="9" s="1"/>
  <c r="B54" i="7"/>
  <c r="G52" i="8"/>
  <c r="L51" i="8"/>
  <c r="M51" i="8" s="1"/>
  <c r="H51" i="8"/>
  <c r="E50" i="9"/>
  <c r="C51" i="9"/>
  <c r="I49" i="9"/>
  <c r="L49" i="9"/>
  <c r="Z48" i="9"/>
  <c r="B55" i="8" s="1"/>
  <c r="M48" i="9"/>
  <c r="F49" i="9"/>
  <c r="F53" i="7"/>
  <c r="C53" i="7"/>
  <c r="I53" i="8"/>
  <c r="K53" i="8" s="1"/>
  <c r="G52" i="7"/>
  <c r="H52" i="7" s="1"/>
  <c r="L51" i="7"/>
  <c r="M51" i="7" s="1"/>
  <c r="Y48" i="9"/>
  <c r="J48" i="9"/>
  <c r="F54" i="8"/>
  <c r="C54" i="8"/>
  <c r="H51" i="7"/>
  <c r="I52" i="7"/>
  <c r="K52" i="7" s="1"/>
  <c r="H59" i="6"/>
  <c r="C60" i="6"/>
  <c r="I59" i="6"/>
  <c r="K59" i="6" s="1"/>
  <c r="M59" i="6" s="1"/>
  <c r="H58" i="5"/>
  <c r="C59" i="5"/>
  <c r="I58" i="5"/>
  <c r="K58" i="5" s="1"/>
  <c r="M58" i="5" s="1"/>
  <c r="E51" i="9" l="1"/>
  <c r="C52" i="9"/>
  <c r="I53" i="7"/>
  <c r="K53" i="7" s="1"/>
  <c r="L50" i="9"/>
  <c r="I50" i="9"/>
  <c r="F50" i="9"/>
  <c r="F51" i="9" s="1"/>
  <c r="F54" i="7"/>
  <c r="C54" i="7"/>
  <c r="Y49" i="9"/>
  <c r="J49" i="9"/>
  <c r="I54" i="8"/>
  <c r="K54" i="8" s="1"/>
  <c r="AA48" i="9"/>
  <c r="AB48" i="9" s="1"/>
  <c r="B55" i="7"/>
  <c r="G53" i="8"/>
  <c r="L52" i="8"/>
  <c r="M52" i="8" s="1"/>
  <c r="H52" i="8"/>
  <c r="F55" i="8"/>
  <c r="C55" i="8"/>
  <c r="G53" i="7"/>
  <c r="H53" i="7" s="1"/>
  <c r="L52" i="7"/>
  <c r="M52" i="7" s="1"/>
  <c r="Z49" i="9"/>
  <c r="B56" i="8" s="1"/>
  <c r="M49" i="9"/>
  <c r="H60" i="6"/>
  <c r="C61" i="6"/>
  <c r="I60" i="6"/>
  <c r="K60" i="6" s="1"/>
  <c r="M60" i="6" s="1"/>
  <c r="H59" i="5"/>
  <c r="C60" i="5"/>
  <c r="I59" i="5"/>
  <c r="K59" i="5" s="1"/>
  <c r="M59" i="5" s="1"/>
  <c r="I55" i="8" l="1"/>
  <c r="K55" i="8" s="1"/>
  <c r="L53" i="8"/>
  <c r="M53" i="8" s="1"/>
  <c r="G54" i="8"/>
  <c r="H53" i="8"/>
  <c r="F56" i="8"/>
  <c r="C56" i="8"/>
  <c r="F55" i="7"/>
  <c r="C55" i="7"/>
  <c r="Y50" i="9"/>
  <c r="J50" i="9"/>
  <c r="G54" i="7"/>
  <c r="L53" i="7"/>
  <c r="M53" i="7" s="1"/>
  <c r="Z50" i="9"/>
  <c r="B57" i="8" s="1"/>
  <c r="M50" i="9"/>
  <c r="AA49" i="9"/>
  <c r="AB49" i="9" s="1"/>
  <c r="B56" i="7"/>
  <c r="E52" i="9"/>
  <c r="C53" i="9"/>
  <c r="I54" i="7"/>
  <c r="K54" i="7" s="1"/>
  <c r="H54" i="7"/>
  <c r="I51" i="9"/>
  <c r="L51" i="9"/>
  <c r="H61" i="6"/>
  <c r="C62" i="6"/>
  <c r="I61" i="6"/>
  <c r="K61" i="6" s="1"/>
  <c r="M61" i="6" s="1"/>
  <c r="H60" i="5"/>
  <c r="C61" i="5"/>
  <c r="I60" i="5"/>
  <c r="K60" i="5" s="1"/>
  <c r="M60" i="5" s="1"/>
  <c r="Z51" i="9" l="1"/>
  <c r="B58" i="8" s="1"/>
  <c r="M51" i="9"/>
  <c r="I56" i="8"/>
  <c r="K56" i="8" s="1"/>
  <c r="AA50" i="9"/>
  <c r="AB50" i="9" s="1"/>
  <c r="B57" i="7"/>
  <c r="I55" i="7"/>
  <c r="K55" i="7" s="1"/>
  <c r="H55" i="7"/>
  <c r="J51" i="9"/>
  <c r="Y51" i="9"/>
  <c r="F57" i="8"/>
  <c r="C57" i="8"/>
  <c r="G55" i="7"/>
  <c r="L54" i="7"/>
  <c r="M54" i="7" s="1"/>
  <c r="L54" i="8"/>
  <c r="M54" i="8" s="1"/>
  <c r="G55" i="8"/>
  <c r="H54" i="8"/>
  <c r="E53" i="9"/>
  <c r="C54" i="9"/>
  <c r="L52" i="9"/>
  <c r="I52" i="9"/>
  <c r="F56" i="7"/>
  <c r="C56" i="7"/>
  <c r="F52" i="9"/>
  <c r="F53" i="9" s="1"/>
  <c r="H62" i="6"/>
  <c r="C63" i="6"/>
  <c r="I62" i="6"/>
  <c r="H61" i="5"/>
  <c r="C62" i="5"/>
  <c r="I61" i="5"/>
  <c r="K61" i="5" s="1"/>
  <c r="M61" i="5" s="1"/>
  <c r="Y52" i="9" l="1"/>
  <c r="J52" i="9"/>
  <c r="Z52" i="9"/>
  <c r="B59" i="8" s="1"/>
  <c r="M52" i="9"/>
  <c r="I57" i="8"/>
  <c r="K57" i="8" s="1"/>
  <c r="E54" i="9"/>
  <c r="C55" i="9"/>
  <c r="E55" i="9" s="1"/>
  <c r="G56" i="8"/>
  <c r="L55" i="8"/>
  <c r="M55" i="8" s="1"/>
  <c r="H55" i="8"/>
  <c r="I56" i="7"/>
  <c r="K56" i="7" s="1"/>
  <c r="F57" i="7"/>
  <c r="C57" i="7"/>
  <c r="G56" i="7"/>
  <c r="H56" i="7" s="1"/>
  <c r="L55" i="7"/>
  <c r="M55" i="7" s="1"/>
  <c r="I53" i="9"/>
  <c r="L53" i="9"/>
  <c r="AA51" i="9"/>
  <c r="AB51" i="9" s="1"/>
  <c r="B58" i="7"/>
  <c r="F58" i="8"/>
  <c r="C58" i="8"/>
  <c r="K62" i="6"/>
  <c r="M62" i="6" s="1"/>
  <c r="I23" i="4"/>
  <c r="D63" i="6"/>
  <c r="C64" i="6"/>
  <c r="I63" i="6"/>
  <c r="B5" i="5"/>
  <c r="H62" i="5"/>
  <c r="C63" i="5"/>
  <c r="I62" i="5"/>
  <c r="L54" i="9" l="1"/>
  <c r="I54" i="9"/>
  <c r="I58" i="8"/>
  <c r="K58" i="8" s="1"/>
  <c r="I57" i="7"/>
  <c r="K57" i="7" s="1"/>
  <c r="H57" i="7"/>
  <c r="F59" i="8"/>
  <c r="C59" i="8"/>
  <c r="F58" i="7"/>
  <c r="C58" i="7"/>
  <c r="Z53" i="9"/>
  <c r="B60" i="8" s="1"/>
  <c r="M53" i="9"/>
  <c r="Y53" i="9"/>
  <c r="J53" i="9"/>
  <c r="G57" i="8"/>
  <c r="L56" i="8"/>
  <c r="M56" i="8" s="1"/>
  <c r="H56" i="8"/>
  <c r="AA52" i="9"/>
  <c r="AB52" i="9" s="1"/>
  <c r="B59" i="7"/>
  <c r="L56" i="7"/>
  <c r="M56" i="7" s="1"/>
  <c r="G57" i="7"/>
  <c r="I55" i="9"/>
  <c r="L55" i="9"/>
  <c r="F54" i="9"/>
  <c r="F55" i="9" s="1"/>
  <c r="H23" i="4"/>
  <c r="H29" i="4" s="1"/>
  <c r="H31" i="4" s="1"/>
  <c r="I29" i="4"/>
  <c r="I31" i="4" s="1"/>
  <c r="C65" i="6"/>
  <c r="D64" i="6"/>
  <c r="F64" i="6" s="1"/>
  <c r="I64" i="6"/>
  <c r="F63" i="6"/>
  <c r="G63" i="6" s="1"/>
  <c r="E63" i="6"/>
  <c r="K62" i="5"/>
  <c r="M62" i="5" s="1"/>
  <c r="J23" i="3"/>
  <c r="D63" i="5"/>
  <c r="C64" i="5"/>
  <c r="I63" i="5"/>
  <c r="I59" i="8" l="1"/>
  <c r="K59" i="8" s="1"/>
  <c r="Z55" i="9"/>
  <c r="L57" i="7"/>
  <c r="M57" i="7" s="1"/>
  <c r="G58" i="7"/>
  <c r="H58" i="7" s="1"/>
  <c r="Y55" i="9"/>
  <c r="G58" i="8"/>
  <c r="L57" i="8"/>
  <c r="M57" i="8" s="1"/>
  <c r="H57" i="8"/>
  <c r="F60" i="8"/>
  <c r="C60" i="8"/>
  <c r="I58" i="7"/>
  <c r="K58" i="7" s="1"/>
  <c r="Y54" i="9"/>
  <c r="J54" i="9"/>
  <c r="J55" i="9" s="1"/>
  <c r="AA53" i="9"/>
  <c r="AB53" i="9" s="1"/>
  <c r="B60" i="7"/>
  <c r="F59" i="7"/>
  <c r="C59" i="7"/>
  <c r="Z54" i="9"/>
  <c r="B61" i="8" s="1"/>
  <c r="M54" i="9"/>
  <c r="M55" i="9" s="1"/>
  <c r="C66" i="6"/>
  <c r="D65" i="6"/>
  <c r="I65" i="6"/>
  <c r="E64" i="6"/>
  <c r="J63" i="6"/>
  <c r="K63" i="6" s="1"/>
  <c r="H63" i="6"/>
  <c r="G64" i="6"/>
  <c r="L63" i="6"/>
  <c r="C65" i="5"/>
  <c r="D64" i="5"/>
  <c r="F64" i="5" s="1"/>
  <c r="I64" i="5"/>
  <c r="F63" i="5"/>
  <c r="G63" i="5" s="1"/>
  <c r="E63" i="5"/>
  <c r="I23" i="3"/>
  <c r="I29" i="3" s="1"/>
  <c r="I31" i="3" s="1"/>
  <c r="J29" i="3"/>
  <c r="J31" i="3" s="1"/>
  <c r="AA55" i="9" l="1"/>
  <c r="B62" i="7"/>
  <c r="Y57" i="9"/>
  <c r="AA54" i="9"/>
  <c r="AB54" i="9" s="1"/>
  <c r="B61" i="7"/>
  <c r="B62" i="8"/>
  <c r="Z57" i="9"/>
  <c r="F61" i="8"/>
  <c r="C61" i="8"/>
  <c r="G59" i="7"/>
  <c r="L58" i="7"/>
  <c r="M58" i="7" s="1"/>
  <c r="F60" i="7"/>
  <c r="C60" i="7"/>
  <c r="I59" i="7"/>
  <c r="K59" i="7" s="1"/>
  <c r="H59" i="7"/>
  <c r="I60" i="8"/>
  <c r="K60" i="8" s="1"/>
  <c r="G59" i="8"/>
  <c r="L58" i="8"/>
  <c r="M58" i="8" s="1"/>
  <c r="H58" i="8"/>
  <c r="E65" i="6"/>
  <c r="J64" i="6"/>
  <c r="K64" i="6" s="1"/>
  <c r="H64" i="6"/>
  <c r="F65" i="6"/>
  <c r="G65" i="6" s="1"/>
  <c r="L64" i="6"/>
  <c r="D66" i="6"/>
  <c r="F66" i="6" s="1"/>
  <c r="C67" i="6"/>
  <c r="I66" i="6"/>
  <c r="M63" i="6"/>
  <c r="G64" i="5"/>
  <c r="L63" i="5"/>
  <c r="C66" i="5"/>
  <c r="D65" i="5"/>
  <c r="I65" i="5"/>
  <c r="E64" i="5"/>
  <c r="J63" i="5"/>
  <c r="K63" i="5" s="1"/>
  <c r="H63" i="5"/>
  <c r="M64" i="6" l="1"/>
  <c r="M63" i="5"/>
  <c r="I60" i="7"/>
  <c r="K60" i="7" s="1"/>
  <c r="F62" i="8"/>
  <c r="C62" i="8"/>
  <c r="F61" i="7"/>
  <c r="C61" i="7"/>
  <c r="G60" i="8"/>
  <c r="L59" i="8"/>
  <c r="M59" i="8" s="1"/>
  <c r="H59" i="8"/>
  <c r="L59" i="7"/>
  <c r="M59" i="7" s="1"/>
  <c r="G60" i="7"/>
  <c r="H60" i="7" s="1"/>
  <c r="F62" i="7"/>
  <c r="I61" i="8"/>
  <c r="K61" i="8" s="1"/>
  <c r="AB55" i="9"/>
  <c r="D67" i="6"/>
  <c r="C68" i="6"/>
  <c r="I67" i="6"/>
  <c r="G66" i="6"/>
  <c r="L65" i="6"/>
  <c r="E66" i="6"/>
  <c r="J65" i="6"/>
  <c r="K65" i="6" s="1"/>
  <c r="M65" i="6" s="1"/>
  <c r="H65" i="6"/>
  <c r="D66" i="5"/>
  <c r="F66" i="5" s="1"/>
  <c r="C67" i="5"/>
  <c r="I66" i="5"/>
  <c r="F65" i="5"/>
  <c r="G65" i="5" s="1"/>
  <c r="L64" i="5"/>
  <c r="E65" i="5"/>
  <c r="J64" i="5"/>
  <c r="K64" i="5" s="1"/>
  <c r="M64" i="5" s="1"/>
  <c r="H64" i="5"/>
  <c r="G61" i="8" l="1"/>
  <c r="L60" i="8"/>
  <c r="M60" i="8" s="1"/>
  <c r="H60" i="8"/>
  <c r="I61" i="7"/>
  <c r="K61" i="7" s="1"/>
  <c r="C62" i="7"/>
  <c r="C63" i="8"/>
  <c r="I62" i="8"/>
  <c r="K62" i="8" s="1"/>
  <c r="G61" i="7"/>
  <c r="H61" i="7" s="1"/>
  <c r="L60" i="7"/>
  <c r="M60" i="7" s="1"/>
  <c r="L66" i="6"/>
  <c r="C69" i="6"/>
  <c r="D68" i="6"/>
  <c r="F68" i="6" s="1"/>
  <c r="I68" i="6"/>
  <c r="F67" i="6"/>
  <c r="G67" i="6" s="1"/>
  <c r="E67" i="6"/>
  <c r="J66" i="6"/>
  <c r="K66" i="6" s="1"/>
  <c r="H66" i="6"/>
  <c r="G66" i="5"/>
  <c r="L65" i="5"/>
  <c r="E66" i="5"/>
  <c r="J65" i="5"/>
  <c r="K65" i="5" s="1"/>
  <c r="M65" i="5" s="1"/>
  <c r="H65" i="5"/>
  <c r="D67" i="5"/>
  <c r="C68" i="5"/>
  <c r="I67" i="5"/>
  <c r="M66" i="6" l="1"/>
  <c r="D63" i="8"/>
  <c r="I63" i="8"/>
  <c r="C64" i="8"/>
  <c r="C63" i="7"/>
  <c r="I62" i="7"/>
  <c r="K62" i="7" s="1"/>
  <c r="G62" i="7"/>
  <c r="L61" i="7"/>
  <c r="M61" i="7" s="1"/>
  <c r="L61" i="8"/>
  <c r="M61" i="8" s="1"/>
  <c r="G62" i="8"/>
  <c r="H61" i="8"/>
  <c r="G68" i="6"/>
  <c r="L67" i="6"/>
  <c r="D69" i="6"/>
  <c r="F69" i="6" s="1"/>
  <c r="C70" i="6"/>
  <c r="I69" i="6"/>
  <c r="E68" i="6"/>
  <c r="J67" i="6"/>
  <c r="K67" i="6" s="1"/>
  <c r="H67" i="6"/>
  <c r="E67" i="5"/>
  <c r="J66" i="5"/>
  <c r="K66" i="5" s="1"/>
  <c r="H66" i="5"/>
  <c r="D68" i="5"/>
  <c r="F68" i="5" s="1"/>
  <c r="C69" i="5"/>
  <c r="I68" i="5"/>
  <c r="F67" i="5"/>
  <c r="G67" i="5"/>
  <c r="L66" i="5"/>
  <c r="M67" i="6" l="1"/>
  <c r="D63" i="7"/>
  <c r="C64" i="7"/>
  <c r="I63" i="7"/>
  <c r="L62" i="7"/>
  <c r="M62" i="7" s="1"/>
  <c r="L62" i="8"/>
  <c r="M62" i="8" s="1"/>
  <c r="H62" i="8"/>
  <c r="C65" i="8"/>
  <c r="I64" i="8"/>
  <c r="D64" i="8"/>
  <c r="F64" i="8" s="1"/>
  <c r="H62" i="7"/>
  <c r="E63" i="8"/>
  <c r="F63" i="8"/>
  <c r="G63" i="8" s="1"/>
  <c r="D70" i="6"/>
  <c r="C71" i="6"/>
  <c r="I70" i="6"/>
  <c r="G69" i="6"/>
  <c r="L68" i="6"/>
  <c r="E69" i="6"/>
  <c r="J68" i="6"/>
  <c r="K68" i="6" s="1"/>
  <c r="M68" i="6" s="1"/>
  <c r="H68" i="6"/>
  <c r="C70" i="5"/>
  <c r="D69" i="5"/>
  <c r="F69" i="5" s="1"/>
  <c r="I69" i="5"/>
  <c r="G68" i="5"/>
  <c r="L67" i="5"/>
  <c r="M66" i="5"/>
  <c r="E68" i="5"/>
  <c r="J67" i="5"/>
  <c r="K67" i="5" s="1"/>
  <c r="H67" i="5"/>
  <c r="G64" i="8" l="1"/>
  <c r="L63" i="8"/>
  <c r="E64" i="8"/>
  <c r="J63" i="8"/>
  <c r="K63" i="8" s="1"/>
  <c r="M63" i="8" s="1"/>
  <c r="H63" i="8"/>
  <c r="D65" i="8"/>
  <c r="F65" i="8" s="1"/>
  <c r="I65" i="8"/>
  <c r="C66" i="8"/>
  <c r="I64" i="7"/>
  <c r="D64" i="7"/>
  <c r="F64" i="7" s="1"/>
  <c r="C65" i="7"/>
  <c r="F63" i="7"/>
  <c r="G63" i="7" s="1"/>
  <c r="E63" i="7"/>
  <c r="L69" i="6"/>
  <c r="D71" i="6"/>
  <c r="F71" i="6" s="1"/>
  <c r="C72" i="6"/>
  <c r="I71" i="6"/>
  <c r="E70" i="6"/>
  <c r="J69" i="6"/>
  <c r="K69" i="6" s="1"/>
  <c r="H69" i="6"/>
  <c r="F70" i="6"/>
  <c r="G70" i="6" s="1"/>
  <c r="G69" i="5"/>
  <c r="L68" i="5"/>
  <c r="E69" i="5"/>
  <c r="J68" i="5"/>
  <c r="K68" i="5" s="1"/>
  <c r="H68" i="5"/>
  <c r="M67" i="5"/>
  <c r="D70" i="5"/>
  <c r="F70" i="5" s="1"/>
  <c r="C71" i="5"/>
  <c r="I70" i="5"/>
  <c r="M69" i="6" l="1"/>
  <c r="M68" i="5"/>
  <c r="E64" i="7"/>
  <c r="J63" i="7"/>
  <c r="K63" i="7" s="1"/>
  <c r="H63" i="7"/>
  <c r="G64" i="7"/>
  <c r="L63" i="7"/>
  <c r="I66" i="8"/>
  <c r="C67" i="8"/>
  <c r="D66" i="8"/>
  <c r="F66" i="8" s="1"/>
  <c r="G66" i="8" s="1"/>
  <c r="D65" i="7"/>
  <c r="F65" i="7" s="1"/>
  <c r="I65" i="7"/>
  <c r="C66" i="7"/>
  <c r="E65" i="8"/>
  <c r="J64" i="8"/>
  <c r="K64" i="8" s="1"/>
  <c r="M64" i="8" s="1"/>
  <c r="H64" i="8"/>
  <c r="G65" i="8"/>
  <c r="L65" i="8" s="1"/>
  <c r="L64" i="8"/>
  <c r="G71" i="6"/>
  <c r="L70" i="6"/>
  <c r="C73" i="6"/>
  <c r="D72" i="6"/>
  <c r="F72" i="6" s="1"/>
  <c r="I72" i="6"/>
  <c r="E71" i="6"/>
  <c r="J70" i="6"/>
  <c r="K70" i="6" s="1"/>
  <c r="H70" i="6"/>
  <c r="E70" i="5"/>
  <c r="J69" i="5"/>
  <c r="K69" i="5" s="1"/>
  <c r="M69" i="5" s="1"/>
  <c r="H69" i="5"/>
  <c r="D71" i="5"/>
  <c r="F71" i="5" s="1"/>
  <c r="C72" i="5"/>
  <c r="I71" i="5"/>
  <c r="G70" i="5"/>
  <c r="L69" i="5"/>
  <c r="M70" i="6" l="1"/>
  <c r="L66" i="8"/>
  <c r="C68" i="8"/>
  <c r="D67" i="8"/>
  <c r="F67" i="8" s="1"/>
  <c r="G67" i="8" s="1"/>
  <c r="I67" i="8"/>
  <c r="G65" i="7"/>
  <c r="L64" i="7"/>
  <c r="M63" i="7"/>
  <c r="E66" i="8"/>
  <c r="J65" i="8"/>
  <c r="K65" i="8" s="1"/>
  <c r="M65" i="8" s="1"/>
  <c r="H65" i="8"/>
  <c r="D66" i="7"/>
  <c r="F66" i="7" s="1"/>
  <c r="I66" i="7"/>
  <c r="C67" i="7"/>
  <c r="E65" i="7"/>
  <c r="J64" i="7"/>
  <c r="K64" i="7" s="1"/>
  <c r="H64" i="7"/>
  <c r="C74" i="6"/>
  <c r="D73" i="6"/>
  <c r="F73" i="6" s="1"/>
  <c r="I73" i="6"/>
  <c r="E72" i="6"/>
  <c r="J71" i="6"/>
  <c r="K71" i="6" s="1"/>
  <c r="H71" i="6"/>
  <c r="G72" i="6"/>
  <c r="L71" i="6"/>
  <c r="C73" i="5"/>
  <c r="D72" i="5"/>
  <c r="F72" i="5" s="1"/>
  <c r="I72" i="5"/>
  <c r="G71" i="5"/>
  <c r="L70" i="5"/>
  <c r="E71" i="5"/>
  <c r="J70" i="5"/>
  <c r="K70" i="5" s="1"/>
  <c r="H70" i="5"/>
  <c r="L67" i="8" l="1"/>
  <c r="C68" i="7"/>
  <c r="D67" i="7"/>
  <c r="F67" i="7" s="1"/>
  <c r="I67" i="7"/>
  <c r="C69" i="8"/>
  <c r="I68" i="8"/>
  <c r="D68" i="8"/>
  <c r="F68" i="8" s="1"/>
  <c r="G68" i="8" s="1"/>
  <c r="M64" i="7"/>
  <c r="E67" i="8"/>
  <c r="J66" i="8"/>
  <c r="K66" i="8" s="1"/>
  <c r="M66" i="8" s="1"/>
  <c r="H66" i="8"/>
  <c r="L65" i="7"/>
  <c r="G66" i="7"/>
  <c r="E66" i="7"/>
  <c r="J65" i="7"/>
  <c r="K65" i="7" s="1"/>
  <c r="H65" i="7"/>
  <c r="E73" i="6"/>
  <c r="J72" i="6"/>
  <c r="K72" i="6" s="1"/>
  <c r="H72" i="6"/>
  <c r="G73" i="6"/>
  <c r="L72" i="6"/>
  <c r="D74" i="6"/>
  <c r="C75" i="6"/>
  <c r="I74" i="6"/>
  <c r="M71" i="6"/>
  <c r="G72" i="5"/>
  <c r="L71" i="5"/>
  <c r="M70" i="5"/>
  <c r="E72" i="5"/>
  <c r="J71" i="5"/>
  <c r="K71" i="5" s="1"/>
  <c r="M71" i="5" s="1"/>
  <c r="H71" i="5"/>
  <c r="D73" i="5"/>
  <c r="F73" i="5" s="1"/>
  <c r="C74" i="5"/>
  <c r="I73" i="5"/>
  <c r="L68" i="8" l="1"/>
  <c r="G67" i="7"/>
  <c r="L66" i="7"/>
  <c r="C69" i="7"/>
  <c r="I68" i="7"/>
  <c r="D68" i="7"/>
  <c r="F68" i="7" s="1"/>
  <c r="M65" i="7"/>
  <c r="C70" i="8"/>
  <c r="D69" i="8"/>
  <c r="F69" i="8" s="1"/>
  <c r="G69" i="8" s="1"/>
  <c r="I69" i="8"/>
  <c r="E68" i="8"/>
  <c r="J67" i="8"/>
  <c r="K67" i="8" s="1"/>
  <c r="M67" i="8" s="1"/>
  <c r="H67" i="8"/>
  <c r="E67" i="7"/>
  <c r="J66" i="7"/>
  <c r="K66" i="7" s="1"/>
  <c r="H66" i="7"/>
  <c r="F74" i="6"/>
  <c r="K37" i="4"/>
  <c r="E20" i="1" s="1"/>
  <c r="G74" i="6"/>
  <c r="L73" i="6"/>
  <c r="K23" i="4"/>
  <c r="C76" i="6"/>
  <c r="D75" i="6"/>
  <c r="I75" i="6"/>
  <c r="M72" i="6"/>
  <c r="E74" i="6"/>
  <c r="J73" i="6"/>
  <c r="K73" i="6" s="1"/>
  <c r="H73" i="6"/>
  <c r="E73" i="5"/>
  <c r="J72" i="5"/>
  <c r="K72" i="5" s="1"/>
  <c r="H72" i="5"/>
  <c r="D74" i="5"/>
  <c r="C75" i="5"/>
  <c r="I74" i="5"/>
  <c r="G73" i="5"/>
  <c r="L72" i="5"/>
  <c r="M73" i="6" l="1"/>
  <c r="L69" i="8"/>
  <c r="E69" i="8"/>
  <c r="J68" i="8"/>
  <c r="K68" i="8" s="1"/>
  <c r="M68" i="8" s="1"/>
  <c r="H68" i="8"/>
  <c r="C70" i="7"/>
  <c r="D69" i="7"/>
  <c r="F69" i="7" s="1"/>
  <c r="I69" i="7"/>
  <c r="L67" i="7"/>
  <c r="G68" i="7"/>
  <c r="M66" i="7"/>
  <c r="D70" i="8"/>
  <c r="F70" i="8" s="1"/>
  <c r="G70" i="8" s="1"/>
  <c r="I70" i="8"/>
  <c r="C71" i="8"/>
  <c r="E68" i="7"/>
  <c r="J67" i="7"/>
  <c r="K67" i="7" s="1"/>
  <c r="H67" i="7"/>
  <c r="J23" i="4"/>
  <c r="L74" i="6"/>
  <c r="K25" i="4" s="1"/>
  <c r="J25" i="4" s="1"/>
  <c r="F75" i="6"/>
  <c r="G75" i="6" s="1"/>
  <c r="C77" i="6"/>
  <c r="D76" i="6"/>
  <c r="F76" i="6" s="1"/>
  <c r="I76" i="6"/>
  <c r="J37" i="4"/>
  <c r="E75" i="6"/>
  <c r="J74" i="6"/>
  <c r="H74" i="6"/>
  <c r="D75" i="5"/>
  <c r="C76" i="5"/>
  <c r="I75" i="5"/>
  <c r="F74" i="5"/>
  <c r="G74" i="5" s="1"/>
  <c r="L37" i="3"/>
  <c r="M72" i="5"/>
  <c r="L73" i="5"/>
  <c r="E74" i="5"/>
  <c r="J73" i="5"/>
  <c r="K73" i="5" s="1"/>
  <c r="H73" i="5"/>
  <c r="L23" i="3"/>
  <c r="M67" i="7" l="1"/>
  <c r="M73" i="5"/>
  <c r="L70" i="8"/>
  <c r="D71" i="8"/>
  <c r="F71" i="8" s="1"/>
  <c r="G71" i="8" s="1"/>
  <c r="I71" i="8"/>
  <c r="C72" i="8"/>
  <c r="D70" i="7"/>
  <c r="F70" i="7" s="1"/>
  <c r="G70" i="7" s="1"/>
  <c r="C71" i="7"/>
  <c r="I70" i="7"/>
  <c r="E70" i="8"/>
  <c r="J69" i="8"/>
  <c r="K69" i="8" s="1"/>
  <c r="M69" i="8" s="1"/>
  <c r="H69" i="8"/>
  <c r="G69" i="7"/>
  <c r="L69" i="7" s="1"/>
  <c r="L68" i="7"/>
  <c r="E69" i="7"/>
  <c r="J68" i="7"/>
  <c r="K68" i="7" s="1"/>
  <c r="H68" i="7"/>
  <c r="G76" i="6"/>
  <c r="L75" i="6"/>
  <c r="E76" i="6"/>
  <c r="J75" i="6"/>
  <c r="K75" i="6" s="1"/>
  <c r="M75" i="6" s="1"/>
  <c r="H75" i="6"/>
  <c r="D77" i="6"/>
  <c r="C78" i="6"/>
  <c r="I77" i="6"/>
  <c r="K24" i="4"/>
  <c r="K74" i="6"/>
  <c r="M74" i="6" s="1"/>
  <c r="L74" i="5"/>
  <c r="L25" i="3" s="1"/>
  <c r="K25" i="3" s="1"/>
  <c r="K37" i="3"/>
  <c r="E75" i="5"/>
  <c r="J74" i="5"/>
  <c r="H74" i="5"/>
  <c r="D76" i="5"/>
  <c r="F76" i="5" s="1"/>
  <c r="C77" i="5"/>
  <c r="I76" i="5"/>
  <c r="F75" i="5"/>
  <c r="G75" i="5" s="1"/>
  <c r="K23" i="3"/>
  <c r="L71" i="8" l="1"/>
  <c r="L70" i="7"/>
  <c r="J69" i="7"/>
  <c r="K69" i="7" s="1"/>
  <c r="M69" i="7" s="1"/>
  <c r="E70" i="7"/>
  <c r="H69" i="7"/>
  <c r="I72" i="8"/>
  <c r="C73" i="8"/>
  <c r="D72" i="8"/>
  <c r="J70" i="8"/>
  <c r="K70" i="8" s="1"/>
  <c r="M70" i="8" s="1"/>
  <c r="E71" i="8"/>
  <c r="H70" i="8"/>
  <c r="C72" i="7"/>
  <c r="I71" i="7"/>
  <c r="D71" i="7"/>
  <c r="M68" i="7"/>
  <c r="D78" i="6"/>
  <c r="F78" i="6" s="1"/>
  <c r="C79" i="6"/>
  <c r="I78" i="6"/>
  <c r="F77" i="6"/>
  <c r="G77" i="6" s="1"/>
  <c r="E77" i="6"/>
  <c r="J76" i="6"/>
  <c r="K76" i="6" s="1"/>
  <c r="H76" i="6"/>
  <c r="L76" i="6"/>
  <c r="J24" i="4"/>
  <c r="J29" i="4" s="1"/>
  <c r="J31" i="4" s="1"/>
  <c r="K29" i="4"/>
  <c r="K31" i="4" s="1"/>
  <c r="E76" i="5"/>
  <c r="J75" i="5"/>
  <c r="K75" i="5" s="1"/>
  <c r="M75" i="5" s="1"/>
  <c r="H75" i="5"/>
  <c r="C78" i="5"/>
  <c r="D77" i="5"/>
  <c r="I77" i="5"/>
  <c r="G76" i="5"/>
  <c r="L75" i="5"/>
  <c r="L24" i="3"/>
  <c r="K74" i="5"/>
  <c r="M74" i="5" s="1"/>
  <c r="C73" i="7" l="1"/>
  <c r="I72" i="7"/>
  <c r="D72" i="7"/>
  <c r="F72" i="7" s="1"/>
  <c r="J70" i="7"/>
  <c r="K70" i="7" s="1"/>
  <c r="M70" i="7" s="1"/>
  <c r="E71" i="7"/>
  <c r="H70" i="7"/>
  <c r="J71" i="8"/>
  <c r="K71" i="8" s="1"/>
  <c r="M71" i="8" s="1"/>
  <c r="E72" i="8"/>
  <c r="H71" i="8"/>
  <c r="F72" i="8"/>
  <c r="G72" i="8" s="1"/>
  <c r="F71" i="7"/>
  <c r="G71" i="7" s="1"/>
  <c r="C74" i="8"/>
  <c r="I73" i="8"/>
  <c r="D73" i="8"/>
  <c r="F73" i="8" s="1"/>
  <c r="G78" i="6"/>
  <c r="L77" i="6"/>
  <c r="M76" i="6"/>
  <c r="E78" i="6"/>
  <c r="J77" i="6"/>
  <c r="K77" i="6" s="1"/>
  <c r="H77" i="6"/>
  <c r="D79" i="6"/>
  <c r="C80" i="6"/>
  <c r="I79" i="6"/>
  <c r="L76" i="5"/>
  <c r="F77" i="5"/>
  <c r="G77" i="5" s="1"/>
  <c r="K24" i="3"/>
  <c r="K29" i="3" s="1"/>
  <c r="K31" i="3" s="1"/>
  <c r="L29" i="3"/>
  <c r="L31" i="3" s="1"/>
  <c r="E77" i="5"/>
  <c r="J76" i="5"/>
  <c r="K76" i="5" s="1"/>
  <c r="H76" i="5"/>
  <c r="D78" i="5"/>
  <c r="F78" i="5" s="1"/>
  <c r="C79" i="5"/>
  <c r="I78" i="5"/>
  <c r="M77" i="6" l="1"/>
  <c r="M76" i="5"/>
  <c r="E72" i="7"/>
  <c r="J71" i="7"/>
  <c r="K71" i="7" s="1"/>
  <c r="H71" i="7"/>
  <c r="D74" i="8"/>
  <c r="C75" i="8"/>
  <c r="I74" i="8"/>
  <c r="L71" i="7"/>
  <c r="G72" i="7"/>
  <c r="G73" i="8"/>
  <c r="L73" i="8" s="1"/>
  <c r="L72" i="8"/>
  <c r="E73" i="8"/>
  <c r="J72" i="8"/>
  <c r="K72" i="8" s="1"/>
  <c r="M72" i="8" s="1"/>
  <c r="H72" i="8"/>
  <c r="D73" i="7"/>
  <c r="C74" i="7"/>
  <c r="I73" i="7"/>
  <c r="C81" i="6"/>
  <c r="D80" i="6"/>
  <c r="F80" i="6" s="1"/>
  <c r="I80" i="6"/>
  <c r="E79" i="6"/>
  <c r="J78" i="6"/>
  <c r="K78" i="6" s="1"/>
  <c r="H78" i="6"/>
  <c r="F79" i="6"/>
  <c r="G79" i="6"/>
  <c r="L78" i="6"/>
  <c r="G78" i="5"/>
  <c r="L77" i="5"/>
  <c r="E78" i="5"/>
  <c r="J77" i="5"/>
  <c r="K77" i="5" s="1"/>
  <c r="M77" i="5" s="1"/>
  <c r="H77" i="5"/>
  <c r="D79" i="5"/>
  <c r="C80" i="5"/>
  <c r="I79" i="5"/>
  <c r="E74" i="8" l="1"/>
  <c r="J73" i="8"/>
  <c r="K73" i="8" s="1"/>
  <c r="M73" i="8" s="1"/>
  <c r="H73" i="8"/>
  <c r="F74" i="8"/>
  <c r="G74" i="8" s="1"/>
  <c r="L74" i="8" s="1"/>
  <c r="K38" i="4"/>
  <c r="I75" i="8"/>
  <c r="D75" i="8"/>
  <c r="F75" i="8" s="1"/>
  <c r="G75" i="8" s="1"/>
  <c r="C76" i="8"/>
  <c r="C75" i="7"/>
  <c r="D74" i="7"/>
  <c r="F74" i="7" s="1"/>
  <c r="I74" i="7"/>
  <c r="F73" i="7"/>
  <c r="G73" i="7" s="1"/>
  <c r="L73" i="7" s="1"/>
  <c r="L38" i="3"/>
  <c r="M71" i="7"/>
  <c r="L72" i="7"/>
  <c r="J72" i="7"/>
  <c r="K72" i="7" s="1"/>
  <c r="M72" i="7" s="1"/>
  <c r="E73" i="7"/>
  <c r="H72" i="7"/>
  <c r="E80" i="6"/>
  <c r="J79" i="6"/>
  <c r="K79" i="6" s="1"/>
  <c r="H79" i="6"/>
  <c r="G80" i="6"/>
  <c r="L79" i="6"/>
  <c r="C82" i="6"/>
  <c r="D81" i="6"/>
  <c r="I81" i="6"/>
  <c r="M78" i="6"/>
  <c r="E79" i="5"/>
  <c r="J78" i="5"/>
  <c r="K78" i="5" s="1"/>
  <c r="H78" i="5"/>
  <c r="F79" i="5"/>
  <c r="G79" i="5" s="1"/>
  <c r="C81" i="5"/>
  <c r="D80" i="5"/>
  <c r="F80" i="5" s="1"/>
  <c r="I80" i="5"/>
  <c r="L78" i="5"/>
  <c r="K38" i="3" l="1"/>
  <c r="K39" i="3" s="1"/>
  <c r="K41" i="3" s="1"/>
  <c r="L39" i="3"/>
  <c r="L41" i="3" s="1"/>
  <c r="E74" i="7"/>
  <c r="J73" i="7"/>
  <c r="K73" i="7" s="1"/>
  <c r="M73" i="7" s="1"/>
  <c r="H73" i="7"/>
  <c r="G74" i="7"/>
  <c r="L74" i="7" s="1"/>
  <c r="L75" i="8"/>
  <c r="I75" i="7"/>
  <c r="D75" i="7"/>
  <c r="F75" i="7" s="1"/>
  <c r="C76" i="7"/>
  <c r="C77" i="8"/>
  <c r="D76" i="8"/>
  <c r="F76" i="8" s="1"/>
  <c r="G76" i="8" s="1"/>
  <c r="I76" i="8"/>
  <c r="K39" i="4"/>
  <c r="K41" i="4" s="1"/>
  <c r="J38" i="4"/>
  <c r="J39" i="4" s="1"/>
  <c r="J41" i="4" s="1"/>
  <c r="J74" i="8"/>
  <c r="K74" i="8" s="1"/>
  <c r="M74" i="8" s="1"/>
  <c r="E75" i="8"/>
  <c r="H74" i="8"/>
  <c r="L80" i="6"/>
  <c r="F81" i="6"/>
  <c r="G81" i="6" s="1"/>
  <c r="M79" i="6"/>
  <c r="D82" i="6"/>
  <c r="F82" i="6" s="1"/>
  <c r="C83" i="6"/>
  <c r="I82" i="6"/>
  <c r="E81" i="6"/>
  <c r="J80" i="6"/>
  <c r="K80" i="6" s="1"/>
  <c r="H80" i="6"/>
  <c r="G80" i="5"/>
  <c r="L79" i="5"/>
  <c r="D81" i="5"/>
  <c r="C82" i="5"/>
  <c r="I81" i="5"/>
  <c r="M78" i="5"/>
  <c r="E80" i="5"/>
  <c r="J79" i="5"/>
  <c r="K79" i="5" s="1"/>
  <c r="H79" i="5"/>
  <c r="M80" i="6" l="1"/>
  <c r="M79" i="5"/>
  <c r="L76" i="8"/>
  <c r="I77" i="8"/>
  <c r="C78" i="8"/>
  <c r="D77" i="8"/>
  <c r="F77" i="8" s="1"/>
  <c r="G77" i="8" s="1"/>
  <c r="J75" i="8"/>
  <c r="K75" i="8" s="1"/>
  <c r="M75" i="8" s="1"/>
  <c r="E76" i="8"/>
  <c r="H75" i="8"/>
  <c r="C77" i="7"/>
  <c r="I76" i="7"/>
  <c r="D76" i="7"/>
  <c r="F76" i="7" s="1"/>
  <c r="E75" i="7"/>
  <c r="J74" i="7"/>
  <c r="K74" i="7" s="1"/>
  <c r="M74" i="7" s="1"/>
  <c r="H74" i="7"/>
  <c r="J43" i="4"/>
  <c r="K43" i="4" s="1"/>
  <c r="K44" i="4" s="1"/>
  <c r="G75" i="7"/>
  <c r="K43" i="3"/>
  <c r="L43" i="3" s="1"/>
  <c r="L44" i="3" s="1"/>
  <c r="K44" i="3"/>
  <c r="G82" i="6"/>
  <c r="L81" i="6"/>
  <c r="D83" i="6"/>
  <c r="F83" i="6" s="1"/>
  <c r="C84" i="6"/>
  <c r="I83" i="6"/>
  <c r="E82" i="6"/>
  <c r="J81" i="6"/>
  <c r="K81" i="6" s="1"/>
  <c r="H81" i="6"/>
  <c r="D82" i="5"/>
  <c r="F82" i="5" s="1"/>
  <c r="C83" i="5"/>
  <c r="I82" i="5"/>
  <c r="F81" i="5"/>
  <c r="G81" i="5" s="1"/>
  <c r="E81" i="5"/>
  <c r="J80" i="5"/>
  <c r="K80" i="5" s="1"/>
  <c r="H80" i="5"/>
  <c r="L80" i="5"/>
  <c r="M81" i="6" l="1"/>
  <c r="L77" i="8"/>
  <c r="G76" i="7"/>
  <c r="L75" i="7"/>
  <c r="J76" i="8"/>
  <c r="K76" i="8" s="1"/>
  <c r="M76" i="8" s="1"/>
  <c r="E77" i="8"/>
  <c r="H76" i="8"/>
  <c r="J44" i="4"/>
  <c r="C78" i="7"/>
  <c r="I77" i="7"/>
  <c r="D77" i="7"/>
  <c r="F77" i="7" s="1"/>
  <c r="E76" i="7"/>
  <c r="J75" i="7"/>
  <c r="K75" i="7" s="1"/>
  <c r="H75" i="7"/>
  <c r="C79" i="8"/>
  <c r="D78" i="8"/>
  <c r="F78" i="8" s="1"/>
  <c r="G78" i="8" s="1"/>
  <c r="I78" i="8"/>
  <c r="C85" i="6"/>
  <c r="D84" i="6"/>
  <c r="F84" i="6" s="1"/>
  <c r="I84" i="6"/>
  <c r="E83" i="6"/>
  <c r="J82" i="6"/>
  <c r="K82" i="6" s="1"/>
  <c r="M82" i="6" s="1"/>
  <c r="H82" i="6"/>
  <c r="G83" i="6"/>
  <c r="L82" i="6"/>
  <c r="G82" i="5"/>
  <c r="L81" i="5"/>
  <c r="M80" i="5"/>
  <c r="C84" i="5"/>
  <c r="D83" i="5"/>
  <c r="I83" i="5"/>
  <c r="E82" i="5"/>
  <c r="J81" i="5"/>
  <c r="K81" i="5" s="1"/>
  <c r="H81" i="5"/>
  <c r="M75" i="7" l="1"/>
  <c r="M81" i="5"/>
  <c r="J76" i="7"/>
  <c r="K76" i="7" s="1"/>
  <c r="E77" i="7"/>
  <c r="H76" i="7"/>
  <c r="G77" i="7"/>
  <c r="L76" i="7"/>
  <c r="J77" i="8"/>
  <c r="K77" i="8" s="1"/>
  <c r="M77" i="8" s="1"/>
  <c r="E78" i="8"/>
  <c r="H77" i="8"/>
  <c r="L78" i="8"/>
  <c r="C80" i="8"/>
  <c r="D79" i="8"/>
  <c r="F79" i="8" s="1"/>
  <c r="G79" i="8" s="1"/>
  <c r="L79" i="8" s="1"/>
  <c r="I79" i="8"/>
  <c r="D78" i="7"/>
  <c r="F78" i="7" s="1"/>
  <c r="I78" i="7"/>
  <c r="C79" i="7"/>
  <c r="G84" i="6"/>
  <c r="L83" i="6"/>
  <c r="E84" i="6"/>
  <c r="J83" i="6"/>
  <c r="K83" i="6" s="1"/>
  <c r="M83" i="6" s="1"/>
  <c r="H83" i="6"/>
  <c r="D85" i="6"/>
  <c r="F85" i="6" s="1"/>
  <c r="C86" i="6"/>
  <c r="I85" i="6"/>
  <c r="C85" i="5"/>
  <c r="D84" i="5"/>
  <c r="F84" i="5" s="1"/>
  <c r="I84" i="5"/>
  <c r="E83" i="5"/>
  <c r="J82" i="5"/>
  <c r="K82" i="5" s="1"/>
  <c r="H82" i="5"/>
  <c r="F83" i="5"/>
  <c r="G83" i="5" s="1"/>
  <c r="L82" i="5"/>
  <c r="G78" i="7" l="1"/>
  <c r="L77" i="7"/>
  <c r="E79" i="8"/>
  <c r="J78" i="8"/>
  <c r="K78" i="8" s="1"/>
  <c r="M78" i="8" s="1"/>
  <c r="H78" i="8"/>
  <c r="I80" i="8"/>
  <c r="D80" i="8"/>
  <c r="F80" i="8" s="1"/>
  <c r="G80" i="8" s="1"/>
  <c r="C81" i="8"/>
  <c r="E78" i="7"/>
  <c r="J77" i="7"/>
  <c r="K77" i="7" s="1"/>
  <c r="M77" i="7" s="1"/>
  <c r="H77" i="7"/>
  <c r="I79" i="7"/>
  <c r="C80" i="7"/>
  <c r="D79" i="7"/>
  <c r="F79" i="7" s="1"/>
  <c r="M76" i="7"/>
  <c r="E85" i="6"/>
  <c r="J84" i="6"/>
  <c r="K84" i="6" s="1"/>
  <c r="H84" i="6"/>
  <c r="D86" i="6"/>
  <c r="C87" i="6"/>
  <c r="I86" i="6"/>
  <c r="G85" i="6"/>
  <c r="L84" i="6"/>
  <c r="M82" i="5"/>
  <c r="E84" i="5"/>
  <c r="J83" i="5"/>
  <c r="K83" i="5" s="1"/>
  <c r="H83" i="5"/>
  <c r="G84" i="5"/>
  <c r="L83" i="5"/>
  <c r="D85" i="5"/>
  <c r="F85" i="5" s="1"/>
  <c r="C86" i="5"/>
  <c r="I85" i="5"/>
  <c r="M84" i="6" l="1"/>
  <c r="E80" i="8"/>
  <c r="J79" i="8"/>
  <c r="K79" i="8" s="1"/>
  <c r="M79" i="8" s="1"/>
  <c r="H79" i="8"/>
  <c r="D81" i="8"/>
  <c r="F81" i="8" s="1"/>
  <c r="G81" i="8" s="1"/>
  <c r="C82" i="8"/>
  <c r="I81" i="8"/>
  <c r="L80" i="8"/>
  <c r="C81" i="7"/>
  <c r="D80" i="7"/>
  <c r="F80" i="7" s="1"/>
  <c r="I80" i="7"/>
  <c r="E79" i="7"/>
  <c r="J78" i="7"/>
  <c r="K78" i="7" s="1"/>
  <c r="H78" i="7"/>
  <c r="L78" i="7"/>
  <c r="G79" i="7"/>
  <c r="D87" i="6"/>
  <c r="F87" i="6" s="1"/>
  <c r="C88" i="6"/>
  <c r="I87" i="6"/>
  <c r="L85" i="6"/>
  <c r="E86" i="6"/>
  <c r="J85" i="6"/>
  <c r="K85" i="6" s="1"/>
  <c r="H85" i="6"/>
  <c r="M23" i="4"/>
  <c r="F86" i="6"/>
  <c r="G86" i="6" s="1"/>
  <c r="M37" i="4"/>
  <c r="G20" i="1" s="1"/>
  <c r="D86" i="5"/>
  <c r="C87" i="5"/>
  <c r="I86" i="5"/>
  <c r="G85" i="5"/>
  <c r="L84" i="5"/>
  <c r="M83" i="5"/>
  <c r="E85" i="5"/>
  <c r="J84" i="5"/>
  <c r="K84" i="5" s="1"/>
  <c r="H84" i="5"/>
  <c r="M78" i="7" l="1"/>
  <c r="M84" i="5"/>
  <c r="L81" i="8"/>
  <c r="E80" i="7"/>
  <c r="J79" i="7"/>
  <c r="K79" i="7" s="1"/>
  <c r="M79" i="7" s="1"/>
  <c r="H79" i="7"/>
  <c r="D82" i="8"/>
  <c r="F82" i="8" s="1"/>
  <c r="G82" i="8" s="1"/>
  <c r="C83" i="8"/>
  <c r="I82" i="8"/>
  <c r="G80" i="7"/>
  <c r="L79" i="7"/>
  <c r="I81" i="7"/>
  <c r="D81" i="7"/>
  <c r="F81" i="7" s="1"/>
  <c r="C82" i="7"/>
  <c r="E81" i="8"/>
  <c r="J80" i="8"/>
  <c r="K80" i="8" s="1"/>
  <c r="M80" i="8" s="1"/>
  <c r="H80" i="8"/>
  <c r="G87" i="6"/>
  <c r="L86" i="6"/>
  <c r="M25" i="4" s="1"/>
  <c r="L25" i="4" s="1"/>
  <c r="L37" i="4"/>
  <c r="L23" i="4"/>
  <c r="M85" i="6"/>
  <c r="D88" i="6"/>
  <c r="F88" i="6" s="1"/>
  <c r="C89" i="6"/>
  <c r="I88" i="6"/>
  <c r="E87" i="6"/>
  <c r="J86" i="6"/>
  <c r="H86" i="6"/>
  <c r="N23" i="3"/>
  <c r="C88" i="5"/>
  <c r="D87" i="5"/>
  <c r="F87" i="5" s="1"/>
  <c r="I87" i="5"/>
  <c r="L85" i="5"/>
  <c r="E86" i="5"/>
  <c r="J85" i="5"/>
  <c r="K85" i="5" s="1"/>
  <c r="H85" i="5"/>
  <c r="F86" i="5"/>
  <c r="G86" i="5" s="1"/>
  <c r="N37" i="3"/>
  <c r="M85" i="5" l="1"/>
  <c r="L82" i="8"/>
  <c r="E82" i="8"/>
  <c r="J81" i="8"/>
  <c r="K81" i="8" s="1"/>
  <c r="M81" i="8" s="1"/>
  <c r="H81" i="8"/>
  <c r="C84" i="8"/>
  <c r="I83" i="8"/>
  <c r="D83" i="8"/>
  <c r="F83" i="8" s="1"/>
  <c r="G83" i="8" s="1"/>
  <c r="D82" i="7"/>
  <c r="F82" i="7" s="1"/>
  <c r="I82" i="7"/>
  <c r="C83" i="7"/>
  <c r="E81" i="7"/>
  <c r="J80" i="7"/>
  <c r="K80" i="7" s="1"/>
  <c r="H80" i="7"/>
  <c r="L80" i="7"/>
  <c r="G81" i="7"/>
  <c r="C90" i="6"/>
  <c r="D89" i="6"/>
  <c r="F89" i="6" s="1"/>
  <c r="I89" i="6"/>
  <c r="E88" i="6"/>
  <c r="J87" i="6"/>
  <c r="K87" i="6" s="1"/>
  <c r="H87" i="6"/>
  <c r="G88" i="6"/>
  <c r="L87" i="6"/>
  <c r="M24" i="4"/>
  <c r="K86" i="6"/>
  <c r="M86" i="6" s="1"/>
  <c r="G87" i="5"/>
  <c r="L86" i="5"/>
  <c r="N25" i="3" s="1"/>
  <c r="M25" i="3" s="1"/>
  <c r="M37" i="3"/>
  <c r="C89" i="5"/>
  <c r="D88" i="5"/>
  <c r="F88" i="5" s="1"/>
  <c r="I88" i="5"/>
  <c r="M23" i="3"/>
  <c r="E87" i="5"/>
  <c r="J86" i="5"/>
  <c r="H86" i="5"/>
  <c r="M80" i="7" l="1"/>
  <c r="L83" i="8"/>
  <c r="E82" i="7"/>
  <c r="J81" i="7"/>
  <c r="K81" i="7" s="1"/>
  <c r="H81" i="7"/>
  <c r="C85" i="8"/>
  <c r="D84" i="8"/>
  <c r="F84" i="8" s="1"/>
  <c r="G84" i="8" s="1"/>
  <c r="I84" i="8"/>
  <c r="D83" i="7"/>
  <c r="C84" i="7"/>
  <c r="I83" i="7"/>
  <c r="E83" i="8"/>
  <c r="J82" i="8"/>
  <c r="K82" i="8" s="1"/>
  <c r="M82" i="8" s="1"/>
  <c r="H82" i="8"/>
  <c r="G82" i="7"/>
  <c r="L81" i="7"/>
  <c r="G89" i="6"/>
  <c r="L88" i="6"/>
  <c r="L24" i="4"/>
  <c r="L29" i="4" s="1"/>
  <c r="L31" i="4" s="1"/>
  <c r="M29" i="4"/>
  <c r="M31" i="4" s="1"/>
  <c r="M87" i="6"/>
  <c r="E89" i="6"/>
  <c r="J88" i="6"/>
  <c r="K88" i="6" s="1"/>
  <c r="H88" i="6"/>
  <c r="D90" i="6"/>
  <c r="F90" i="6" s="1"/>
  <c r="C91" i="6"/>
  <c r="I90" i="6"/>
  <c r="N24" i="3"/>
  <c r="K86" i="5"/>
  <c r="M86" i="5" s="1"/>
  <c r="D89" i="5"/>
  <c r="F89" i="5" s="1"/>
  <c r="C90" i="5"/>
  <c r="I89" i="5"/>
  <c r="E88" i="5"/>
  <c r="J87" i="5"/>
  <c r="K87" i="5" s="1"/>
  <c r="H87" i="5"/>
  <c r="G88" i="5"/>
  <c r="L87" i="5"/>
  <c r="M81" i="7" l="1"/>
  <c r="L84" i="8"/>
  <c r="E84" i="8"/>
  <c r="J83" i="8"/>
  <c r="K83" i="8" s="1"/>
  <c r="M83" i="8" s="1"/>
  <c r="H83" i="8"/>
  <c r="C86" i="8"/>
  <c r="D85" i="8"/>
  <c r="F85" i="8" s="1"/>
  <c r="G85" i="8" s="1"/>
  <c r="I85" i="8"/>
  <c r="C85" i="7"/>
  <c r="D84" i="7"/>
  <c r="F84" i="7" s="1"/>
  <c r="I84" i="7"/>
  <c r="E83" i="7"/>
  <c r="J82" i="7"/>
  <c r="K82" i="7" s="1"/>
  <c r="H82" i="7"/>
  <c r="L82" i="7"/>
  <c r="F83" i="7"/>
  <c r="G83" i="7" s="1"/>
  <c r="C92" i="6"/>
  <c r="D91" i="6"/>
  <c r="F91" i="6" s="1"/>
  <c r="I91" i="6"/>
  <c r="M88" i="6"/>
  <c r="E90" i="6"/>
  <c r="J89" i="6"/>
  <c r="K89" i="6" s="1"/>
  <c r="H89" i="6"/>
  <c r="G90" i="6"/>
  <c r="L89" i="6"/>
  <c r="C91" i="5"/>
  <c r="D90" i="5"/>
  <c r="F90" i="5" s="1"/>
  <c r="I90" i="5"/>
  <c r="M87" i="5"/>
  <c r="G89" i="5"/>
  <c r="L88" i="5"/>
  <c r="E89" i="5"/>
  <c r="J88" i="5"/>
  <c r="K88" i="5" s="1"/>
  <c r="H88" i="5"/>
  <c r="M24" i="3"/>
  <c r="M29" i="3" s="1"/>
  <c r="M31" i="3" s="1"/>
  <c r="N29" i="3"/>
  <c r="N31" i="3" s="1"/>
  <c r="M88" i="5" l="1"/>
  <c r="M82" i="7"/>
  <c r="G84" i="7"/>
  <c r="L83" i="7"/>
  <c r="L85" i="8"/>
  <c r="I86" i="8"/>
  <c r="C87" i="8"/>
  <c r="D86" i="8"/>
  <c r="F86" i="8" s="1"/>
  <c r="G86" i="8" s="1"/>
  <c r="J83" i="7"/>
  <c r="K83" i="7" s="1"/>
  <c r="E84" i="7"/>
  <c r="H83" i="7"/>
  <c r="I85" i="7"/>
  <c r="D85" i="7"/>
  <c r="C86" i="7"/>
  <c r="E85" i="8"/>
  <c r="J84" i="8"/>
  <c r="K84" i="8" s="1"/>
  <c r="M84" i="8" s="1"/>
  <c r="H84" i="8"/>
  <c r="G91" i="6"/>
  <c r="L90" i="6"/>
  <c r="M89" i="6"/>
  <c r="C93" i="6"/>
  <c r="D92" i="6"/>
  <c r="F92" i="6" s="1"/>
  <c r="I92" i="6"/>
  <c r="E91" i="6"/>
  <c r="J90" i="6"/>
  <c r="K90" i="6" s="1"/>
  <c r="H90" i="6"/>
  <c r="E90" i="5"/>
  <c r="J89" i="5"/>
  <c r="K89" i="5" s="1"/>
  <c r="H89" i="5"/>
  <c r="C92" i="5"/>
  <c r="D91" i="5"/>
  <c r="F91" i="5" s="1"/>
  <c r="I91" i="5"/>
  <c r="G90" i="5"/>
  <c r="L89" i="5"/>
  <c r="M90" i="6" l="1"/>
  <c r="L86" i="8"/>
  <c r="C87" i="7"/>
  <c r="I86" i="7"/>
  <c r="D86" i="7"/>
  <c r="F86" i="7" s="1"/>
  <c r="E86" i="8"/>
  <c r="J85" i="8"/>
  <c r="K85" i="8" s="1"/>
  <c r="M85" i="8" s="1"/>
  <c r="H85" i="8"/>
  <c r="J84" i="7"/>
  <c r="K84" i="7" s="1"/>
  <c r="E85" i="7"/>
  <c r="H84" i="7"/>
  <c r="D87" i="8"/>
  <c r="F87" i="8" s="1"/>
  <c r="G87" i="8" s="1"/>
  <c r="C88" i="8"/>
  <c r="I87" i="8"/>
  <c r="F85" i="7"/>
  <c r="G85" i="7" s="1"/>
  <c r="M38" i="4"/>
  <c r="M83" i="7"/>
  <c r="L84" i="7"/>
  <c r="G92" i="6"/>
  <c r="L91" i="6"/>
  <c r="D93" i="6"/>
  <c r="F93" i="6" s="1"/>
  <c r="C94" i="6"/>
  <c r="I93" i="6"/>
  <c r="E92" i="6"/>
  <c r="J91" i="6"/>
  <c r="K91" i="6" s="1"/>
  <c r="H91" i="6"/>
  <c r="G91" i="5"/>
  <c r="L90" i="5"/>
  <c r="D92" i="5"/>
  <c r="F92" i="5" s="1"/>
  <c r="C93" i="5"/>
  <c r="I92" i="5"/>
  <c r="M89" i="5"/>
  <c r="E91" i="5"/>
  <c r="J90" i="5"/>
  <c r="K90" i="5" s="1"/>
  <c r="H90" i="5"/>
  <c r="M91" i="6" l="1"/>
  <c r="M90" i="5"/>
  <c r="L87" i="8"/>
  <c r="C89" i="8"/>
  <c r="D88" i="8"/>
  <c r="F88" i="8" s="1"/>
  <c r="G88" i="8" s="1"/>
  <c r="I88" i="8"/>
  <c r="E87" i="8"/>
  <c r="J86" i="8"/>
  <c r="K86" i="8" s="1"/>
  <c r="M86" i="8" s="1"/>
  <c r="H86" i="8"/>
  <c r="L85" i="7"/>
  <c r="G86" i="7"/>
  <c r="J85" i="7"/>
  <c r="K85" i="7" s="1"/>
  <c r="M85" i="7" s="1"/>
  <c r="E86" i="7"/>
  <c r="H85" i="7"/>
  <c r="M84" i="7"/>
  <c r="L38" i="4"/>
  <c r="L39" i="4" s="1"/>
  <c r="L41" i="4" s="1"/>
  <c r="M39" i="4"/>
  <c r="M41" i="4" s="1"/>
  <c r="I87" i="7"/>
  <c r="D87" i="7"/>
  <c r="F87" i="7" s="1"/>
  <c r="C88" i="7"/>
  <c r="N38" i="3"/>
  <c r="D94" i="6"/>
  <c r="F94" i="6" s="1"/>
  <c r="C95" i="6"/>
  <c r="I94" i="6"/>
  <c r="G93" i="6"/>
  <c r="L92" i="6"/>
  <c r="E93" i="6"/>
  <c r="J92" i="6"/>
  <c r="K92" i="6" s="1"/>
  <c r="M92" i="6" s="1"/>
  <c r="H92" i="6"/>
  <c r="C94" i="5"/>
  <c r="D93" i="5"/>
  <c r="F93" i="5" s="1"/>
  <c r="I93" i="5"/>
  <c r="E92" i="5"/>
  <c r="J91" i="5"/>
  <c r="K91" i="5" s="1"/>
  <c r="H91" i="5"/>
  <c r="G92" i="5"/>
  <c r="L91" i="5"/>
  <c r="M91" i="5" l="1"/>
  <c r="L88" i="8"/>
  <c r="M38" i="3"/>
  <c r="M39" i="3" s="1"/>
  <c r="M41" i="3" s="1"/>
  <c r="N39" i="3"/>
  <c r="N41" i="3" s="1"/>
  <c r="D88" i="7"/>
  <c r="F88" i="7" s="1"/>
  <c r="C89" i="7"/>
  <c r="I88" i="7"/>
  <c r="L86" i="7"/>
  <c r="G87" i="7"/>
  <c r="E87" i="7"/>
  <c r="J86" i="7"/>
  <c r="K86" i="7" s="1"/>
  <c r="H86" i="7"/>
  <c r="L43" i="4"/>
  <c r="M43" i="4" s="1"/>
  <c r="M44" i="4" s="1"/>
  <c r="L44" i="4"/>
  <c r="J87" i="8"/>
  <c r="K87" i="8" s="1"/>
  <c r="M87" i="8" s="1"/>
  <c r="E88" i="8"/>
  <c r="H87" i="8"/>
  <c r="I89" i="8"/>
  <c r="D89" i="8"/>
  <c r="F89" i="8" s="1"/>
  <c r="G89" i="8" s="1"/>
  <c r="C90" i="8"/>
  <c r="G94" i="6"/>
  <c r="L93" i="6"/>
  <c r="D95" i="6"/>
  <c r="F95" i="6" s="1"/>
  <c r="C96" i="6"/>
  <c r="I95" i="6"/>
  <c r="E94" i="6"/>
  <c r="J93" i="6"/>
  <c r="K93" i="6" s="1"/>
  <c r="H93" i="6"/>
  <c r="D94" i="5"/>
  <c r="F94" i="5" s="1"/>
  <c r="C95" i="5"/>
  <c r="I94" i="5"/>
  <c r="E93" i="5"/>
  <c r="J92" i="5"/>
  <c r="K92" i="5" s="1"/>
  <c r="H92" i="5"/>
  <c r="G93" i="5"/>
  <c r="L92" i="5"/>
  <c r="M86" i="7" l="1"/>
  <c r="M93" i="6"/>
  <c r="L89" i="8"/>
  <c r="D90" i="8"/>
  <c r="F90" i="8" s="1"/>
  <c r="G90" i="8" s="1"/>
  <c r="C91" i="8"/>
  <c r="I90" i="8"/>
  <c r="M43" i="3"/>
  <c r="N43" i="3" s="1"/>
  <c r="N44" i="3" s="1"/>
  <c r="M44" i="3"/>
  <c r="E88" i="7"/>
  <c r="J87" i="7"/>
  <c r="K87" i="7" s="1"/>
  <c r="H87" i="7"/>
  <c r="L87" i="7"/>
  <c r="G88" i="7"/>
  <c r="D89" i="7"/>
  <c r="F89" i="7" s="1"/>
  <c r="I89" i="7"/>
  <c r="C90" i="7"/>
  <c r="E89" i="8"/>
  <c r="J88" i="8"/>
  <c r="K88" i="8" s="1"/>
  <c r="M88" i="8" s="1"/>
  <c r="H88" i="8"/>
  <c r="D96" i="6"/>
  <c r="F96" i="6" s="1"/>
  <c r="C97" i="6"/>
  <c r="I96" i="6"/>
  <c r="E95" i="6"/>
  <c r="J94" i="6"/>
  <c r="K94" i="6" s="1"/>
  <c r="M94" i="6" s="1"/>
  <c r="H94" i="6"/>
  <c r="G95" i="6"/>
  <c r="L94" i="6"/>
  <c r="E94" i="5"/>
  <c r="J93" i="5"/>
  <c r="K93" i="5" s="1"/>
  <c r="H93" i="5"/>
  <c r="C96" i="5"/>
  <c r="D95" i="5"/>
  <c r="F95" i="5" s="1"/>
  <c r="I95" i="5"/>
  <c r="G94" i="5"/>
  <c r="L93" i="5"/>
  <c r="M92" i="5"/>
  <c r="L90" i="8" l="1"/>
  <c r="D91" i="8"/>
  <c r="F91" i="8" s="1"/>
  <c r="G91" i="8" s="1"/>
  <c r="C92" i="8"/>
  <c r="I91" i="8"/>
  <c r="C91" i="7"/>
  <c r="D90" i="7"/>
  <c r="F90" i="7" s="1"/>
  <c r="I90" i="7"/>
  <c r="L88" i="7"/>
  <c r="G89" i="7"/>
  <c r="J89" i="8"/>
  <c r="K89" i="8" s="1"/>
  <c r="M89" i="8" s="1"/>
  <c r="E90" i="8"/>
  <c r="H89" i="8"/>
  <c r="M87" i="7"/>
  <c r="E89" i="7"/>
  <c r="J88" i="7"/>
  <c r="K88" i="7" s="1"/>
  <c r="H88" i="7"/>
  <c r="E96" i="6"/>
  <c r="J95" i="6"/>
  <c r="K95" i="6" s="1"/>
  <c r="H95" i="6"/>
  <c r="G96" i="6"/>
  <c r="L95" i="6"/>
  <c r="C98" i="6"/>
  <c r="D97" i="6"/>
  <c r="F97" i="6" s="1"/>
  <c r="I97" i="6"/>
  <c r="C97" i="5"/>
  <c r="D96" i="5"/>
  <c r="F96" i="5" s="1"/>
  <c r="I96" i="5"/>
  <c r="G95" i="5"/>
  <c r="L94" i="5"/>
  <c r="E95" i="5"/>
  <c r="J94" i="5"/>
  <c r="K94" i="5" s="1"/>
  <c r="H94" i="5"/>
  <c r="M93" i="5"/>
  <c r="M88" i="7" l="1"/>
  <c r="L91" i="8"/>
  <c r="L89" i="7"/>
  <c r="G90" i="7"/>
  <c r="I92" i="8"/>
  <c r="D92" i="8"/>
  <c r="F92" i="8" s="1"/>
  <c r="G92" i="8" s="1"/>
  <c r="C93" i="8"/>
  <c r="J90" i="8"/>
  <c r="K90" i="8" s="1"/>
  <c r="M90" i="8" s="1"/>
  <c r="E91" i="8"/>
  <c r="H90" i="8"/>
  <c r="D91" i="7"/>
  <c r="F91" i="7" s="1"/>
  <c r="I91" i="7"/>
  <c r="C92" i="7"/>
  <c r="E90" i="7"/>
  <c r="J89" i="7"/>
  <c r="K89" i="7" s="1"/>
  <c r="M89" i="7" s="1"/>
  <c r="H89" i="7"/>
  <c r="G97" i="6"/>
  <c r="L96" i="6"/>
  <c r="M95" i="6"/>
  <c r="E97" i="6"/>
  <c r="J96" i="6"/>
  <c r="K96" i="6" s="1"/>
  <c r="H96" i="6"/>
  <c r="D98" i="6"/>
  <c r="F98" i="6" s="1"/>
  <c r="C99" i="6"/>
  <c r="I98" i="6"/>
  <c r="G96" i="5"/>
  <c r="L95" i="5"/>
  <c r="M94" i="5"/>
  <c r="E96" i="5"/>
  <c r="J95" i="5"/>
  <c r="K95" i="5" s="1"/>
  <c r="M95" i="5" s="1"/>
  <c r="H95" i="5"/>
  <c r="D97" i="5"/>
  <c r="F97" i="5" s="1"/>
  <c r="C98" i="5"/>
  <c r="I97" i="5"/>
  <c r="M96" i="6" l="1"/>
  <c r="L92" i="8"/>
  <c r="D93" i="8"/>
  <c r="F93" i="8" s="1"/>
  <c r="G93" i="8" s="1"/>
  <c r="I93" i="8"/>
  <c r="C94" i="8"/>
  <c r="L90" i="7"/>
  <c r="G91" i="7"/>
  <c r="E92" i="8"/>
  <c r="J91" i="8"/>
  <c r="K91" i="8" s="1"/>
  <c r="M91" i="8" s="1"/>
  <c r="H91" i="8"/>
  <c r="E91" i="7"/>
  <c r="J90" i="7"/>
  <c r="K90" i="7" s="1"/>
  <c r="H90" i="7"/>
  <c r="C93" i="7"/>
  <c r="D92" i="7"/>
  <c r="F92" i="7" s="1"/>
  <c r="I92" i="7"/>
  <c r="C100" i="6"/>
  <c r="D99" i="6"/>
  <c r="F99" i="6" s="1"/>
  <c r="I99" i="6"/>
  <c r="G98" i="6"/>
  <c r="L97" i="6"/>
  <c r="E98" i="6"/>
  <c r="J97" i="6"/>
  <c r="K97" i="6" s="1"/>
  <c r="M97" i="6" s="1"/>
  <c r="H97" i="6"/>
  <c r="E97" i="5"/>
  <c r="J96" i="5"/>
  <c r="K96" i="5" s="1"/>
  <c r="H96" i="5"/>
  <c r="G97" i="5"/>
  <c r="L96" i="5"/>
  <c r="C99" i="5"/>
  <c r="D98" i="5"/>
  <c r="F98" i="5" s="1"/>
  <c r="I98" i="5"/>
  <c r="L93" i="8" l="1"/>
  <c r="L91" i="7"/>
  <c r="G92" i="7"/>
  <c r="D94" i="8"/>
  <c r="F94" i="8" s="1"/>
  <c r="G94" i="8" s="1"/>
  <c r="I94" i="8"/>
  <c r="C95" i="8"/>
  <c r="E92" i="7"/>
  <c r="J91" i="7"/>
  <c r="K91" i="7" s="1"/>
  <c r="H91" i="7"/>
  <c r="M90" i="7"/>
  <c r="I93" i="7"/>
  <c r="D93" i="7"/>
  <c r="F93" i="7" s="1"/>
  <c r="C94" i="7"/>
  <c r="E93" i="8"/>
  <c r="J92" i="8"/>
  <c r="K92" i="8" s="1"/>
  <c r="M92" i="8" s="1"/>
  <c r="H92" i="8"/>
  <c r="C101" i="6"/>
  <c r="D100" i="6"/>
  <c r="F100" i="6" s="1"/>
  <c r="I100" i="6"/>
  <c r="G99" i="6"/>
  <c r="L98" i="6"/>
  <c r="E99" i="6"/>
  <c r="J98" i="6"/>
  <c r="K98" i="6" s="1"/>
  <c r="M98" i="6" s="1"/>
  <c r="H98" i="6"/>
  <c r="G98" i="5"/>
  <c r="L97" i="5"/>
  <c r="M96" i="5"/>
  <c r="C100" i="5"/>
  <c r="D99" i="5"/>
  <c r="F99" i="5" s="1"/>
  <c r="I99" i="5"/>
  <c r="E98" i="5"/>
  <c r="J97" i="5"/>
  <c r="K97" i="5" s="1"/>
  <c r="M97" i="5" s="1"/>
  <c r="H97" i="5"/>
  <c r="L94" i="8" l="1"/>
  <c r="C95" i="7"/>
  <c r="D94" i="7"/>
  <c r="F94" i="7" s="1"/>
  <c r="I94" i="7"/>
  <c r="L92" i="7"/>
  <c r="G93" i="7"/>
  <c r="M91" i="7"/>
  <c r="C96" i="8"/>
  <c r="D95" i="8"/>
  <c r="F95" i="8" s="1"/>
  <c r="G95" i="8" s="1"/>
  <c r="I95" i="8"/>
  <c r="E94" i="8"/>
  <c r="J93" i="8"/>
  <c r="K93" i="8" s="1"/>
  <c r="M93" i="8" s="1"/>
  <c r="H93" i="8"/>
  <c r="E93" i="7"/>
  <c r="J92" i="7"/>
  <c r="K92" i="7" s="1"/>
  <c r="H92" i="7"/>
  <c r="E100" i="6"/>
  <c r="J99" i="6"/>
  <c r="K99" i="6" s="1"/>
  <c r="H99" i="6"/>
  <c r="G100" i="6"/>
  <c r="L99" i="6"/>
  <c r="D101" i="6"/>
  <c r="F101" i="6" s="1"/>
  <c r="C102" i="6"/>
  <c r="I101" i="6"/>
  <c r="D100" i="5"/>
  <c r="F100" i="5" s="1"/>
  <c r="C101" i="5"/>
  <c r="I100" i="5"/>
  <c r="E99" i="5"/>
  <c r="J98" i="5"/>
  <c r="K98" i="5" s="1"/>
  <c r="H98" i="5"/>
  <c r="G99" i="5"/>
  <c r="L98" i="5"/>
  <c r="L93" i="7" l="1"/>
  <c r="G94" i="7"/>
  <c r="E95" i="8"/>
  <c r="J94" i="8"/>
  <c r="K94" i="8" s="1"/>
  <c r="M94" i="8" s="1"/>
  <c r="H94" i="8"/>
  <c r="C96" i="7"/>
  <c r="I95" i="7"/>
  <c r="D95" i="7"/>
  <c r="F95" i="7" s="1"/>
  <c r="M92" i="7"/>
  <c r="D96" i="8"/>
  <c r="F96" i="8" s="1"/>
  <c r="G96" i="8" s="1"/>
  <c r="C97" i="8"/>
  <c r="I96" i="8"/>
  <c r="E94" i="7"/>
  <c r="J93" i="7"/>
  <c r="K93" i="7" s="1"/>
  <c r="M93" i="7" s="1"/>
  <c r="H93" i="7"/>
  <c r="L95" i="8"/>
  <c r="G101" i="6"/>
  <c r="L100" i="6"/>
  <c r="D102" i="6"/>
  <c r="F102" i="6" s="1"/>
  <c r="C103" i="6"/>
  <c r="I102" i="6"/>
  <c r="M99" i="6"/>
  <c r="E101" i="6"/>
  <c r="J100" i="6"/>
  <c r="K100" i="6" s="1"/>
  <c r="M100" i="6" s="1"/>
  <c r="H100" i="6"/>
  <c r="G100" i="5"/>
  <c r="L99" i="5"/>
  <c r="C102" i="5"/>
  <c r="D101" i="5"/>
  <c r="F101" i="5" s="1"/>
  <c r="I101" i="5"/>
  <c r="E100" i="5"/>
  <c r="J99" i="5"/>
  <c r="K99" i="5" s="1"/>
  <c r="M99" i="5" s="1"/>
  <c r="H99" i="5"/>
  <c r="M98" i="5"/>
  <c r="L96" i="8" l="1"/>
  <c r="E95" i="7"/>
  <c r="J94" i="7"/>
  <c r="K94" i="7" s="1"/>
  <c r="H94" i="7"/>
  <c r="D97" i="8"/>
  <c r="F97" i="8" s="1"/>
  <c r="G97" i="8" s="1"/>
  <c r="C98" i="8"/>
  <c r="I97" i="8"/>
  <c r="E96" i="8"/>
  <c r="J95" i="8"/>
  <c r="K95" i="8" s="1"/>
  <c r="M95" i="8" s="1"/>
  <c r="H95" i="8"/>
  <c r="C97" i="7"/>
  <c r="D96" i="7"/>
  <c r="F96" i="7" s="1"/>
  <c r="I96" i="7"/>
  <c r="G95" i="7"/>
  <c r="L94" i="7"/>
  <c r="D103" i="6"/>
  <c r="F103" i="6" s="1"/>
  <c r="C104" i="6"/>
  <c r="I103" i="6"/>
  <c r="E102" i="6"/>
  <c r="J101" i="6"/>
  <c r="K101" i="6" s="1"/>
  <c r="H101" i="6"/>
  <c r="G102" i="6"/>
  <c r="L101" i="6"/>
  <c r="D102" i="5"/>
  <c r="F102" i="5" s="1"/>
  <c r="C103" i="5"/>
  <c r="I102" i="5"/>
  <c r="E101" i="5"/>
  <c r="J100" i="5"/>
  <c r="K100" i="5" s="1"/>
  <c r="H100" i="5"/>
  <c r="G101" i="5"/>
  <c r="L100" i="5"/>
  <c r="M94" i="7" l="1"/>
  <c r="M101" i="6"/>
  <c r="M100" i="5"/>
  <c r="L97" i="8"/>
  <c r="J95" i="7"/>
  <c r="K95" i="7" s="1"/>
  <c r="M95" i="7" s="1"/>
  <c r="E96" i="7"/>
  <c r="H95" i="7"/>
  <c r="D98" i="8"/>
  <c r="F98" i="8" s="1"/>
  <c r="G98" i="8" s="1"/>
  <c r="C99" i="8"/>
  <c r="I98" i="8"/>
  <c r="E97" i="8"/>
  <c r="J96" i="8"/>
  <c r="K96" i="8" s="1"/>
  <c r="M96" i="8" s="1"/>
  <c r="H96" i="8"/>
  <c r="I97" i="7"/>
  <c r="C98" i="7"/>
  <c r="D97" i="7"/>
  <c r="F97" i="7" s="1"/>
  <c r="G96" i="7"/>
  <c r="L95" i="7"/>
  <c r="G103" i="6"/>
  <c r="L102" i="6"/>
  <c r="D104" i="6"/>
  <c r="F104" i="6" s="1"/>
  <c r="C105" i="6"/>
  <c r="I104" i="6"/>
  <c r="E103" i="6"/>
  <c r="J102" i="6"/>
  <c r="K102" i="6" s="1"/>
  <c r="H102" i="6"/>
  <c r="E102" i="5"/>
  <c r="J101" i="5"/>
  <c r="K101" i="5" s="1"/>
  <c r="H101" i="5"/>
  <c r="D103" i="5"/>
  <c r="F103" i="5" s="1"/>
  <c r="C104" i="5"/>
  <c r="I103" i="5"/>
  <c r="G102" i="5"/>
  <c r="L101" i="5"/>
  <c r="M102" i="6" l="1"/>
  <c r="L98" i="8"/>
  <c r="J96" i="7"/>
  <c r="K96" i="7" s="1"/>
  <c r="E97" i="7"/>
  <c r="H96" i="7"/>
  <c r="D99" i="8"/>
  <c r="F99" i="8" s="1"/>
  <c r="G99" i="8" s="1"/>
  <c r="C100" i="8"/>
  <c r="I99" i="8"/>
  <c r="D98" i="7"/>
  <c r="F98" i="7" s="1"/>
  <c r="C99" i="7"/>
  <c r="I98" i="7"/>
  <c r="E98" i="8"/>
  <c r="J97" i="8"/>
  <c r="K97" i="8" s="1"/>
  <c r="M97" i="8" s="1"/>
  <c r="H97" i="8"/>
  <c r="G97" i="7"/>
  <c r="L96" i="7"/>
  <c r="C106" i="6"/>
  <c r="D105" i="6"/>
  <c r="F105" i="6" s="1"/>
  <c r="I105" i="6"/>
  <c r="E104" i="6"/>
  <c r="J103" i="6"/>
  <c r="K103" i="6" s="1"/>
  <c r="H103" i="6"/>
  <c r="G104" i="6"/>
  <c r="L103" i="6"/>
  <c r="G103" i="5"/>
  <c r="L102" i="5"/>
  <c r="C105" i="5"/>
  <c r="D104" i="5"/>
  <c r="F104" i="5" s="1"/>
  <c r="I104" i="5"/>
  <c r="M101" i="5"/>
  <c r="E103" i="5"/>
  <c r="J102" i="5"/>
  <c r="K102" i="5" s="1"/>
  <c r="M102" i="5" s="1"/>
  <c r="H102" i="5"/>
  <c r="M96" i="7" l="1"/>
  <c r="L99" i="8"/>
  <c r="I100" i="8"/>
  <c r="C101" i="8"/>
  <c r="D100" i="8"/>
  <c r="F100" i="8" s="1"/>
  <c r="G100" i="8" s="1"/>
  <c r="E99" i="8"/>
  <c r="J98" i="8"/>
  <c r="K98" i="8" s="1"/>
  <c r="M98" i="8" s="1"/>
  <c r="H98" i="8"/>
  <c r="D99" i="7"/>
  <c r="F99" i="7" s="1"/>
  <c r="C100" i="7"/>
  <c r="I99" i="7"/>
  <c r="E98" i="7"/>
  <c r="J97" i="7"/>
  <c r="K97" i="7" s="1"/>
  <c r="H97" i="7"/>
  <c r="L97" i="7"/>
  <c r="G98" i="7"/>
  <c r="D106" i="6"/>
  <c r="F106" i="6" s="1"/>
  <c r="C107" i="6"/>
  <c r="I106" i="6"/>
  <c r="E105" i="6"/>
  <c r="J104" i="6"/>
  <c r="K104" i="6" s="1"/>
  <c r="H104" i="6"/>
  <c r="G105" i="6"/>
  <c r="L104" i="6"/>
  <c r="M103" i="6"/>
  <c r="D105" i="5"/>
  <c r="F105" i="5" s="1"/>
  <c r="C106" i="5"/>
  <c r="I105" i="5"/>
  <c r="E104" i="5"/>
  <c r="J103" i="5"/>
  <c r="K103" i="5" s="1"/>
  <c r="H103" i="5"/>
  <c r="G104" i="5"/>
  <c r="L103" i="5"/>
  <c r="M97" i="7" l="1"/>
  <c r="L100" i="8"/>
  <c r="E100" i="8"/>
  <c r="J99" i="8"/>
  <c r="K99" i="8" s="1"/>
  <c r="M99" i="8" s="1"/>
  <c r="H99" i="8"/>
  <c r="E99" i="7"/>
  <c r="J98" i="7"/>
  <c r="K98" i="7" s="1"/>
  <c r="H98" i="7"/>
  <c r="D101" i="8"/>
  <c r="F101" i="8" s="1"/>
  <c r="G101" i="8" s="1"/>
  <c r="C102" i="8"/>
  <c r="I101" i="8"/>
  <c r="C101" i="7"/>
  <c r="D100" i="7"/>
  <c r="F100" i="7" s="1"/>
  <c r="I100" i="7"/>
  <c r="G99" i="7"/>
  <c r="L98" i="7"/>
  <c r="E106" i="6"/>
  <c r="J105" i="6"/>
  <c r="K105" i="6" s="1"/>
  <c r="H105" i="6"/>
  <c r="C108" i="6"/>
  <c r="D107" i="6"/>
  <c r="F107" i="6" s="1"/>
  <c r="I107" i="6"/>
  <c r="G106" i="6"/>
  <c r="L105" i="6"/>
  <c r="M104" i="6"/>
  <c r="E105" i="5"/>
  <c r="J104" i="5"/>
  <c r="K104" i="5" s="1"/>
  <c r="H104" i="5"/>
  <c r="D106" i="5"/>
  <c r="F106" i="5" s="1"/>
  <c r="C107" i="5"/>
  <c r="I106" i="5"/>
  <c r="G105" i="5"/>
  <c r="L104" i="5"/>
  <c r="M103" i="5"/>
  <c r="M98" i="7" l="1"/>
  <c r="L101" i="8"/>
  <c r="E101" i="8"/>
  <c r="J100" i="8"/>
  <c r="K100" i="8" s="1"/>
  <c r="M100" i="8" s="1"/>
  <c r="H100" i="8"/>
  <c r="I102" i="8"/>
  <c r="D102" i="8"/>
  <c r="F102" i="8" s="1"/>
  <c r="G102" i="8" s="1"/>
  <c r="C103" i="8"/>
  <c r="E100" i="7"/>
  <c r="J99" i="7"/>
  <c r="K99" i="7" s="1"/>
  <c r="H99" i="7"/>
  <c r="C102" i="7"/>
  <c r="D101" i="7"/>
  <c r="F101" i="7" s="1"/>
  <c r="I101" i="7"/>
  <c r="G100" i="7"/>
  <c r="L99" i="7"/>
  <c r="C109" i="6"/>
  <c r="D108" i="6"/>
  <c r="F108" i="6" s="1"/>
  <c r="I108" i="6"/>
  <c r="G107" i="6"/>
  <c r="L106" i="6"/>
  <c r="M105" i="6"/>
  <c r="E107" i="6"/>
  <c r="J106" i="6"/>
  <c r="K106" i="6" s="1"/>
  <c r="H106" i="6"/>
  <c r="C108" i="5"/>
  <c r="D107" i="5"/>
  <c r="F107" i="5" s="1"/>
  <c r="I107" i="5"/>
  <c r="M104" i="5"/>
  <c r="G106" i="5"/>
  <c r="L105" i="5"/>
  <c r="E106" i="5"/>
  <c r="J105" i="5"/>
  <c r="K105" i="5" s="1"/>
  <c r="H105" i="5"/>
  <c r="M105" i="5" l="1"/>
  <c r="M99" i="7"/>
  <c r="L102" i="8"/>
  <c r="D103" i="8"/>
  <c r="F103" i="8" s="1"/>
  <c r="G103" i="8" s="1"/>
  <c r="C104" i="8"/>
  <c r="I103" i="8"/>
  <c r="I102" i="7"/>
  <c r="D102" i="7"/>
  <c r="F102" i="7" s="1"/>
  <c r="C103" i="7"/>
  <c r="E101" i="7"/>
  <c r="J100" i="7"/>
  <c r="K100" i="7" s="1"/>
  <c r="H100" i="7"/>
  <c r="E102" i="8"/>
  <c r="J101" i="8"/>
  <c r="K101" i="8" s="1"/>
  <c r="M101" i="8" s="1"/>
  <c r="H101" i="8"/>
  <c r="L100" i="7"/>
  <c r="G101" i="7"/>
  <c r="G108" i="6"/>
  <c r="L107" i="6"/>
  <c r="M106" i="6"/>
  <c r="E108" i="6"/>
  <c r="J107" i="6"/>
  <c r="K107" i="6" s="1"/>
  <c r="M107" i="6" s="1"/>
  <c r="H107" i="6"/>
  <c r="D109" i="6"/>
  <c r="F109" i="6" s="1"/>
  <c r="C110" i="6"/>
  <c r="I109" i="6"/>
  <c r="G107" i="5"/>
  <c r="L106" i="5"/>
  <c r="E107" i="5"/>
  <c r="J106" i="5"/>
  <c r="K106" i="5" s="1"/>
  <c r="M106" i="5" s="1"/>
  <c r="H106" i="5"/>
  <c r="D108" i="5"/>
  <c r="F108" i="5" s="1"/>
  <c r="C109" i="5"/>
  <c r="I108" i="5"/>
  <c r="M100" i="7" l="1"/>
  <c r="L103" i="8"/>
  <c r="E103" i="8"/>
  <c r="J102" i="8"/>
  <c r="K102" i="8" s="1"/>
  <c r="M102" i="8" s="1"/>
  <c r="H102" i="8"/>
  <c r="I104" i="8"/>
  <c r="D104" i="8"/>
  <c r="F104" i="8" s="1"/>
  <c r="G104" i="8" s="1"/>
  <c r="C105" i="8"/>
  <c r="E102" i="7"/>
  <c r="J101" i="7"/>
  <c r="K101" i="7" s="1"/>
  <c r="H101" i="7"/>
  <c r="G102" i="7"/>
  <c r="L101" i="7"/>
  <c r="D103" i="7"/>
  <c r="F103" i="7" s="1"/>
  <c r="I103" i="7"/>
  <c r="C104" i="7"/>
  <c r="E109" i="6"/>
  <c r="J108" i="6"/>
  <c r="K108" i="6" s="1"/>
  <c r="H108" i="6"/>
  <c r="D110" i="6"/>
  <c r="F110" i="6" s="1"/>
  <c r="C111" i="6"/>
  <c r="I110" i="6"/>
  <c r="G109" i="6"/>
  <c r="L108" i="6"/>
  <c r="C110" i="5"/>
  <c r="D109" i="5"/>
  <c r="F109" i="5" s="1"/>
  <c r="I109" i="5"/>
  <c r="E108" i="5"/>
  <c r="J107" i="5"/>
  <c r="K107" i="5" s="1"/>
  <c r="H107" i="5"/>
  <c r="G108" i="5"/>
  <c r="L107" i="5"/>
  <c r="L104" i="8" l="1"/>
  <c r="G103" i="7"/>
  <c r="L102" i="7"/>
  <c r="M101" i="7"/>
  <c r="J103" i="8"/>
  <c r="K103" i="8" s="1"/>
  <c r="M103" i="8" s="1"/>
  <c r="E104" i="8"/>
  <c r="H103" i="8"/>
  <c r="E103" i="7"/>
  <c r="J102" i="7"/>
  <c r="K102" i="7" s="1"/>
  <c r="H102" i="7"/>
  <c r="C106" i="8"/>
  <c r="D105" i="8"/>
  <c r="F105" i="8" s="1"/>
  <c r="G105" i="8" s="1"/>
  <c r="I105" i="8"/>
  <c r="C105" i="7"/>
  <c r="I104" i="7"/>
  <c r="D104" i="7"/>
  <c r="F104" i="7" s="1"/>
  <c r="G110" i="6"/>
  <c r="L109" i="6"/>
  <c r="M108" i="6"/>
  <c r="C112" i="6"/>
  <c r="I111" i="6"/>
  <c r="E110" i="6"/>
  <c r="J109" i="6"/>
  <c r="K109" i="6" s="1"/>
  <c r="M109" i="6" s="1"/>
  <c r="H109" i="6"/>
  <c r="E109" i="5"/>
  <c r="J108" i="5"/>
  <c r="K108" i="5" s="1"/>
  <c r="H108" i="5"/>
  <c r="D110" i="5"/>
  <c r="F110" i="5" s="1"/>
  <c r="C111" i="5"/>
  <c r="I110" i="5"/>
  <c r="G109" i="5"/>
  <c r="L108" i="5"/>
  <c r="M107" i="5"/>
  <c r="L105" i="8" l="1"/>
  <c r="C106" i="7"/>
  <c r="D105" i="7"/>
  <c r="F105" i="7" s="1"/>
  <c r="I105" i="7"/>
  <c r="G104" i="7"/>
  <c r="L103" i="7"/>
  <c r="I106" i="8"/>
  <c r="C107" i="8"/>
  <c r="D106" i="8"/>
  <c r="F106" i="8" s="1"/>
  <c r="G106" i="8" s="1"/>
  <c r="M102" i="7"/>
  <c r="E105" i="8"/>
  <c r="J104" i="8"/>
  <c r="K104" i="8" s="1"/>
  <c r="M104" i="8" s="1"/>
  <c r="H104" i="8"/>
  <c r="E104" i="7"/>
  <c r="J103" i="7"/>
  <c r="K103" i="7" s="1"/>
  <c r="H103" i="7"/>
  <c r="C113" i="6"/>
  <c r="I112" i="6"/>
  <c r="E111" i="6"/>
  <c r="J110" i="6"/>
  <c r="K110" i="6" s="1"/>
  <c r="H110" i="6"/>
  <c r="G111" i="6"/>
  <c r="L110" i="6"/>
  <c r="C112" i="5"/>
  <c r="I111" i="5"/>
  <c r="G110" i="5"/>
  <c r="L109" i="5"/>
  <c r="M108" i="5"/>
  <c r="E110" i="5"/>
  <c r="J109" i="5"/>
  <c r="K109" i="5" s="1"/>
  <c r="H109" i="5"/>
  <c r="M110" i="6" l="1"/>
  <c r="L106" i="8"/>
  <c r="M103" i="7"/>
  <c r="D107" i="8"/>
  <c r="F107" i="8" s="1"/>
  <c r="G107" i="8" s="1"/>
  <c r="I107" i="8"/>
  <c r="C108" i="8"/>
  <c r="G105" i="7"/>
  <c r="L104" i="7"/>
  <c r="J105" i="8"/>
  <c r="K105" i="8" s="1"/>
  <c r="M105" i="8" s="1"/>
  <c r="E106" i="8"/>
  <c r="H105" i="8"/>
  <c r="D106" i="7"/>
  <c r="F106" i="7" s="1"/>
  <c r="C107" i="7"/>
  <c r="I106" i="7"/>
  <c r="J104" i="7"/>
  <c r="K104" i="7" s="1"/>
  <c r="E105" i="7"/>
  <c r="H104" i="7"/>
  <c r="C114" i="6"/>
  <c r="I113" i="6"/>
  <c r="E112" i="6"/>
  <c r="J111" i="6"/>
  <c r="K111" i="6" s="1"/>
  <c r="H111" i="6"/>
  <c r="G112" i="6"/>
  <c r="L111" i="6"/>
  <c r="M109" i="5"/>
  <c r="G111" i="5"/>
  <c r="L110" i="5"/>
  <c r="E111" i="5"/>
  <c r="J110" i="5"/>
  <c r="K110" i="5" s="1"/>
  <c r="H110" i="5"/>
  <c r="C113" i="5"/>
  <c r="I112" i="5"/>
  <c r="M104" i="7" l="1"/>
  <c r="M111" i="6"/>
  <c r="M110" i="5"/>
  <c r="L107" i="8"/>
  <c r="J106" i="8"/>
  <c r="K106" i="8" s="1"/>
  <c r="M106" i="8" s="1"/>
  <c r="E107" i="8"/>
  <c r="H106" i="8"/>
  <c r="D107" i="7"/>
  <c r="F107" i="7" s="1"/>
  <c r="I107" i="7"/>
  <c r="C108" i="7"/>
  <c r="J105" i="7"/>
  <c r="K105" i="7" s="1"/>
  <c r="E106" i="7"/>
  <c r="H105" i="7"/>
  <c r="G106" i="7"/>
  <c r="L105" i="7"/>
  <c r="C109" i="8"/>
  <c r="D108" i="8"/>
  <c r="F108" i="8" s="1"/>
  <c r="G108" i="8" s="1"/>
  <c r="I108" i="8"/>
  <c r="E113" i="6"/>
  <c r="J112" i="6"/>
  <c r="K112" i="6" s="1"/>
  <c r="H112" i="6"/>
  <c r="G113" i="6"/>
  <c r="L112" i="6"/>
  <c r="C115" i="6"/>
  <c r="I114" i="6"/>
  <c r="E112" i="5"/>
  <c r="J111" i="5"/>
  <c r="K111" i="5" s="1"/>
  <c r="H111" i="5"/>
  <c r="C114" i="5"/>
  <c r="I113" i="5"/>
  <c r="G112" i="5"/>
  <c r="L111" i="5"/>
  <c r="M111" i="5" l="1"/>
  <c r="L108" i="8"/>
  <c r="I108" i="7"/>
  <c r="C109" i="7"/>
  <c r="D108" i="7"/>
  <c r="F108" i="7" s="1"/>
  <c r="G107" i="7"/>
  <c r="L106" i="7"/>
  <c r="C110" i="8"/>
  <c r="D109" i="8"/>
  <c r="F109" i="8" s="1"/>
  <c r="G109" i="8" s="1"/>
  <c r="I109" i="8"/>
  <c r="E107" i="7"/>
  <c r="J106" i="7"/>
  <c r="K106" i="7" s="1"/>
  <c r="H106" i="7"/>
  <c r="M105" i="7"/>
  <c r="E108" i="8"/>
  <c r="J107" i="8"/>
  <c r="K107" i="8" s="1"/>
  <c r="M107" i="8" s="1"/>
  <c r="H107" i="8"/>
  <c r="C116" i="6"/>
  <c r="I115" i="6"/>
  <c r="M112" i="6"/>
  <c r="G114" i="6"/>
  <c r="L113" i="6"/>
  <c r="E114" i="6"/>
  <c r="J113" i="6"/>
  <c r="K113" i="6" s="1"/>
  <c r="H113" i="6"/>
  <c r="G113" i="5"/>
  <c r="L112" i="5"/>
  <c r="C115" i="5"/>
  <c r="I114" i="5"/>
  <c r="E113" i="5"/>
  <c r="J112" i="5"/>
  <c r="K112" i="5" s="1"/>
  <c r="M112" i="5" s="1"/>
  <c r="H112" i="5"/>
  <c r="M106" i="7" l="1"/>
  <c r="L109" i="8"/>
  <c r="E108" i="7"/>
  <c r="J107" i="7"/>
  <c r="K107" i="7" s="1"/>
  <c r="H107" i="7"/>
  <c r="L107" i="7"/>
  <c r="G108" i="7"/>
  <c r="C110" i="7"/>
  <c r="D109" i="7"/>
  <c r="F109" i="7" s="1"/>
  <c r="I109" i="7"/>
  <c r="E109" i="8"/>
  <c r="J108" i="8"/>
  <c r="K108" i="8" s="1"/>
  <c r="M108" i="8" s="1"/>
  <c r="H108" i="8"/>
  <c r="D110" i="8"/>
  <c r="F110" i="8" s="1"/>
  <c r="G110" i="8" s="1"/>
  <c r="C111" i="8"/>
  <c r="I110" i="8"/>
  <c r="E115" i="6"/>
  <c r="J114" i="6"/>
  <c r="K114" i="6" s="1"/>
  <c r="H114" i="6"/>
  <c r="G115" i="6"/>
  <c r="L114" i="6"/>
  <c r="M113" i="6"/>
  <c r="C117" i="6"/>
  <c r="I116" i="6"/>
  <c r="C116" i="5"/>
  <c r="I115" i="5"/>
  <c r="G114" i="5"/>
  <c r="L113" i="5"/>
  <c r="E114" i="5"/>
  <c r="J113" i="5"/>
  <c r="K113" i="5" s="1"/>
  <c r="M113" i="5" s="1"/>
  <c r="H113" i="5"/>
  <c r="L110" i="8" l="1"/>
  <c r="G111" i="8"/>
  <c r="G109" i="7"/>
  <c r="L108" i="7"/>
  <c r="D110" i="7"/>
  <c r="F110" i="7" s="1"/>
  <c r="I110" i="7"/>
  <c r="C111" i="7"/>
  <c r="I111" i="8"/>
  <c r="C112" i="8"/>
  <c r="M107" i="7"/>
  <c r="J109" i="8"/>
  <c r="K109" i="8" s="1"/>
  <c r="M109" i="8" s="1"/>
  <c r="E110" i="8"/>
  <c r="H109" i="8"/>
  <c r="E109" i="7"/>
  <c r="J108" i="7"/>
  <c r="K108" i="7" s="1"/>
  <c r="H108" i="7"/>
  <c r="C118" i="6"/>
  <c r="I117" i="6"/>
  <c r="G116" i="6"/>
  <c r="L115" i="6"/>
  <c r="M114" i="6"/>
  <c r="E116" i="6"/>
  <c r="J115" i="6"/>
  <c r="K115" i="6" s="1"/>
  <c r="H115" i="6"/>
  <c r="E115" i="5"/>
  <c r="J114" i="5"/>
  <c r="K114" i="5" s="1"/>
  <c r="H114" i="5"/>
  <c r="G115" i="5"/>
  <c r="L114" i="5"/>
  <c r="C117" i="5"/>
  <c r="I116" i="5"/>
  <c r="I111" i="7" l="1"/>
  <c r="C112" i="7"/>
  <c r="J110" i="8"/>
  <c r="K110" i="8" s="1"/>
  <c r="M110" i="8" s="1"/>
  <c r="E111" i="8"/>
  <c r="H110" i="8"/>
  <c r="E110" i="7"/>
  <c r="J109" i="7"/>
  <c r="K109" i="7" s="1"/>
  <c r="M109" i="7" s="1"/>
  <c r="H109" i="7"/>
  <c r="G110" i="7"/>
  <c r="L109" i="7"/>
  <c r="I112" i="8"/>
  <c r="C113" i="8"/>
  <c r="G112" i="8"/>
  <c r="L111" i="8"/>
  <c r="M108" i="7"/>
  <c r="E117" i="6"/>
  <c r="J116" i="6"/>
  <c r="K116" i="6" s="1"/>
  <c r="H116" i="6"/>
  <c r="G117" i="6"/>
  <c r="L116" i="6"/>
  <c r="M115" i="6"/>
  <c r="C119" i="6"/>
  <c r="I118" i="6"/>
  <c r="C118" i="5"/>
  <c r="I117" i="5"/>
  <c r="G116" i="5"/>
  <c r="L115" i="5"/>
  <c r="M114" i="5"/>
  <c r="E116" i="5"/>
  <c r="J115" i="5"/>
  <c r="K115" i="5" s="1"/>
  <c r="H115" i="5"/>
  <c r="G113" i="8" l="1"/>
  <c r="L112" i="8"/>
  <c r="E111" i="7"/>
  <c r="J110" i="7"/>
  <c r="K110" i="7" s="1"/>
  <c r="H110" i="7"/>
  <c r="C114" i="8"/>
  <c r="I113" i="8"/>
  <c r="J111" i="8"/>
  <c r="K111" i="8" s="1"/>
  <c r="M111" i="8" s="1"/>
  <c r="E112" i="8"/>
  <c r="H111" i="8"/>
  <c r="G111" i="7"/>
  <c r="L110" i="7"/>
  <c r="C113" i="7"/>
  <c r="I112" i="7"/>
  <c r="G118" i="6"/>
  <c r="L117" i="6"/>
  <c r="M116" i="6"/>
  <c r="C120" i="6"/>
  <c r="I119" i="6"/>
  <c r="E118" i="6"/>
  <c r="J117" i="6"/>
  <c r="K117" i="6" s="1"/>
  <c r="H117" i="6"/>
  <c r="E117" i="5"/>
  <c r="J116" i="5"/>
  <c r="K116" i="5" s="1"/>
  <c r="H116" i="5"/>
  <c r="G117" i="5"/>
  <c r="L116" i="5"/>
  <c r="M115" i="5"/>
  <c r="C119" i="5"/>
  <c r="I118" i="5"/>
  <c r="C114" i="7" l="1"/>
  <c r="I113" i="7"/>
  <c r="M110" i="7"/>
  <c r="I114" i="8"/>
  <c r="C115" i="8"/>
  <c r="G112" i="7"/>
  <c r="L111" i="7"/>
  <c r="E113" i="8"/>
  <c r="J112" i="8"/>
  <c r="K112" i="8" s="1"/>
  <c r="M112" i="8" s="1"/>
  <c r="H112" i="8"/>
  <c r="J111" i="7"/>
  <c r="K111" i="7" s="1"/>
  <c r="E112" i="7"/>
  <c r="H111" i="7"/>
  <c r="L113" i="8"/>
  <c r="G114" i="8"/>
  <c r="E119" i="6"/>
  <c r="J118" i="6"/>
  <c r="K118" i="6" s="1"/>
  <c r="H118" i="6"/>
  <c r="C121" i="6"/>
  <c r="I120" i="6"/>
  <c r="G119" i="6"/>
  <c r="L118" i="6"/>
  <c r="M117" i="6"/>
  <c r="G118" i="5"/>
  <c r="L117" i="5"/>
  <c r="M116" i="5"/>
  <c r="C120" i="5"/>
  <c r="I119" i="5"/>
  <c r="E118" i="5"/>
  <c r="J117" i="5"/>
  <c r="K117" i="5" s="1"/>
  <c r="H117" i="5"/>
  <c r="M118" i="6" l="1"/>
  <c r="M111" i="7"/>
  <c r="G113" i="7"/>
  <c r="L112" i="7"/>
  <c r="J112" i="7"/>
  <c r="K112" i="7" s="1"/>
  <c r="M112" i="7" s="1"/>
  <c r="E113" i="7"/>
  <c r="H112" i="7"/>
  <c r="I115" i="8"/>
  <c r="C116" i="8"/>
  <c r="E114" i="8"/>
  <c r="J113" i="8"/>
  <c r="K113" i="8" s="1"/>
  <c r="M113" i="8" s="1"/>
  <c r="H113" i="8"/>
  <c r="L114" i="8"/>
  <c r="G115" i="8"/>
  <c r="I114" i="7"/>
  <c r="C115" i="7"/>
  <c r="G120" i="6"/>
  <c r="L119" i="6"/>
  <c r="C122" i="6"/>
  <c r="I121" i="6"/>
  <c r="E120" i="6"/>
  <c r="J119" i="6"/>
  <c r="K119" i="6" s="1"/>
  <c r="H119" i="6"/>
  <c r="E119" i="5"/>
  <c r="J118" i="5"/>
  <c r="K118" i="5" s="1"/>
  <c r="H118" i="5"/>
  <c r="C121" i="5"/>
  <c r="I120" i="5"/>
  <c r="M117" i="5"/>
  <c r="G119" i="5"/>
  <c r="L118" i="5"/>
  <c r="M119" i="6" l="1"/>
  <c r="C116" i="7"/>
  <c r="I115" i="7"/>
  <c r="J113" i="7"/>
  <c r="K113" i="7" s="1"/>
  <c r="E114" i="7"/>
  <c r="H113" i="7"/>
  <c r="G116" i="8"/>
  <c r="L115" i="8"/>
  <c r="I116" i="8"/>
  <c r="C117" i="8"/>
  <c r="J114" i="8"/>
  <c r="K114" i="8" s="1"/>
  <c r="M114" i="8" s="1"/>
  <c r="E115" i="8"/>
  <c r="H114" i="8"/>
  <c r="G114" i="7"/>
  <c r="L113" i="7"/>
  <c r="E121" i="6"/>
  <c r="J120" i="6"/>
  <c r="K120" i="6" s="1"/>
  <c r="H120" i="6"/>
  <c r="I122" i="6"/>
  <c r="G121" i="6"/>
  <c r="L120" i="6"/>
  <c r="C122" i="5"/>
  <c r="I121" i="5"/>
  <c r="M118" i="5"/>
  <c r="G120" i="5"/>
  <c r="L119" i="5"/>
  <c r="E120" i="5"/>
  <c r="J119" i="5"/>
  <c r="K119" i="5" s="1"/>
  <c r="H119" i="5"/>
  <c r="M120" i="6" l="1"/>
  <c r="G115" i="7"/>
  <c r="L114" i="7"/>
  <c r="E116" i="8"/>
  <c r="J115" i="8"/>
  <c r="K115" i="8" s="1"/>
  <c r="M115" i="8" s="1"/>
  <c r="H115" i="8"/>
  <c r="M113" i="7"/>
  <c r="I117" i="8"/>
  <c r="C118" i="8"/>
  <c r="G117" i="8"/>
  <c r="L116" i="8"/>
  <c r="E115" i="7"/>
  <c r="J114" i="7"/>
  <c r="K114" i="7" s="1"/>
  <c r="M114" i="7" s="1"/>
  <c r="H114" i="7"/>
  <c r="C117" i="7"/>
  <c r="I116" i="7"/>
  <c r="G122" i="6"/>
  <c r="L122" i="6" s="1"/>
  <c r="L121" i="6"/>
  <c r="E122" i="6"/>
  <c r="J121" i="6"/>
  <c r="K121" i="6" s="1"/>
  <c r="H121" i="6"/>
  <c r="E121" i="5"/>
  <c r="J120" i="5"/>
  <c r="K120" i="5" s="1"/>
  <c r="H120" i="5"/>
  <c r="G121" i="5"/>
  <c r="L120" i="5"/>
  <c r="I122" i="5"/>
  <c r="M119" i="5"/>
  <c r="M121" i="6" l="1"/>
  <c r="I117" i="7"/>
  <c r="C118" i="7"/>
  <c r="J116" i="8"/>
  <c r="K116" i="8" s="1"/>
  <c r="M116" i="8" s="1"/>
  <c r="E117" i="8"/>
  <c r="H116" i="8"/>
  <c r="C119" i="8"/>
  <c r="I118" i="8"/>
  <c r="E116" i="7"/>
  <c r="J115" i="7"/>
  <c r="K115" i="7" s="1"/>
  <c r="H115" i="7"/>
  <c r="L117" i="8"/>
  <c r="G118" i="8"/>
  <c r="L115" i="7"/>
  <c r="G116" i="7"/>
  <c r="J122" i="6"/>
  <c r="K122" i="6" s="1"/>
  <c r="M122" i="6" s="1"/>
  <c r="H122" i="6"/>
  <c r="G122" i="5"/>
  <c r="L122" i="5" s="1"/>
  <c r="L121" i="5"/>
  <c r="M120" i="5"/>
  <c r="E122" i="5"/>
  <c r="J121" i="5"/>
  <c r="K121" i="5" s="1"/>
  <c r="M121" i="5" s="1"/>
  <c r="H121" i="5"/>
  <c r="E118" i="8" l="1"/>
  <c r="J117" i="8"/>
  <c r="K117" i="8" s="1"/>
  <c r="M117" i="8" s="1"/>
  <c r="H117" i="8"/>
  <c r="L116" i="7"/>
  <c r="G117" i="7"/>
  <c r="C120" i="8"/>
  <c r="I119" i="8"/>
  <c r="G119" i="8"/>
  <c r="L118" i="8"/>
  <c r="M115" i="7"/>
  <c r="E117" i="7"/>
  <c r="J116" i="7"/>
  <c r="K116" i="7" s="1"/>
  <c r="M116" i="7" s="1"/>
  <c r="H116" i="7"/>
  <c r="I118" i="7"/>
  <c r="C119" i="7"/>
  <c r="J122" i="5"/>
  <c r="K122" i="5" s="1"/>
  <c r="M122" i="5" s="1"/>
  <c r="H122" i="5"/>
  <c r="C121" i="8" l="1"/>
  <c r="I120" i="8"/>
  <c r="J117" i="7"/>
  <c r="K117" i="7" s="1"/>
  <c r="M117" i="7" s="1"/>
  <c r="E118" i="7"/>
  <c r="H117" i="7"/>
  <c r="I119" i="7"/>
  <c r="C120" i="7"/>
  <c r="G118" i="7"/>
  <c r="L117" i="7"/>
  <c r="G120" i="8"/>
  <c r="L119" i="8"/>
  <c r="E119" i="8"/>
  <c r="J118" i="8"/>
  <c r="K118" i="8" s="1"/>
  <c r="M118" i="8" s="1"/>
  <c r="H118" i="8"/>
  <c r="G121" i="8" l="1"/>
  <c r="L120" i="8"/>
  <c r="C121" i="7"/>
  <c r="I120" i="7"/>
  <c r="E120" i="8"/>
  <c r="J119" i="8"/>
  <c r="K119" i="8" s="1"/>
  <c r="M119" i="8" s="1"/>
  <c r="H119" i="8"/>
  <c r="J118" i="7"/>
  <c r="K118" i="7" s="1"/>
  <c r="E119" i="7"/>
  <c r="H118" i="7"/>
  <c r="G119" i="7"/>
  <c r="L118" i="7"/>
  <c r="I121" i="8"/>
  <c r="C122" i="8"/>
  <c r="C123" i="8" l="1"/>
  <c r="I122" i="8"/>
  <c r="J120" i="8"/>
  <c r="K120" i="8" s="1"/>
  <c r="M120" i="8" s="1"/>
  <c r="E121" i="8"/>
  <c r="H120" i="8"/>
  <c r="L119" i="7"/>
  <c r="G120" i="7"/>
  <c r="C122" i="7"/>
  <c r="I121" i="7"/>
  <c r="E120" i="7"/>
  <c r="J119" i="7"/>
  <c r="K119" i="7" s="1"/>
  <c r="H119" i="7"/>
  <c r="M118" i="7"/>
  <c r="L121" i="8"/>
  <c r="G122" i="8"/>
  <c r="L122" i="8" s="1"/>
  <c r="G121" i="7" l="1"/>
  <c r="L120" i="7"/>
  <c r="M119" i="7"/>
  <c r="E122" i="8"/>
  <c r="J121" i="8"/>
  <c r="K121" i="8" s="1"/>
  <c r="M121" i="8" s="1"/>
  <c r="H121" i="8"/>
  <c r="J120" i="7"/>
  <c r="K120" i="7" s="1"/>
  <c r="M120" i="7" s="1"/>
  <c r="E121" i="7"/>
  <c r="H120" i="7"/>
  <c r="I122" i="7"/>
  <c r="C123" i="7"/>
  <c r="E122" i="7" l="1"/>
  <c r="J121" i="7"/>
  <c r="K121" i="7" s="1"/>
  <c r="H121" i="7"/>
  <c r="J122" i="8"/>
  <c r="K122" i="8" s="1"/>
  <c r="M122" i="8" s="1"/>
  <c r="H122" i="8"/>
  <c r="L121" i="7"/>
  <c r="G122" i="7"/>
  <c r="L122" i="7" s="1"/>
  <c r="M121" i="7" l="1"/>
  <c r="J122" i="7"/>
  <c r="K122" i="7" s="1"/>
  <c r="M122" i="7" s="1"/>
  <c r="H122" i="7"/>
  <c r="K38" i="1" l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K30" i="1"/>
  <c r="J30" i="1"/>
  <c r="I30" i="1"/>
  <c r="H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I16" i="1"/>
  <c r="H16" i="1"/>
  <c r="G16" i="1"/>
  <c r="F16" i="1"/>
  <c r="J16" i="1" s="1"/>
  <c r="K15" i="1"/>
  <c r="J15" i="1"/>
  <c r="I15" i="1"/>
  <c r="H15" i="1"/>
  <c r="G15" i="1"/>
  <c r="F15" i="1"/>
  <c r="J14" i="1"/>
  <c r="I14" i="1"/>
  <c r="H14" i="1"/>
  <c r="G14" i="1"/>
  <c r="K14" i="1" s="1"/>
  <c r="F14" i="1"/>
  <c r="K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</calcChain>
</file>

<file path=xl/comments1.xml><?xml version="1.0" encoding="utf-8"?>
<comments xmlns="http://schemas.openxmlformats.org/spreadsheetml/2006/main">
  <authors>
    <author>Puget Sound Energy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Rate needs to chage quarterly</t>
        </r>
      </text>
    </comment>
  </commentList>
</comments>
</file>

<file path=xl/sharedStrings.xml><?xml version="1.0" encoding="utf-8"?>
<sst xmlns="http://schemas.openxmlformats.org/spreadsheetml/2006/main" count="543" uniqueCount="181">
  <si>
    <t>Electric Conversion Factor</t>
  </si>
  <si>
    <t>Regulatory Assets and Liabilities</t>
  </si>
  <si>
    <t>Gas Conversion Factor</t>
  </si>
  <si>
    <t>Debt Return Ratio</t>
  </si>
  <si>
    <t>Amortization Expense</t>
  </si>
  <si>
    <t>Revenue Requirement</t>
  </si>
  <si>
    <t>SEF-6 &amp; 11</t>
  </si>
  <si>
    <t>Adj No.</t>
  </si>
  <si>
    <t>Description</t>
  </si>
  <si>
    <t>Rate Base?</t>
  </si>
  <si>
    <t>Electric</t>
  </si>
  <si>
    <t>Gas</t>
  </si>
  <si>
    <t>6.15 / 11.15</t>
  </si>
  <si>
    <t>Deferred Gains on Property Sales</t>
  </si>
  <si>
    <t>W/C</t>
  </si>
  <si>
    <t>Deferred Losses on Property Sales</t>
  </si>
  <si>
    <t>Deferred Loss on Water Heater Sale</t>
  </si>
  <si>
    <t>6.23 / 11.23</t>
  </si>
  <si>
    <t>AMR Regulatory Asset</t>
  </si>
  <si>
    <t>Yes</t>
  </si>
  <si>
    <t>6.24 / 11.24</t>
  </si>
  <si>
    <r>
      <t xml:space="preserve">AMI Return Deferral </t>
    </r>
    <r>
      <rPr>
        <sz val="11"/>
        <color rgb="FF0000FF"/>
        <rFont val="Calibri"/>
        <family val="2"/>
        <scheme val="minor"/>
      </rPr>
      <t xml:space="preserve"> (</t>
    </r>
    <r>
      <rPr>
        <i/>
        <sz val="11"/>
        <color rgb="FF0000FF"/>
        <rFont val="Calibri"/>
        <family val="2"/>
      </rPr>
      <t>Debt Return Only</t>
    </r>
    <r>
      <rPr>
        <sz val="11"/>
        <color rgb="FF0000FF"/>
        <rFont val="Calibri"/>
        <family val="2"/>
        <scheme val="minor"/>
      </rPr>
      <t>)</t>
    </r>
  </si>
  <si>
    <t>No</t>
  </si>
  <si>
    <t>AMI Carrying Charges on T1 Depreciation Deferral</t>
  </si>
  <si>
    <t>AMI T2 Depreciation Deferral</t>
  </si>
  <si>
    <t>6.49 / 11.49</t>
  </si>
  <si>
    <t xml:space="preserve">AMI T1 Depreciation Deferral </t>
  </si>
  <si>
    <t>6.25 / 11.25</t>
  </si>
  <si>
    <t xml:space="preserve">GTZ T1 Depreciation Deferral </t>
  </si>
  <si>
    <t xml:space="preserve">GTZ T1 Carrying Charges Deferral </t>
  </si>
  <si>
    <t xml:space="preserve">GTZ T2 Depreciation Deferral </t>
  </si>
  <si>
    <t xml:space="preserve">GTZ T2 Carrying Charges Deferral </t>
  </si>
  <si>
    <t>6.26 / 11.26</t>
  </si>
  <si>
    <t>Environmental Remediation</t>
  </si>
  <si>
    <t>Mint Farm</t>
  </si>
  <si>
    <t>SPI Biomass</t>
  </si>
  <si>
    <t>Chelan PUD</t>
  </si>
  <si>
    <t>LSR PP Trnsm Principal</t>
  </si>
  <si>
    <t>Carrying Charges on LSR PP Trnsm Principal</t>
  </si>
  <si>
    <t xml:space="preserve">LNG Upgrade Return Deferral </t>
  </si>
  <si>
    <t xml:space="preserve">LNG Upgrade Depreciation Deferral </t>
  </si>
  <si>
    <t>Major Maintenance</t>
  </si>
  <si>
    <t>Deferred Storms - 5 Year Amortization</t>
  </si>
  <si>
    <t>Deferred Storms - 4 Year Amortization</t>
  </si>
  <si>
    <t xml:space="preserve">EV Program Cost  Deferral </t>
  </si>
  <si>
    <t xml:space="preserve">EV Return Deferral </t>
  </si>
  <si>
    <t xml:space="preserve">EV Carrying Charges Deferral </t>
  </si>
  <si>
    <t>INCREASE (DECREASE) NOI</t>
  </si>
  <si>
    <t>INCREASE (DECREASE) FIT @</t>
  </si>
  <si>
    <t>INCREASE (DECREASE ) EXPENSE</t>
  </si>
  <si>
    <t>FOUR FACTOR ALLOCATOR</t>
  </si>
  <si>
    <t>TOTAL OPERATING EXPENSES</t>
  </si>
  <si>
    <t>T2 AMORTIZATION OF CARRYING CHARGES DEFERRAL</t>
  </si>
  <si>
    <t>T2 AMORTIZATION OF AMORTIZATION DEFERRAL</t>
  </si>
  <si>
    <t>T1 AMORTIZATION OF CARRYING CHARGES DEFERRAL</t>
  </si>
  <si>
    <t>T1 AMORTIZATION OF DEPRECIATION DEFERRAL</t>
  </si>
  <si>
    <t>T1 REMOVE TY DEPRECIATION DEFERRAL</t>
  </si>
  <si>
    <t>OPERATING EXPENSE</t>
  </si>
  <si>
    <t>NET RATEBASE</t>
  </si>
  <si>
    <t>TOTAL DEPRECIATION DEFERRALS</t>
  </si>
  <si>
    <t xml:space="preserve">T2 DFIT ON DEPRECIATION DEFERRAL </t>
  </si>
  <si>
    <t xml:space="preserve">T2 ACCUMULATED DEPRECIATION DEFERRAL </t>
  </si>
  <si>
    <t>T2 DEPRECIATION DEFERRAL ADDITIONS</t>
  </si>
  <si>
    <t xml:space="preserve">T1 DFIT ON DEPRECIATION DEFERRAL </t>
  </si>
  <si>
    <t>T1 ACCUM AMORT ON DEPRECIATION DEFERRAL</t>
  </si>
  <si>
    <t>T1 DEPRECIATION DEFERRAL</t>
  </si>
  <si>
    <t>DEPRECIATION DEFERRAL</t>
  </si>
  <si>
    <t>DEFERRALS</t>
  </si>
  <si>
    <t>TOTAL UTILITY PLANT</t>
  </si>
  <si>
    <t>DEFERRED INCOME TAX LIABILITY</t>
  </si>
  <si>
    <t>ACCUM DEPRECIATION</t>
  </si>
  <si>
    <t>PLANT ADDITIONS JAN-JUN 2019</t>
  </si>
  <si>
    <t>UTILITY PLANT</t>
  </si>
  <si>
    <t>RATEBASE (AMA) UTILITY PLANT RATEBASE</t>
  </si>
  <si>
    <t>from EOP Adj</t>
  </si>
  <si>
    <t>RATE YEAR 3</t>
  </si>
  <si>
    <t>ADJUSTMENTS</t>
  </si>
  <si>
    <t>RATE YEAR 2</t>
  </si>
  <si>
    <t>RATE YEAR 1</t>
  </si>
  <si>
    <t>OPERATIONS</t>
  </si>
  <si>
    <t>YEAR</t>
  </si>
  <si>
    <t>%'s</t>
  </si>
  <si>
    <t>DESCRIPTION</t>
  </si>
  <si>
    <t>NO.</t>
  </si>
  <si>
    <t>END OF</t>
  </si>
  <si>
    <t>PROVISIONAL</t>
  </si>
  <si>
    <t>START OF</t>
  </si>
  <si>
    <t>RESULTS OF</t>
  </si>
  <si>
    <t>PERIOD</t>
  </si>
  <si>
    <t>RESTATING</t>
  </si>
  <si>
    <t>TEST</t>
  </si>
  <si>
    <t>LINE</t>
  </si>
  <si>
    <t>RESULTS</t>
  </si>
  <si>
    <t>GAP YEAR</t>
  </si>
  <si>
    <t>ADJUSTED</t>
  </si>
  <si>
    <t>PROFORMA</t>
  </si>
  <si>
    <t>RESTATED</t>
  </si>
  <si>
    <t>12ME JUNE 2021</t>
  </si>
  <si>
    <t>DEC 2021</t>
  </si>
  <si>
    <t>AMA</t>
  </si>
  <si>
    <t>EOP</t>
  </si>
  <si>
    <t>GTZ PLANT &amp; DEFERRAL</t>
  </si>
  <si>
    <t>PUGET SOUND ENERGY - ELECTRIC</t>
  </si>
  <si>
    <t>TRADITIONAL</t>
  </si>
  <si>
    <t>Check=&gt;</t>
  </si>
  <si>
    <t>(l)= (j) + (k)</t>
  </si>
  <si>
    <t>(k) = AMA (f)</t>
  </si>
  <si>
    <t>(j) = (h) + (i)</t>
  </si>
  <si>
    <t>(i) = AMA (d)</t>
  </si>
  <si>
    <t>(h) = AMA (b)</t>
  </si>
  <si>
    <t>(g) = (b) + (d) + (f)</t>
  </si>
  <si>
    <t>(f) = ∑ (e)</t>
  </si>
  <si>
    <t>(e) = -((a) + (c)) * 21%</t>
  </si>
  <si>
    <t>(d) = ∑ - (c)</t>
  </si>
  <si>
    <t>(c) = (b) ÷ 24</t>
  </si>
  <si>
    <t>(b)</t>
  </si>
  <si>
    <t>(a)</t>
  </si>
  <si>
    <t>Balance</t>
  </si>
  <si>
    <t>Accum DFIT</t>
  </si>
  <si>
    <t>Net</t>
  </si>
  <si>
    <t>Amortization</t>
  </si>
  <si>
    <t>DFIT</t>
  </si>
  <si>
    <t>Depreciation</t>
  </si>
  <si>
    <t>AMA Rate Base</t>
  </si>
  <si>
    <t>AMA Accum.</t>
  </si>
  <si>
    <t>AMA Gross</t>
  </si>
  <si>
    <t>Rate Base</t>
  </si>
  <si>
    <t>Accumulated</t>
  </si>
  <si>
    <t>Monthly DFIT</t>
  </si>
  <si>
    <t>Monthly</t>
  </si>
  <si>
    <t>Accum Monthly</t>
  </si>
  <si>
    <t xml:space="preserve">Deferred </t>
  </si>
  <si>
    <t>Month</t>
  </si>
  <si>
    <t>AMA Amounts</t>
  </si>
  <si>
    <t>End of Period Amounts</t>
  </si>
  <si>
    <t>GTZ Tranche 2 Amortization - ELECTRIC</t>
  </si>
  <si>
    <t>GTZ Tranche 2 Amortization - GAS</t>
  </si>
  <si>
    <t>GTZ Tranche 2 Amortization CC- ELECTRIC</t>
  </si>
  <si>
    <t>GTZ Tranche 2 Amortization CC- GAS</t>
  </si>
  <si>
    <t>Grand Total Elec and Gas</t>
  </si>
  <si>
    <t>END Deferral</t>
  </si>
  <si>
    <t>forecast</t>
  </si>
  <si>
    <t>Ties to SAP</t>
  </si>
  <si>
    <t>ties to G/L</t>
  </si>
  <si>
    <t>True-Up</t>
  </si>
  <si>
    <t>Charges</t>
  </si>
  <si>
    <t>CC Chgs</t>
  </si>
  <si>
    <t>Deferral</t>
  </si>
  <si>
    <t>UE-180899 &amp; UG-180900</t>
  </si>
  <si>
    <t>Common</t>
  </si>
  <si>
    <t>Date</t>
  </si>
  <si>
    <t>Carrying</t>
  </si>
  <si>
    <t>Deferred</t>
  </si>
  <si>
    <t>Additions to</t>
  </si>
  <si>
    <t>Cumulative</t>
  </si>
  <si>
    <t>18ERF ROR</t>
  </si>
  <si>
    <t>All 3</t>
  </si>
  <si>
    <t>XXXXXXX</t>
  </si>
  <si>
    <t>Direct</t>
  </si>
  <si>
    <t>G-Common</t>
  </si>
  <si>
    <t>E- Common</t>
  </si>
  <si>
    <t>PSE Ater Tax</t>
  </si>
  <si>
    <t>SAP Account:</t>
  </si>
  <si>
    <t>Grand Tot</t>
  </si>
  <si>
    <t>Total</t>
  </si>
  <si>
    <t>GAS</t>
  </si>
  <si>
    <t>ELECTRIC</t>
  </si>
  <si>
    <t>COMMON</t>
  </si>
  <si>
    <t>For Investment January 2020 - Forward</t>
  </si>
  <si>
    <t>GTZ Depreciation Deferral Accounting Petition</t>
  </si>
  <si>
    <t>NEW-PSE-WP-SEF-6E-11G-GTZ-22GRC-01-2022</t>
  </si>
  <si>
    <t>220066-67-PSE-Compliance Filing</t>
  </si>
  <si>
    <t>220066-67-PSE-Settlement-Exh-N-List of Regulatory Assets &amp; Liab to be Amortized over MYRP (additional shading added)</t>
  </si>
  <si>
    <t>220066-67-PSE-Compliance Filing (additional shading added)</t>
  </si>
  <si>
    <t>PUGET SOUND ENERGY - GAS</t>
  </si>
  <si>
    <t>Diveded by 48</t>
  </si>
  <si>
    <t>months (despite</t>
  </si>
  <si>
    <t>bad labeling</t>
  </si>
  <si>
    <t>in cell D10)</t>
  </si>
  <si>
    <t>|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</si>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</sst>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-409]mmmm\ d\,\ yyyy;@"/>
    <numFmt numFmtId="167" formatCode="0.0%"/>
    <numFmt numFmtId="168" formatCode="0.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i/>
      <sz val="11"/>
      <color theme="4" tint="-0.249977111117893"/>
      <name val="Calibri"/>
      <family val="2"/>
      <scheme val="minor"/>
    </font>
    <font>
      <b/>
      <sz val="9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5">
    <xf numFmtId="0" fontId="0" fillId="0" borderId="0" xfId="0"/>
    <xf numFmtId="0" fontId="3" fillId="0" borderId="0" xfId="0" applyFont="1"/>
    <xf numFmtId="10" fontId="0" fillId="0" borderId="0" xfId="0" applyNumberFormat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4" xfId="2" applyNumberFormat="1" applyFont="1" applyBorder="1"/>
    <xf numFmtId="164" fontId="0" fillId="0" borderId="9" xfId="2" applyNumberFormat="1" applyFont="1" applyBorder="1"/>
    <xf numFmtId="164" fontId="0" fillId="0" borderId="10" xfId="2" applyNumberFormat="1" applyFont="1" applyBorder="1"/>
    <xf numFmtId="164" fontId="0" fillId="0" borderId="5" xfId="2" applyNumberFormat="1" applyFont="1" applyBorder="1"/>
    <xf numFmtId="165" fontId="0" fillId="0" borderId="4" xfId="1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5" xfId="1" applyNumberFormat="1" applyFont="1" applyBorder="1"/>
    <xf numFmtId="165" fontId="0" fillId="0" borderId="0" xfId="1" applyNumberFormat="1" applyFont="1"/>
    <xf numFmtId="165" fontId="0" fillId="0" borderId="10" xfId="1" quotePrefix="1" applyNumberFormat="1" applyFont="1" applyBorder="1"/>
    <xf numFmtId="165" fontId="0" fillId="0" borderId="9" xfId="0" applyNumberFormat="1" applyBorder="1"/>
    <xf numFmtId="2" fontId="0" fillId="0" borderId="0" xfId="0" applyNumberFormat="1" applyAlignment="1">
      <alignment horizontal="left"/>
    </xf>
    <xf numFmtId="165" fontId="0" fillId="0" borderId="4" xfId="0" applyNumberFormat="1" applyBorder="1"/>
    <xf numFmtId="43" fontId="0" fillId="0" borderId="9" xfId="1" applyFont="1" applyBorder="1"/>
    <xf numFmtId="43" fontId="0" fillId="0" borderId="5" xfId="1" applyFont="1" applyBorder="1"/>
    <xf numFmtId="165" fontId="0" fillId="0" borderId="7" xfId="0" applyNumberForma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8" xfId="1" applyNumberFormat="1" applyFont="1" applyBorder="1"/>
    <xf numFmtId="43" fontId="0" fillId="0" borderId="11" xfId="1" applyFont="1" applyBorder="1"/>
    <xf numFmtId="43" fontId="0" fillId="0" borderId="8" xfId="1" applyFont="1" applyBorder="1"/>
    <xf numFmtId="0" fontId="0" fillId="0" borderId="0" xfId="0" applyFill="1"/>
    <xf numFmtId="164" fontId="6" fillId="0" borderId="13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center"/>
    </xf>
    <xf numFmtId="41" fontId="6" fillId="0" borderId="6" xfId="0" applyNumberFormat="1" applyFont="1" applyFill="1" applyBorder="1" applyAlignment="1" applyProtection="1">
      <protection locked="0"/>
    </xf>
    <xf numFmtId="9" fontId="6" fillId="0" borderId="0" xfId="0" applyNumberFormat="1" applyFont="1" applyFill="1" applyBorder="1" applyAlignment="1"/>
    <xf numFmtId="41" fontId="6" fillId="0" borderId="0" xfId="0" applyNumberFormat="1" applyFont="1" applyFill="1" applyBorder="1" applyAlignment="1"/>
    <xf numFmtId="0" fontId="6" fillId="0" borderId="0" xfId="0" applyFont="1" applyFill="1"/>
    <xf numFmtId="41" fontId="7" fillId="0" borderId="0" xfId="0" applyNumberFormat="1" applyFont="1" applyFill="1" applyBorder="1" applyAlignment="1"/>
    <xf numFmtId="10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indent="1"/>
    </xf>
    <xf numFmtId="0" fontId="6" fillId="0" borderId="0" xfId="0" applyFont="1" applyFill="1" applyAlignment="1">
      <alignment horizontal="left" indent="1"/>
    </xf>
    <xf numFmtId="41" fontId="6" fillId="0" borderId="0" xfId="0" applyNumberFormat="1" applyFont="1" applyFill="1"/>
    <xf numFmtId="165" fontId="6" fillId="0" borderId="0" xfId="0" applyNumberFormat="1" applyFont="1" applyFill="1" applyAlignment="1"/>
    <xf numFmtId="0" fontId="6" fillId="0" borderId="0" xfId="0" applyNumberFormat="1" applyFont="1" applyFill="1" applyAlignment="1"/>
    <xf numFmtId="0" fontId="8" fillId="0" borderId="0" xfId="0" applyFont="1" applyFill="1" applyAlignment="1">
      <alignment horizontal="left"/>
    </xf>
    <xf numFmtId="42" fontId="7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left" indent="2"/>
    </xf>
    <xf numFmtId="42" fontId="6" fillId="0" borderId="14" xfId="0" applyNumberFormat="1" applyFont="1" applyFill="1" applyBorder="1" applyAlignment="1"/>
    <xf numFmtId="0" fontId="6" fillId="0" borderId="0" xfId="0" applyFont="1" applyFill="1" applyAlignment="1">
      <alignment horizontal="left"/>
    </xf>
    <xf numFmtId="41" fontId="6" fillId="0" borderId="2" xfId="0" applyNumberFormat="1" applyFont="1" applyFill="1" applyBorder="1" applyAlignment="1"/>
    <xf numFmtId="0" fontId="6" fillId="0" borderId="0" xfId="0" applyFont="1" applyFill="1" applyAlignment="1">
      <alignment horizontal="left" indent="2"/>
    </xf>
    <xf numFmtId="41" fontId="9" fillId="0" borderId="0" xfId="0" applyNumberFormat="1" applyFont="1" applyFill="1" applyBorder="1" applyAlignment="1"/>
    <xf numFmtId="41" fontId="9" fillId="0" borderId="0" xfId="0" applyNumberFormat="1" applyFont="1" applyFill="1"/>
    <xf numFmtId="0" fontId="9" fillId="0" borderId="0" xfId="0" applyFont="1" applyFill="1" applyAlignment="1">
      <alignment horizontal="left" indent="2"/>
    </xf>
    <xf numFmtId="0" fontId="10" fillId="0" borderId="0" xfId="0" applyFont="1" applyFill="1" applyAlignment="1">
      <alignment horizontal="left"/>
    </xf>
    <xf numFmtId="41" fontId="9" fillId="0" borderId="2" xfId="0" applyNumberFormat="1" applyFont="1" applyFill="1" applyBorder="1" applyAlignment="1"/>
    <xf numFmtId="0" fontId="9" fillId="0" borderId="0" xfId="0" applyFont="1" applyFill="1" applyAlignment="1">
      <alignment horizontal="left"/>
    </xf>
    <xf numFmtId="41" fontId="9" fillId="0" borderId="0" xfId="0" applyNumberFormat="1" applyFont="1" applyFill="1" applyBorder="1"/>
    <xf numFmtId="42" fontId="9" fillId="0" borderId="0" xfId="0" applyNumberFormat="1" applyFont="1" applyFill="1" applyBorder="1" applyAlignment="1"/>
    <xf numFmtId="164" fontId="9" fillId="0" borderId="0" xfId="0" applyNumberFormat="1" applyFont="1" applyFill="1" applyBorder="1" applyAlignment="1"/>
    <xf numFmtId="42" fontId="9" fillId="0" borderId="0" xfId="0" applyNumberFormat="1" applyFont="1" applyFill="1" applyAlignment="1" applyProtection="1">
      <protection locked="0"/>
    </xf>
    <xf numFmtId="0" fontId="9" fillId="0" borderId="0" xfId="0" applyFont="1" applyFill="1"/>
    <xf numFmtId="0" fontId="11" fillId="0" borderId="0" xfId="0" applyFont="1" applyFill="1" applyAlignment="1">
      <alignment horizontal="centerContinuous"/>
    </xf>
    <xf numFmtId="0" fontId="12" fillId="2" borderId="8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0" borderId="6" xfId="0" quotePrefix="1" applyFont="1" applyFill="1" applyBorder="1" applyAlignment="1" applyProtection="1">
      <alignment horizontal="center"/>
      <protection locked="0"/>
    </xf>
    <xf numFmtId="0" fontId="12" fillId="0" borderId="6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NumberFormat="1" applyFont="1" applyFill="1" applyAlignment="1"/>
    <xf numFmtId="0" fontId="7" fillId="0" borderId="0" xfId="0" applyFont="1" applyFill="1" applyAlignment="1" applyProtection="1">
      <alignment horizontal="center"/>
      <protection locked="0"/>
    </xf>
    <xf numFmtId="0" fontId="12" fillId="0" borderId="17" xfId="0" applyFont="1" applyBorder="1"/>
    <xf numFmtId="0" fontId="12" fillId="0" borderId="0" xfId="0" applyFont="1" applyFill="1" applyBorder="1" applyAlignment="1" applyProtection="1">
      <protection locked="0"/>
    </xf>
    <xf numFmtId="0" fontId="12" fillId="0" borderId="19" xfId="0" applyFont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2" borderId="3" xfId="0" quotePrefix="1" applyFont="1" applyFill="1" applyBorder="1" applyAlignment="1">
      <alignment horizontal="center"/>
    </xf>
    <xf numFmtId="17" fontId="12" fillId="0" borderId="19" xfId="0" applyNumberFormat="1" applyFont="1" applyBorder="1" applyAlignment="1">
      <alignment horizontal="center"/>
    </xf>
    <xf numFmtId="0" fontId="9" fillId="2" borderId="19" xfId="0" applyFont="1" applyFill="1" applyBorder="1"/>
    <xf numFmtId="0" fontId="9" fillId="0" borderId="19" xfId="0" applyFont="1" applyBorder="1"/>
    <xf numFmtId="0" fontId="9" fillId="2" borderId="20" xfId="0" applyFont="1" applyFill="1" applyBorder="1"/>
    <xf numFmtId="0" fontId="9" fillId="2" borderId="21" xfId="0" applyFont="1" applyFill="1" applyBorder="1" applyAlignment="1">
      <alignment horizontal="centerContinuous"/>
    </xf>
    <xf numFmtId="0" fontId="9" fillId="2" borderId="22" xfId="0" applyFont="1" applyFill="1" applyBorder="1" applyAlignment="1">
      <alignment horizontal="centerContinuous"/>
    </xf>
    <xf numFmtId="0" fontId="12" fillId="2" borderId="23" xfId="0" applyFont="1" applyFill="1" applyBorder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left"/>
    </xf>
    <xf numFmtId="0" fontId="13" fillId="0" borderId="0" xfId="0" applyNumberFormat="1" applyFont="1" applyFill="1" applyAlignment="1" applyProtection="1">
      <alignment horizontal="left"/>
      <protection locked="0"/>
    </xf>
    <xf numFmtId="0" fontId="14" fillId="0" borderId="0" xfId="0" applyFont="1"/>
    <xf numFmtId="164" fontId="14" fillId="0" borderId="0" xfId="0" applyNumberFormat="1" applyFont="1"/>
    <xf numFmtId="41" fontId="6" fillId="0" borderId="0" xfId="0" applyNumberFormat="1" applyFont="1" applyFill="1" applyBorder="1"/>
    <xf numFmtId="165" fontId="15" fillId="0" borderId="4" xfId="0" applyNumberFormat="1" applyFont="1" applyFill="1" applyBorder="1" applyAlignment="1"/>
    <xf numFmtId="0" fontId="2" fillId="0" borderId="0" xfId="0" applyFont="1" applyAlignment="1">
      <alignment horizontal="right"/>
    </xf>
    <xf numFmtId="165" fontId="16" fillId="3" borderId="24" xfId="0" applyNumberFormat="1" applyFont="1" applyFill="1" applyBorder="1" applyAlignment="1"/>
    <xf numFmtId="165" fontId="16" fillId="3" borderId="25" xfId="0" applyNumberFormat="1" applyFont="1" applyFill="1" applyBorder="1" applyAlignment="1"/>
    <xf numFmtId="165" fontId="16" fillId="3" borderId="24" xfId="0" applyNumberFormat="1" applyFont="1" applyFill="1" applyBorder="1" applyAlignment="1">
      <alignment horizontal="center"/>
    </xf>
    <xf numFmtId="165" fontId="16" fillId="3" borderId="23" xfId="0" applyNumberFormat="1" applyFont="1" applyFill="1" applyBorder="1" applyAlignment="1"/>
    <xf numFmtId="166" fontId="16" fillId="3" borderId="24" xfId="0" applyNumberFormat="1" applyFont="1" applyFill="1" applyBorder="1" applyAlignment="1">
      <alignment horizontal="right"/>
    </xf>
    <xf numFmtId="165" fontId="16" fillId="0" borderId="24" xfId="0" applyNumberFormat="1" applyFont="1" applyFill="1" applyBorder="1" applyAlignment="1"/>
    <xf numFmtId="165" fontId="16" fillId="4" borderId="24" xfId="0" applyNumberFormat="1" applyFont="1" applyFill="1" applyBorder="1" applyAlignment="1"/>
    <xf numFmtId="165" fontId="16" fillId="5" borderId="25" xfId="0" applyNumberFormat="1" applyFont="1" applyFill="1" applyBorder="1" applyAlignment="1"/>
    <xf numFmtId="165" fontId="16" fillId="5" borderId="24" xfId="0" applyNumberFormat="1" applyFont="1" applyFill="1" applyBorder="1" applyAlignment="1"/>
    <xf numFmtId="165" fontId="16" fillId="5" borderId="24" xfId="0" applyNumberFormat="1" applyFont="1" applyFill="1" applyBorder="1" applyAlignment="1">
      <alignment horizontal="center"/>
    </xf>
    <xf numFmtId="165" fontId="16" fillId="5" borderId="23" xfId="0" applyNumberFormat="1" applyFont="1" applyFill="1" applyBorder="1" applyAlignment="1"/>
    <xf numFmtId="166" fontId="16" fillId="0" borderId="24" xfId="0" applyNumberFormat="1" applyFont="1" applyFill="1" applyBorder="1" applyAlignment="1">
      <alignment horizontal="right"/>
    </xf>
    <xf numFmtId="0" fontId="14" fillId="0" borderId="0" xfId="0" applyFont="1" applyFill="1"/>
    <xf numFmtId="167" fontId="17" fillId="0" borderId="0" xfId="0" applyNumberFormat="1" applyFont="1" applyFill="1"/>
    <xf numFmtId="165" fontId="14" fillId="0" borderId="0" xfId="0" applyNumberFormat="1" applyFont="1" applyFill="1"/>
    <xf numFmtId="167" fontId="17" fillId="0" borderId="0" xfId="0" applyNumberFormat="1" applyFont="1"/>
    <xf numFmtId="0" fontId="17" fillId="0" borderId="0" xfId="0" applyFont="1"/>
    <xf numFmtId="166" fontId="16" fillId="0" borderId="24" xfId="0" applyNumberFormat="1" applyFont="1" applyBorder="1" applyAlignment="1">
      <alignment horizontal="right"/>
    </xf>
    <xf numFmtId="165" fontId="18" fillId="5" borderId="24" xfId="0" applyNumberFormat="1" applyFont="1" applyFill="1" applyBorder="1" applyAlignment="1">
      <alignment horizontal="center"/>
    </xf>
    <xf numFmtId="165" fontId="17" fillId="0" borderId="0" xfId="0" applyNumberFormat="1" applyFont="1"/>
    <xf numFmtId="42" fontId="16" fillId="0" borderId="24" xfId="0" applyNumberFormat="1" applyFont="1" applyFill="1" applyBorder="1" applyAlignment="1"/>
    <xf numFmtId="42" fontId="16" fillId="4" borderId="24" xfId="0" applyNumberFormat="1" applyFont="1" applyFill="1" applyBorder="1" applyAlignment="1"/>
    <xf numFmtId="164" fontId="16" fillId="5" borderId="25" xfId="0" applyNumberFormat="1" applyFont="1" applyFill="1" applyBorder="1" applyAlignment="1"/>
    <xf numFmtId="0" fontId="16" fillId="5" borderId="24" xfId="0" applyNumberFormat="1" applyFont="1" applyFill="1" applyBorder="1" applyAlignment="1"/>
    <xf numFmtId="0" fontId="18" fillId="5" borderId="24" xfId="0" applyNumberFormat="1" applyFont="1" applyFill="1" applyBorder="1" applyAlignment="1">
      <alignment horizontal="center"/>
    </xf>
    <xf numFmtId="164" fontId="16" fillId="5" borderId="23" xfId="0" applyNumberFormat="1" applyFont="1" applyFill="1" applyBorder="1" applyAlignment="1"/>
    <xf numFmtId="164" fontId="16" fillId="5" borderId="24" xfId="0" applyNumberFormat="1" applyFont="1" applyFill="1" applyBorder="1" applyAlignment="1"/>
    <xf numFmtId="0" fontId="19" fillId="0" borderId="0" xfId="0" applyFont="1"/>
    <xf numFmtId="0" fontId="18" fillId="0" borderId="26" xfId="0" applyNumberFormat="1" applyFont="1" applyBorder="1" applyAlignment="1">
      <alignment horizontal="center"/>
    </xf>
    <xf numFmtId="0" fontId="20" fillId="4" borderId="26" xfId="0" applyNumberFormat="1" applyFont="1" applyFill="1" applyBorder="1" applyAlignment="1">
      <alignment horizontal="center"/>
    </xf>
    <xf numFmtId="0" fontId="21" fillId="5" borderId="26" xfId="0" applyNumberFormat="1" applyFont="1" applyFill="1" applyBorder="1" applyAlignment="1">
      <alignment horizontal="center"/>
    </xf>
    <xf numFmtId="0" fontId="18" fillId="5" borderId="26" xfId="0" applyNumberFormat="1" applyFont="1" applyFill="1" applyBorder="1" applyAlignment="1">
      <alignment horizontal="center"/>
    </xf>
    <xf numFmtId="0" fontId="22" fillId="5" borderId="26" xfId="0" applyNumberFormat="1" applyFont="1" applyFill="1" applyBorder="1" applyAlignment="1">
      <alignment horizontal="center"/>
    </xf>
    <xf numFmtId="0" fontId="18" fillId="5" borderId="27" xfId="0" applyNumberFormat="1" applyFont="1" applyFill="1" applyBorder="1" applyAlignment="1">
      <alignment horizontal="center"/>
    </xf>
    <xf numFmtId="168" fontId="18" fillId="0" borderId="28" xfId="0" applyNumberFormat="1" applyFont="1" applyBorder="1" applyAlignment="1">
      <alignment horizontal="center"/>
    </xf>
    <xf numFmtId="168" fontId="18" fillId="4" borderId="28" xfId="0" applyNumberFormat="1" applyFont="1" applyFill="1" applyBorder="1" applyAlignment="1">
      <alignment horizontal="center"/>
    </xf>
    <xf numFmtId="168" fontId="18" fillId="5" borderId="28" xfId="0" applyNumberFormat="1" applyFont="1" applyFill="1" applyBorder="1" applyAlignment="1">
      <alignment horizontal="center"/>
    </xf>
    <xf numFmtId="9" fontId="23" fillId="5" borderId="28" xfId="0" applyNumberFormat="1" applyFont="1" applyFill="1" applyBorder="1" applyAlignment="1">
      <alignment horizontal="center"/>
    </xf>
    <xf numFmtId="0" fontId="18" fillId="5" borderId="28" xfId="0" applyNumberFormat="1" applyFont="1" applyFill="1" applyBorder="1" applyAlignment="1">
      <alignment horizontal="center"/>
    </xf>
    <xf numFmtId="0" fontId="16" fillId="0" borderId="28" xfId="0" applyNumberFormat="1" applyFont="1" applyBorder="1" applyAlignment="1"/>
    <xf numFmtId="168" fontId="18" fillId="0" borderId="29" xfId="0" applyNumberFormat="1" applyFont="1" applyBorder="1" applyAlignment="1">
      <alignment horizontal="center"/>
    </xf>
    <xf numFmtId="168" fontId="18" fillId="4" borderId="29" xfId="0" applyNumberFormat="1" applyFont="1" applyFill="1" applyBorder="1" applyAlignment="1">
      <alignment horizontal="center"/>
    </xf>
    <xf numFmtId="168" fontId="18" fillId="5" borderId="29" xfId="0" applyNumberFormat="1" applyFont="1" applyFill="1" applyBorder="1" applyAlignment="1">
      <alignment horizontal="center"/>
    </xf>
    <xf numFmtId="0" fontId="18" fillId="5" borderId="29" xfId="0" applyNumberFormat="1" applyFont="1" applyFill="1" applyBorder="1" applyAlignment="1">
      <alignment horizontal="center" vertical="center"/>
    </xf>
    <xf numFmtId="0" fontId="18" fillId="0" borderId="29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Continuous"/>
    </xf>
    <xf numFmtId="0" fontId="3" fillId="0" borderId="31" xfId="0" applyFont="1" applyBorder="1" applyAlignment="1">
      <alignment horizontal="centerContinuous"/>
    </xf>
    <xf numFmtId="42" fontId="18" fillId="0" borderId="31" xfId="0" applyNumberFormat="1" applyFont="1" applyFill="1" applyBorder="1" applyAlignment="1">
      <alignment horizontal="centerContinuous"/>
    </xf>
    <xf numFmtId="42" fontId="18" fillId="4" borderId="32" xfId="0" applyNumberFormat="1" applyFont="1" applyFill="1" applyBorder="1" applyAlignment="1">
      <alignment horizontal="centerContinuous"/>
    </xf>
    <xf numFmtId="42" fontId="18" fillId="5" borderId="30" xfId="0" applyNumberFormat="1" applyFont="1" applyFill="1" applyBorder="1" applyAlignment="1">
      <alignment horizontal="centerContinuous"/>
    </xf>
    <xf numFmtId="0" fontId="3" fillId="5" borderId="31" xfId="0" applyFont="1" applyFill="1" applyBorder="1" applyAlignment="1">
      <alignment horizontal="centerContinuous"/>
    </xf>
    <xf numFmtId="42" fontId="18" fillId="5" borderId="31" xfId="0" applyNumberFormat="1" applyFont="1" applyFill="1" applyBorder="1" applyAlignment="1">
      <alignment horizontal="centerContinuous"/>
    </xf>
    <xf numFmtId="168" fontId="18" fillId="5" borderId="31" xfId="0" applyNumberFormat="1" applyFont="1" applyFill="1" applyBorder="1" applyAlignment="1">
      <alignment horizontal="centerContinuous"/>
    </xf>
    <xf numFmtId="168" fontId="18" fillId="5" borderId="32" xfId="0" applyNumberFormat="1" applyFont="1" applyFill="1" applyBorder="1" applyAlignment="1">
      <alignment horizontal="centerContinuous"/>
    </xf>
    <xf numFmtId="168" fontId="18" fillId="0" borderId="0" xfId="0" applyNumberFormat="1" applyFont="1" applyFill="1" applyAlignment="1">
      <alignment horizontal="left"/>
    </xf>
    <xf numFmtId="0" fontId="24" fillId="0" borderId="0" xfId="0" applyNumberFormat="1" applyFont="1" applyFill="1" applyBorder="1" applyAlignment="1">
      <alignment horizontal="center"/>
    </xf>
    <xf numFmtId="42" fontId="16" fillId="0" borderId="0" xfId="0" applyNumberFormat="1" applyFont="1" applyFill="1" applyBorder="1" applyAlignment="1">
      <alignment horizontal="right"/>
    </xf>
    <xf numFmtId="164" fontId="0" fillId="0" borderId="0" xfId="0" applyNumberFormat="1"/>
    <xf numFmtId="0" fontId="18" fillId="0" borderId="0" xfId="0" applyFont="1" applyBorder="1" applyAlignment="1">
      <alignment horizontal="right"/>
    </xf>
    <xf numFmtId="168" fontId="16" fillId="0" borderId="0" xfId="0" applyNumberFormat="1" applyFont="1" applyFill="1" applyAlignment="1">
      <alignment horizontal="left"/>
    </xf>
    <xf numFmtId="165" fontId="17" fillId="0" borderId="0" xfId="0" applyNumberFormat="1" applyFont="1" applyFill="1"/>
    <xf numFmtId="165" fontId="0" fillId="0" borderId="0" xfId="0" applyNumberFormat="1" applyFont="1"/>
    <xf numFmtId="165" fontId="0" fillId="0" borderId="0" xfId="0" applyNumberFormat="1" applyFill="1"/>
    <xf numFmtId="165" fontId="0" fillId="0" borderId="0" xfId="0" applyNumberFormat="1" applyFont="1" applyFill="1"/>
    <xf numFmtId="10" fontId="1" fillId="0" borderId="0" xfId="0" applyNumberFormat="1" applyFont="1" applyFill="1"/>
    <xf numFmtId="14" fontId="0" fillId="0" borderId="0" xfId="0" applyNumberFormat="1" applyFill="1" applyAlignment="1">
      <alignment horizontal="center"/>
    </xf>
    <xf numFmtId="165" fontId="0" fillId="3" borderId="33" xfId="0" applyNumberFormat="1" applyFill="1" applyBorder="1"/>
    <xf numFmtId="0" fontId="0" fillId="0" borderId="0" xfId="0" applyAlignment="1">
      <alignment horizontal="right"/>
    </xf>
    <xf numFmtId="165" fontId="0" fillId="0" borderId="0" xfId="0" applyNumberFormat="1" applyBorder="1"/>
    <xf numFmtId="0" fontId="0" fillId="0" borderId="0" xfId="0" applyBorder="1"/>
    <xf numFmtId="1" fontId="0" fillId="0" borderId="0" xfId="0" applyNumberFormat="1"/>
    <xf numFmtId="165" fontId="0" fillId="0" borderId="0" xfId="0" applyNumberFormat="1"/>
    <xf numFmtId="0" fontId="2" fillId="0" borderId="0" xfId="0" applyFont="1"/>
    <xf numFmtId="165" fontId="2" fillId="0" borderId="0" xfId="0" applyNumberFormat="1" applyFont="1" applyFill="1"/>
    <xf numFmtId="165" fontId="0" fillId="0" borderId="26" xfId="0" applyNumberFormat="1" applyBorder="1"/>
    <xf numFmtId="165" fontId="0" fillId="0" borderId="28" xfId="0" applyNumberFormat="1" applyBorder="1"/>
    <xf numFmtId="165" fontId="0" fillId="0" borderId="28" xfId="0" applyNumberFormat="1" applyFill="1" applyBorder="1"/>
    <xf numFmtId="1" fontId="0" fillId="0" borderId="0" xfId="0" applyNumberFormat="1" applyFill="1"/>
    <xf numFmtId="0" fontId="2" fillId="0" borderId="0" xfId="0" applyFont="1" applyFill="1"/>
    <xf numFmtId="165" fontId="0" fillId="3" borderId="28" xfId="0" applyNumberFormat="1" applyFill="1" applyBorder="1"/>
    <xf numFmtId="0" fontId="0" fillId="3" borderId="0" xfId="0" applyFill="1"/>
    <xf numFmtId="165" fontId="0" fillId="3" borderId="0" xfId="0" applyNumberFormat="1" applyFont="1" applyFill="1"/>
    <xf numFmtId="1" fontId="0" fillId="3" borderId="0" xfId="0" applyNumberFormat="1" applyFill="1"/>
    <xf numFmtId="165" fontId="0" fillId="3" borderId="0" xfId="0" applyNumberFormat="1" applyFill="1"/>
    <xf numFmtId="0" fontId="2" fillId="3" borderId="0" xfId="0" applyFont="1" applyFill="1"/>
    <xf numFmtId="10" fontId="1" fillId="3" borderId="0" xfId="0" applyNumberFormat="1" applyFont="1" applyFill="1"/>
    <xf numFmtId="165" fontId="2" fillId="3" borderId="0" xfId="0" applyNumberFormat="1" applyFont="1" applyFill="1"/>
    <xf numFmtId="14" fontId="0" fillId="3" borderId="0" xfId="0" applyNumberFormat="1" applyFill="1" applyAlignment="1">
      <alignment horizontal="center"/>
    </xf>
    <xf numFmtId="0" fontId="0" fillId="0" borderId="28" xfId="0" applyBorder="1"/>
    <xf numFmtId="14" fontId="0" fillId="0" borderId="2" xfId="0" applyNumberForma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26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28" xfId="0" applyNumberFormat="1" applyFont="1" applyFill="1" applyBorder="1" applyAlignment="1">
      <alignment horizontal="center" vertical="center"/>
    </xf>
    <xf numFmtId="165" fontId="3" fillId="0" borderId="34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/>
    <xf numFmtId="0" fontId="3" fillId="0" borderId="4" xfId="0" applyFont="1" applyBorder="1"/>
    <xf numFmtId="165" fontId="3" fillId="0" borderId="0" xfId="0" applyNumberFormat="1" applyFont="1" applyFill="1" applyAlignment="1"/>
    <xf numFmtId="1" fontId="3" fillId="0" borderId="0" xfId="0" applyNumberFormat="1" applyFont="1" applyFill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/>
    <xf numFmtId="0" fontId="3" fillId="0" borderId="1" xfId="0" applyFont="1" applyBorder="1"/>
    <xf numFmtId="0" fontId="0" fillId="6" borderId="0" xfId="0" applyFont="1" applyFill="1" applyAlignment="1">
      <alignment horizontal="center"/>
    </xf>
    <xf numFmtId="0" fontId="26" fillId="0" borderId="0" xfId="0" applyFont="1"/>
    <xf numFmtId="9" fontId="3" fillId="0" borderId="0" xfId="0" applyNumberFormat="1" applyFont="1" applyFill="1"/>
    <xf numFmtId="0" fontId="27" fillId="0" borderId="0" xfId="0" applyFont="1"/>
    <xf numFmtId="165" fontId="1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0" fillId="0" borderId="0" xfId="0" applyFont="1" applyFill="1" applyAlignment="1">
      <alignment horizontal="left"/>
    </xf>
    <xf numFmtId="0" fontId="0" fillId="6" borderId="0" xfId="0" applyFont="1" applyFill="1" applyAlignment="1">
      <alignment horizontal="center"/>
    </xf>
    <xf numFmtId="0" fontId="0" fillId="3" borderId="36" xfId="0" applyFill="1" applyBorder="1" applyAlignment="1">
      <alignment horizontal="left"/>
    </xf>
    <xf numFmtId="0" fontId="0" fillId="3" borderId="37" xfId="0" applyFill="1" applyBorder="1"/>
    <xf numFmtId="0" fontId="0" fillId="3" borderId="37" xfId="0" applyFill="1" applyBorder="1" applyAlignment="1">
      <alignment horizontal="center"/>
    </xf>
    <xf numFmtId="165" fontId="0" fillId="3" borderId="38" xfId="1" applyNumberFormat="1" applyFont="1" applyFill="1" applyBorder="1"/>
    <xf numFmtId="165" fontId="0" fillId="3" borderId="39" xfId="1" applyNumberFormat="1" applyFont="1" applyFill="1" applyBorder="1"/>
    <xf numFmtId="165" fontId="0" fillId="3" borderId="40" xfId="1" applyNumberFormat="1" applyFont="1" applyFill="1" applyBorder="1"/>
    <xf numFmtId="165" fontId="0" fillId="3" borderId="41" xfId="1" applyNumberFormat="1" applyFont="1" applyFill="1" applyBorder="1"/>
    <xf numFmtId="165" fontId="0" fillId="3" borderId="42" xfId="1" applyNumberFormat="1" applyFont="1" applyFill="1" applyBorder="1"/>
    <xf numFmtId="0" fontId="0" fillId="3" borderId="27" xfId="0" applyFill="1" applyBorder="1" applyAlignment="1">
      <alignment horizontal="left"/>
    </xf>
    <xf numFmtId="0" fontId="0" fillId="3" borderId="43" xfId="0" applyFill="1" applyBorder="1"/>
    <xf numFmtId="0" fontId="0" fillId="3" borderId="43" xfId="0" applyFill="1" applyBorder="1" applyAlignment="1">
      <alignment horizontal="center"/>
    </xf>
    <xf numFmtId="165" fontId="0" fillId="3" borderId="44" xfId="1" applyNumberFormat="1" applyFont="1" applyFill="1" applyBorder="1"/>
    <xf numFmtId="165" fontId="0" fillId="3" borderId="45" xfId="1" applyNumberFormat="1" applyFont="1" applyFill="1" applyBorder="1"/>
    <xf numFmtId="165" fontId="0" fillId="3" borderId="46" xfId="1" applyNumberFormat="1" applyFont="1" applyFill="1" applyBorder="1"/>
    <xf numFmtId="165" fontId="0" fillId="3" borderId="47" xfId="1" applyNumberFormat="1" applyFont="1" applyFill="1" applyBorder="1"/>
    <xf numFmtId="165" fontId="0" fillId="3" borderId="48" xfId="1" applyNumberFormat="1" applyFont="1" applyFill="1" applyBorder="1"/>
    <xf numFmtId="0" fontId="6" fillId="3" borderId="36" xfId="0" applyNumberFormat="1" applyFont="1" applyFill="1" applyBorder="1" applyAlignment="1">
      <alignment horizontal="center"/>
    </xf>
    <xf numFmtId="0" fontId="6" fillId="3" borderId="37" xfId="0" applyFont="1" applyFill="1" applyBorder="1" applyAlignment="1">
      <alignment horizontal="left" indent="1"/>
    </xf>
    <xf numFmtId="165" fontId="6" fillId="3" borderId="37" xfId="0" applyNumberFormat="1" applyFont="1" applyFill="1" applyBorder="1" applyAlignment="1"/>
    <xf numFmtId="165" fontId="6" fillId="3" borderId="42" xfId="0" applyNumberFormat="1" applyFont="1" applyFill="1" applyBorder="1" applyAlignment="1"/>
    <xf numFmtId="0" fontId="6" fillId="3" borderId="27" xfId="0" applyNumberFormat="1" applyFont="1" applyFill="1" applyBorder="1" applyAlignment="1">
      <alignment horizontal="center"/>
    </xf>
    <xf numFmtId="0" fontId="6" fillId="3" borderId="43" xfId="0" applyFont="1" applyFill="1" applyBorder="1" applyAlignment="1">
      <alignment horizontal="left" indent="1"/>
    </xf>
    <xf numFmtId="165" fontId="6" fillId="3" borderId="43" xfId="0" applyNumberFormat="1" applyFont="1" applyFill="1" applyBorder="1" applyAlignment="1"/>
    <xf numFmtId="165" fontId="6" fillId="3" borderId="48" xfId="0" applyNumberFormat="1" applyFont="1" applyFill="1" applyBorder="1" applyAlignment="1"/>
    <xf numFmtId="0" fontId="6" fillId="3" borderId="36" xfId="0" applyFont="1" applyFill="1" applyBorder="1" applyAlignment="1">
      <alignment horizontal="left" indent="1"/>
    </xf>
    <xf numFmtId="0" fontId="6" fillId="3" borderId="27" xfId="0" applyFont="1" applyFill="1" applyBorder="1" applyAlignment="1">
      <alignment horizontal="left" indent="1"/>
    </xf>
    <xf numFmtId="42" fontId="18" fillId="5" borderId="43" xfId="0" applyNumberFormat="1" applyFont="1" applyFill="1" applyBorder="1" applyAlignment="1">
      <alignment horizontal="centerContinuous"/>
    </xf>
    <xf numFmtId="168" fontId="15" fillId="3" borderId="35" xfId="0" applyNumberFormat="1" applyFont="1" applyFill="1" applyBorder="1" applyAlignment="1">
      <alignment horizontal="center"/>
    </xf>
    <xf numFmtId="168" fontId="15" fillId="3" borderId="34" xfId="0" applyNumberFormat="1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168" fontId="15" fillId="3" borderId="25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609600</xdr:colOff>
      <xdr:row>58</xdr:row>
      <xdr:rowOff>95251</xdr:rowOff>
    </xdr:from>
    <xdr:ext cx="4894609" cy="32575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01600" y="10591801"/>
          <a:ext cx="4894609" cy="32575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rpRevnu\PUBLIC\%23%202019%20GRC\Original%20Filing\Dirty%20Workpapers%202019%20GRC\%23NEW-PSE-WP-SEF-4.00G-GAS-MODEL-19GRC-06-2019%20-%20Cop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rpRevnu\PUBLIC\%23%202019%20GRC\Attrition%20Change\190529-30-PSE-WP-SEF-4.00E-ELECTRIC-MODEL-19GRC-09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rk\22_pse\3022-64%20UE-190529\3022-64%20UE-190529\br\Mullins%20Exh%20BGM-10%20-%20Natural%20Gas%20Rev%20Req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rk\15_cng\CA08%20-%20UG210755\dir\_exh\210755-Exh%20BGM-3-4-25-2022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smr\AppData\Local\Temp\Workshare\e002qfwb.jlz\7\Users\carss\AppData\Local\Temp\Workshare\9c703312-83a5-49b9-8074-bb1ec34b9156\SEF%20Excel%20Exh\REGULATN\PA&amp;D\CASES\Wy0902\EAST%20Blocking%209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rk\22_pse\_PSE02-%20UE-220026%202022GRC\init\NEW-PSE-WP-REVREQ-COS-22GRC-01-2022(C)\NEW-PSE-WP-SEF-4E-ELECTRIC-REV-REQ-MODEL-22GRC-01-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smr\AppData\Local\Temp\Workshare\e002qfwb.jlz\7\Users\carss\AppData\Local\Temp\Workshare\9c703312-83a5-49b9-8074-bb1ec34b9156\SEF%20Excel%20Exh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smr\AppData\Local\Temp\Workshare\e002qfwb.jlz\7\Users\carss\AppData\Local\Temp\Workshare\9c703312-83a5-49b9-8074-bb1ec34b9156\SEF%20Excel%20Exh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  <row r="8">
          <cell r="C8" t="str">
            <v>PUGET SOUND ENERGY - NATURAL GAS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0 (1)"/>
      <sheetName val="Exh. No. BGM-10 (1A)"/>
      <sheetName val="BGM-10 (2)  Detailed Summary"/>
      <sheetName val="BGM-10 (3) Common Adj"/>
      <sheetName val="Impacts"/>
      <sheetName val="Rllfwd"/>
      <sheetName val="COC, Def, ConvF"/>
      <sheetName val="COC-Restating"/>
      <sheetName val="Summary"/>
      <sheetName val="Gas Adj"/>
      <sheetName val="Named Ranges G"/>
    </sheetNames>
    <sheetDataSet>
      <sheetData sheetId="0"/>
      <sheetData sheetId="1"/>
      <sheetData sheetId="2">
        <row r="10">
          <cell r="A10" t="str">
            <v>LINE</v>
          </cell>
        </row>
      </sheetData>
      <sheetData sheetId="3"/>
      <sheetData sheetId="4"/>
      <sheetData sheetId="5"/>
      <sheetData sheetId="6">
        <row r="20">
          <cell r="C20">
            <v>0.75409700000000002</v>
          </cell>
        </row>
      </sheetData>
      <sheetData sheetId="7"/>
      <sheetData sheetId="8"/>
      <sheetData sheetId="9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UG-190530</v>
          </cell>
        </row>
        <row r="8">
          <cell r="C8" t="str">
            <v>PUGET SOUND ENERGY - NATURAL GAS - AWEC REPLY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Settlement"/>
      <sheetName val="Cover"/>
      <sheetName val="Title"/>
      <sheetName val="Summary of Request"/>
      <sheetName val="Summary Bill Impacts"/>
      <sheetName val="Proof ---&gt;"/>
      <sheetName val="Exh IDM-2, Proof of Revenue"/>
      <sheetName val="Exh IDM-3, Revenue Distribution"/>
      <sheetName val="Exh IDM-5, Decoupling Baseline"/>
      <sheetName val="Proof WPs ---&gt;"/>
      <sheetName val="Index"/>
      <sheetName val="1501 Summary"/>
      <sheetName val="Rev Recon Summary"/>
      <sheetName val="EOP Calculations"/>
      <sheetName val="663 - 511 Transfer"/>
      <sheetName val="Allocation Report 2020"/>
      <sheetName val="Weather Normalization"/>
      <sheetName val="WACAP 2020"/>
      <sheetName val="Rev Req ---&gt;"/>
      <sheetName val="Exh BGM-3, Summary of Adj"/>
      <sheetName val="Exh BGM-3 ROO Summary"/>
      <sheetName val="Exh BGM-3, Rev Req Calc"/>
      <sheetName val="Exh BGM-3, Conversion Factor"/>
      <sheetName val="Plant Additions"/>
      <sheetName val=" MYRP Summary"/>
      <sheetName val="RR WPs ---&gt;"/>
      <sheetName val="Operating Report"/>
      <sheetName val="MCG WP Index"/>
      <sheetName val="Rate Base"/>
      <sheetName val="Suppl Sch Adj"/>
      <sheetName val="CAC-Def Tax"/>
      <sheetName val="D&amp;O Adjustment"/>
      <sheetName val="LPC"/>
      <sheetName val="State Allocators"/>
      <sheetName val="Annualize CRM"/>
      <sheetName val="Advertising Adj"/>
      <sheetName val="Annualize Rev Adj"/>
      <sheetName val="EOP Rev Adj"/>
      <sheetName val="Wage Adjustments"/>
      <sheetName val="Incentives Adj"/>
      <sheetName val="Interest Sync Adj"/>
      <sheetName val="MAOP Deferral"/>
      <sheetName val=" Working Capital (AMA)"/>
      <sheetName val="FP-319072 &amp; FP-319209"/>
      <sheetName val="WACC Calculation"/>
      <sheetName val="EOP Depn Exp Adj"/>
      <sheetName val="Pro Forma Plant Additions"/>
      <sheetName val="R&amp;R Adjustment"/>
      <sheetName val="Plt-Accum Depn"/>
      <sheetName val="Rate Design ---&gt;"/>
      <sheetName val="Class Revenue"/>
      <sheetName val="Exh IDM-4, Class Rates"/>
      <sheetName val="Exh PJA-3, RES Monthly Impact"/>
      <sheetName val="Exh PJA-4, Bill Impacts"/>
    </sheetNames>
    <sheetDataSet>
      <sheetData sheetId="0" refreshError="1"/>
      <sheetData sheetId="1" refreshError="1"/>
      <sheetData sheetId="2">
        <row r="20">
          <cell r="I20">
            <v>-2906553.9099999731</v>
          </cell>
        </row>
      </sheetData>
      <sheetData sheetId="3" refreshError="1"/>
      <sheetData sheetId="4" refreshError="1"/>
      <sheetData sheetId="5" refreshError="1"/>
      <sheetData sheetId="6">
        <row r="2">
          <cell r="A2" t="str">
            <v>Cascade Natural Gas Corp. -  AWEC Recommendation</v>
          </cell>
        </row>
        <row r="3">
          <cell r="A3" t="str">
            <v>Washington Jurisdiction</v>
          </cell>
        </row>
        <row r="4">
          <cell r="A4" t="str">
            <v>Twelve-Months ended December 31, 2020</v>
          </cell>
        </row>
        <row r="5">
          <cell r="A5" t="str">
            <v>Limited Issues Rate Case</v>
          </cell>
        </row>
        <row r="10">
          <cell r="A10" t="str">
            <v>UG-210755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5">
          <cell r="A5" t="str">
            <v>Line No</v>
          </cell>
        </row>
      </sheetData>
      <sheetData sheetId="24">
        <row r="9">
          <cell r="H9">
            <v>87443</v>
          </cell>
        </row>
      </sheetData>
      <sheetData sheetId="25" refreshError="1"/>
      <sheetData sheetId="26">
        <row r="10">
          <cell r="C10">
            <v>3.7063772642062019E-3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0">
          <cell r="D10">
            <v>4.5409999999999999E-2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, COC, ConvF"/>
      <sheetName val="Subject to Refund"/>
      <sheetName val="Summary"/>
      <sheetName val="Detailed Summary"/>
      <sheetName val="Common Adj"/>
      <sheetName val="Electric Adj"/>
      <sheetName val="DEC13"/>
      <sheetName val="BDJ Exh Summary"/>
      <sheetName val="SEF-13 p 1 Elect wp"/>
      <sheetName val="SEF-13 p 2 Elect wp"/>
      <sheetName val="Adj List"/>
      <sheetName val="Final Rate Years"/>
      <sheetName val="Named Ranges E"/>
      <sheetName val="Proofs=&gt;"/>
      <sheetName val="TBPI, ETR, Rev"/>
      <sheetName val="557 &amp; 555"/>
      <sheetName val="Prod O&amp;M"/>
    </sheetNames>
    <sheetDataSet>
      <sheetData sheetId="0">
        <row r="13">
          <cell r="C13">
            <v>7.3899999999999993E-2</v>
          </cell>
        </row>
      </sheetData>
      <sheetData sheetId="1" refreshError="1"/>
      <sheetData sheetId="2">
        <row r="30">
          <cell r="K30">
            <v>95361604.0746582</v>
          </cell>
        </row>
      </sheetData>
      <sheetData sheetId="3">
        <row r="28">
          <cell r="EJ28">
            <v>79002821.884108439</v>
          </cell>
        </row>
      </sheetData>
      <sheetData sheetId="4">
        <row r="16">
          <cell r="BC16">
            <v>0</v>
          </cell>
        </row>
      </sheetData>
      <sheetData sheetId="5">
        <row r="17">
          <cell r="BA17">
            <v>1133055.3483333332</v>
          </cell>
        </row>
      </sheetData>
      <sheetData sheetId="6" refreshError="1"/>
      <sheetData sheetId="7" refreshError="1"/>
      <sheetData sheetId="8">
        <row r="2">
          <cell r="Q2" t="str">
            <v>GAS NOI</v>
          </cell>
        </row>
      </sheetData>
      <sheetData sheetId="9">
        <row r="2">
          <cell r="J2" t="str">
            <v>NATURAL GAS</v>
          </cell>
        </row>
      </sheetData>
      <sheetData sheetId="10">
        <row r="6">
          <cell r="A6" t="str">
            <v>REVENUES AND EXPENSES</v>
          </cell>
        </row>
      </sheetData>
      <sheetData sheetId="11" refreshError="1"/>
      <sheetData sheetId="12">
        <row r="2">
          <cell r="B2" t="str">
            <v>PUGET SOUND ENERGY - ELECTRIC</v>
          </cell>
        </row>
        <row r="7">
          <cell r="B7" t="str">
            <v>2022 GENERAL RATE CASE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E24" sqref="E24"/>
    </sheetView>
  </sheetViews>
  <sheetFormatPr defaultRowHeight="15" x14ac:dyDescent="0.25"/>
  <cols>
    <col min="1" max="1" width="12.42578125" customWidth="1"/>
    <col min="2" max="2" width="51.85546875" customWidth="1"/>
    <col min="3" max="3" width="10.5703125" bestFit="1" customWidth="1"/>
    <col min="4" max="11" width="13.85546875" customWidth="1"/>
    <col min="13" max="20" width="13.28515625" bestFit="1" customWidth="1"/>
  </cols>
  <sheetData>
    <row r="1" spans="1:20" x14ac:dyDescent="0.25">
      <c r="A1" s="227" t="s">
        <v>172</v>
      </c>
      <c r="I1" t="s">
        <v>0</v>
      </c>
      <c r="K1">
        <v>0.95234799999999997</v>
      </c>
    </row>
    <row r="2" spans="1:20" x14ac:dyDescent="0.25">
      <c r="A2" s="1" t="s">
        <v>1</v>
      </c>
      <c r="I2" t="s">
        <v>2</v>
      </c>
      <c r="K2">
        <v>0.95544399999999996</v>
      </c>
    </row>
    <row r="3" spans="1:20" x14ac:dyDescent="0.25">
      <c r="A3" s="1"/>
      <c r="I3" t="s">
        <v>3</v>
      </c>
      <c r="K3" s="2">
        <v>0.38294993234100139</v>
      </c>
    </row>
    <row r="4" spans="1:20" x14ac:dyDescent="0.25">
      <c r="D4" s="3"/>
      <c r="E4" s="3"/>
      <c r="F4" s="3"/>
      <c r="G4" s="3"/>
      <c r="H4" s="3"/>
      <c r="I4" s="3"/>
      <c r="J4" s="3"/>
      <c r="K4" s="3"/>
    </row>
    <row r="5" spans="1:20" x14ac:dyDescent="0.25">
      <c r="D5" s="4"/>
      <c r="E5" s="5"/>
      <c r="F5" s="5"/>
      <c r="G5" s="6"/>
      <c r="H5" s="4"/>
      <c r="I5" s="5"/>
      <c r="J5" s="5"/>
      <c r="K5" s="6"/>
    </row>
    <row r="6" spans="1:20" x14ac:dyDescent="0.25">
      <c r="D6" s="7" t="s">
        <v>4</v>
      </c>
      <c r="E6" s="8"/>
      <c r="F6" s="8"/>
      <c r="G6" s="9"/>
      <c r="H6" s="7" t="s">
        <v>5</v>
      </c>
      <c r="I6" s="8"/>
      <c r="J6" s="8"/>
      <c r="K6" s="9"/>
    </row>
    <row r="7" spans="1:20" x14ac:dyDescent="0.25">
      <c r="A7" s="10" t="s">
        <v>6</v>
      </c>
      <c r="D7" s="7">
        <v>2023</v>
      </c>
      <c r="E7" s="8"/>
      <c r="F7" s="8">
        <v>2024</v>
      </c>
      <c r="G7" s="9"/>
      <c r="H7" s="7">
        <v>2023</v>
      </c>
      <c r="I7" s="8"/>
      <c r="J7" s="8">
        <v>2024</v>
      </c>
      <c r="K7" s="9"/>
    </row>
    <row r="8" spans="1:20" x14ac:dyDescent="0.25">
      <c r="A8" s="11" t="s">
        <v>7</v>
      </c>
      <c r="B8" s="11" t="s">
        <v>8</v>
      </c>
      <c r="C8" s="11" t="s">
        <v>9</v>
      </c>
      <c r="D8" s="12" t="s">
        <v>10</v>
      </c>
      <c r="E8" s="11" t="s">
        <v>11</v>
      </c>
      <c r="F8" s="11" t="s">
        <v>10</v>
      </c>
      <c r="G8" s="13" t="s">
        <v>11</v>
      </c>
      <c r="H8" s="12" t="s">
        <v>10</v>
      </c>
      <c r="I8" s="11" t="s">
        <v>11</v>
      </c>
      <c r="J8" s="11" t="s">
        <v>10</v>
      </c>
      <c r="K8" s="13" t="s">
        <v>11</v>
      </c>
    </row>
    <row r="9" spans="1:20" x14ac:dyDescent="0.25">
      <c r="D9" s="14"/>
      <c r="E9" s="15"/>
      <c r="F9" s="16"/>
      <c r="G9" s="17"/>
      <c r="H9" s="14"/>
      <c r="I9" s="15"/>
      <c r="J9" s="16"/>
      <c r="K9" s="17"/>
    </row>
    <row r="10" spans="1:20" x14ac:dyDescent="0.25">
      <c r="A10" s="18" t="s">
        <v>12</v>
      </c>
      <c r="B10" t="s">
        <v>13</v>
      </c>
      <c r="C10" s="19" t="s">
        <v>14</v>
      </c>
      <c r="D10" s="20">
        <v>-628594.40333333332</v>
      </c>
      <c r="E10" s="21"/>
      <c r="F10" s="22">
        <v>-628594.40333333332</v>
      </c>
      <c r="G10" s="23"/>
      <c r="H10" s="20">
        <f>D10/$K$1</f>
        <v>-660046.96112485498</v>
      </c>
      <c r="I10" s="21">
        <f>E10/$K$2</f>
        <v>0</v>
      </c>
      <c r="J10" s="22">
        <f>F10/$K$1</f>
        <v>-660046.96112485498</v>
      </c>
      <c r="K10" s="23">
        <f>G10/$K$2</f>
        <v>0</v>
      </c>
    </row>
    <row r="11" spans="1:20" x14ac:dyDescent="0.25">
      <c r="A11" s="18" t="s">
        <v>12</v>
      </c>
      <c r="B11" t="s">
        <v>15</v>
      </c>
      <c r="C11" s="19" t="s">
        <v>14</v>
      </c>
      <c r="D11" s="24">
        <v>5671.0133333332187</v>
      </c>
      <c r="E11" s="25">
        <v>0</v>
      </c>
      <c r="F11" s="26">
        <v>5671.0133333332187</v>
      </c>
      <c r="G11" s="27">
        <v>0</v>
      </c>
      <c r="H11" s="24">
        <f>D11/$K$1</f>
        <v>5954.7700350430923</v>
      </c>
      <c r="I11" s="25">
        <f>E11/$K$2</f>
        <v>0</v>
      </c>
      <c r="J11" s="26">
        <f>F11/$K$1</f>
        <v>5954.7700350430923</v>
      </c>
      <c r="K11" s="27">
        <f>G11/$K$2</f>
        <v>0</v>
      </c>
    </row>
    <row r="12" spans="1:20" x14ac:dyDescent="0.25">
      <c r="A12" s="18" t="s">
        <v>12</v>
      </c>
      <c r="B12" t="s">
        <v>16</v>
      </c>
      <c r="C12" s="19" t="s">
        <v>14</v>
      </c>
      <c r="D12" s="24"/>
      <c r="E12" s="25">
        <v>1908181.236666667</v>
      </c>
      <c r="F12" s="26"/>
      <c r="G12" s="27">
        <v>1908181.236666667</v>
      </c>
      <c r="H12" s="24">
        <f>D12/$K$1</f>
        <v>0</v>
      </c>
      <c r="I12" s="25">
        <f>E12/$K$2</f>
        <v>1997167.009962559</v>
      </c>
      <c r="J12" s="26">
        <f>F12/$K$1</f>
        <v>0</v>
      </c>
      <c r="K12" s="27">
        <f>G12/$K$2</f>
        <v>1997167.009962559</v>
      </c>
    </row>
    <row r="13" spans="1:20" x14ac:dyDescent="0.25">
      <c r="A13" s="18" t="s">
        <v>17</v>
      </c>
      <c r="B13" t="s">
        <v>18</v>
      </c>
      <c r="C13" s="19" t="s">
        <v>19</v>
      </c>
      <c r="D13" s="24">
        <v>310766.00840534508</v>
      </c>
      <c r="E13" s="25">
        <v>154804.66349126305</v>
      </c>
      <c r="F13" s="26">
        <v>3418426.0924587958</v>
      </c>
      <c r="G13" s="27">
        <v>1857655.9618951567</v>
      </c>
      <c r="H13" s="24">
        <f>D13/$K$1</f>
        <v>326315.59934534971</v>
      </c>
      <c r="I13" s="25">
        <f>E13/$K$2</f>
        <v>162023.79573398657</v>
      </c>
      <c r="J13" s="26">
        <f>F13/$K$1</f>
        <v>3589471.5927988463</v>
      </c>
      <c r="K13" s="27">
        <f>G13/$K$2</f>
        <v>1944285.5488078387</v>
      </c>
    </row>
    <row r="14" spans="1:20" x14ac:dyDescent="0.25">
      <c r="A14" s="18" t="s">
        <v>20</v>
      </c>
      <c r="B14" t="s">
        <v>21</v>
      </c>
      <c r="C14" s="19" t="s">
        <v>22</v>
      </c>
      <c r="D14" s="24">
        <v>1918902.0152133226</v>
      </c>
      <c r="E14" s="25">
        <v>808867.57754622295</v>
      </c>
      <c r="F14" s="26">
        <f>D14</f>
        <v>1918902.0152133226</v>
      </c>
      <c r="G14" s="27">
        <f t="shared" ref="G14:G16" si="0">E14</f>
        <v>808867.57754622295</v>
      </c>
      <c r="H14" s="24">
        <f>D14/$K$1</f>
        <v>2014916.8320963793</v>
      </c>
      <c r="I14" s="25">
        <f>E14/$K$2</f>
        <v>846588.15958467789</v>
      </c>
      <c r="J14" s="26">
        <f>F14/$K$1</f>
        <v>2014916.8320963793</v>
      </c>
      <c r="K14" s="27">
        <f>G14/$K$2</f>
        <v>846588.15958467789</v>
      </c>
      <c r="M14" s="28"/>
      <c r="N14" s="28"/>
      <c r="O14" s="28"/>
      <c r="P14" s="28"/>
      <c r="Q14" s="28"/>
      <c r="R14" s="28"/>
      <c r="S14" s="28"/>
      <c r="T14" s="28"/>
    </row>
    <row r="15" spans="1:20" x14ac:dyDescent="0.25">
      <c r="A15" s="18" t="s">
        <v>20</v>
      </c>
      <c r="B15" t="s">
        <v>23</v>
      </c>
      <c r="C15" s="19" t="s">
        <v>22</v>
      </c>
      <c r="D15" s="24">
        <v>687800.97448952182</v>
      </c>
      <c r="E15" s="25">
        <v>301615.17987525277</v>
      </c>
      <c r="F15" s="26">
        <f t="shared" ref="F15:F16" si="1">D15</f>
        <v>687800.97448952182</v>
      </c>
      <c r="G15" s="27">
        <f t="shared" si="0"/>
        <v>301615.17987525277</v>
      </c>
      <c r="H15" s="24">
        <f t="shared" ref="H15:H16" si="2">D15/$K$1</f>
        <v>722216.01188800926</v>
      </c>
      <c r="I15" s="25">
        <f t="shared" ref="I15:I16" si="3">E15/$K$2</f>
        <v>315680.64677286451</v>
      </c>
      <c r="J15" s="26">
        <f t="shared" ref="J15:J16" si="4">F15/$K$1</f>
        <v>722216.01188800926</v>
      </c>
      <c r="K15" s="27">
        <f t="shared" ref="K15:K16" si="5">G15/$K$2</f>
        <v>315680.64677286451</v>
      </c>
    </row>
    <row r="16" spans="1:20" x14ac:dyDescent="0.25">
      <c r="A16" s="18" t="s">
        <v>20</v>
      </c>
      <c r="B16" t="s">
        <v>24</v>
      </c>
      <c r="C16" s="19" t="s">
        <v>22</v>
      </c>
      <c r="D16" s="24">
        <v>1830246.6633333333</v>
      </c>
      <c r="E16" s="25">
        <v>741782.0166666666</v>
      </c>
      <c r="F16" s="26">
        <f t="shared" si="1"/>
        <v>1830246.6633333333</v>
      </c>
      <c r="G16" s="27">
        <f t="shared" si="0"/>
        <v>741782.0166666666</v>
      </c>
      <c r="H16" s="24">
        <f t="shared" si="2"/>
        <v>1921825.4916620115</v>
      </c>
      <c r="I16" s="25">
        <f t="shared" si="3"/>
        <v>776374.14298134332</v>
      </c>
      <c r="J16" s="26">
        <f t="shared" si="4"/>
        <v>1921825.4916620115</v>
      </c>
      <c r="K16" s="27">
        <f t="shared" si="5"/>
        <v>776374.14298134332</v>
      </c>
    </row>
    <row r="17" spans="1:11" x14ac:dyDescent="0.25">
      <c r="A17" s="18" t="s">
        <v>25</v>
      </c>
      <c r="B17" t="s">
        <v>26</v>
      </c>
      <c r="C17" s="19" t="s">
        <v>19</v>
      </c>
      <c r="D17" s="24">
        <v>3364858.9065141212</v>
      </c>
      <c r="E17" s="25">
        <v>1430921.2275000003</v>
      </c>
      <c r="F17" s="26">
        <v>0</v>
      </c>
      <c r="G17" s="27">
        <v>0</v>
      </c>
      <c r="H17" s="24">
        <f>D17/$K$1</f>
        <v>3533224.1013937355</v>
      </c>
      <c r="I17" s="25">
        <f>E17/$K$2</f>
        <v>1497650.5451915553</v>
      </c>
      <c r="J17" s="26">
        <f>F17/$K$1</f>
        <v>0</v>
      </c>
      <c r="K17" s="27">
        <f>G17/$K$2</f>
        <v>0</v>
      </c>
    </row>
    <row r="18" spans="1:11" x14ac:dyDescent="0.25">
      <c r="A18" s="18" t="s">
        <v>27</v>
      </c>
      <c r="B18" t="s">
        <v>28</v>
      </c>
      <c r="C18" s="19" t="s">
        <v>19</v>
      </c>
      <c r="D18" s="24">
        <v>3914117.645152315</v>
      </c>
      <c r="E18" s="25">
        <v>1835691.2882025428</v>
      </c>
      <c r="F18" s="29">
        <v>3914117.645152315</v>
      </c>
      <c r="G18" s="27">
        <v>1835691.2882025428</v>
      </c>
      <c r="H18" s="24">
        <f>D18/$K$1</f>
        <v>4109965.732224266</v>
      </c>
      <c r="I18" s="25">
        <f>E18/$K$2</f>
        <v>1921296.578556716</v>
      </c>
      <c r="J18" s="29">
        <f>F18/$K$1</f>
        <v>4109965.732224266</v>
      </c>
      <c r="K18" s="27">
        <f>G18/$K$2</f>
        <v>1921296.578556716</v>
      </c>
    </row>
    <row r="19" spans="1:11" ht="15.75" thickBot="1" x14ac:dyDescent="0.3">
      <c r="A19" s="18" t="s">
        <v>27</v>
      </c>
      <c r="B19" t="s">
        <v>29</v>
      </c>
      <c r="C19" s="19" t="s">
        <v>22</v>
      </c>
      <c r="D19" s="24">
        <v>173621.93722130067</v>
      </c>
      <c r="E19" s="25">
        <v>96302.483213976549</v>
      </c>
      <c r="F19" s="26">
        <v>173621.93722130067</v>
      </c>
      <c r="G19" s="27">
        <v>96302.483213976549</v>
      </c>
      <c r="H19" s="24">
        <f>D19/$K$1</f>
        <v>182309.34198559841</v>
      </c>
      <c r="I19" s="25">
        <f>E19/$K$2</f>
        <v>100793.43552733237</v>
      </c>
      <c r="J19" s="26">
        <f>F19/$K$1</f>
        <v>182309.34198559841</v>
      </c>
      <c r="K19" s="27">
        <f>G19/$K$2</f>
        <v>100793.43552733237</v>
      </c>
    </row>
    <row r="20" spans="1:11" x14ac:dyDescent="0.25">
      <c r="A20" s="234" t="s">
        <v>27</v>
      </c>
      <c r="B20" s="235" t="s">
        <v>30</v>
      </c>
      <c r="C20" s="236" t="s">
        <v>19</v>
      </c>
      <c r="D20" s="237">
        <f>'SEF-48 pg.2'!L37</f>
        <v>2787548.3850655165</v>
      </c>
      <c r="E20" s="238">
        <f>'SEF-48 pg.3'!K37</f>
        <v>2629339.7782025742</v>
      </c>
      <c r="F20" s="239">
        <f>'SEF-48 pg.2'!N37</f>
        <v>2787548.3850655165</v>
      </c>
      <c r="G20" s="240">
        <f>'SEF-48 pg.3'!M37</f>
        <v>2629339.7782025742</v>
      </c>
      <c r="H20" s="237">
        <f>D20/$K$1</f>
        <v>2927027.0794557417</v>
      </c>
      <c r="I20" s="238">
        <f>E20/$K$2</f>
        <v>2751955.9264620161</v>
      </c>
      <c r="J20" s="239">
        <f>F20/$K$1</f>
        <v>2927027.0794557417</v>
      </c>
      <c r="K20" s="241">
        <f>G20/$K$2</f>
        <v>2751955.9264620161</v>
      </c>
    </row>
    <row r="21" spans="1:11" ht="15.75" thickBot="1" x14ac:dyDescent="0.3">
      <c r="A21" s="242" t="s">
        <v>27</v>
      </c>
      <c r="B21" s="243" t="s">
        <v>31</v>
      </c>
      <c r="C21" s="244" t="s">
        <v>22</v>
      </c>
      <c r="D21" s="245">
        <f>'SEF-48 pg.2'!L38</f>
        <v>94832.304487856571</v>
      </c>
      <c r="E21" s="246">
        <f>'SEF-48 pg.3'!K38</f>
        <v>106069.231128963</v>
      </c>
      <c r="F21" s="247">
        <f>'SEF-48 pg.2'!N38</f>
        <v>94832.304487856571</v>
      </c>
      <c r="G21" s="248">
        <f>'SEF-48 pg.3'!M38</f>
        <v>106069.231128963</v>
      </c>
      <c r="H21" s="245">
        <f>D21/$K$1</f>
        <v>99577.36508908149</v>
      </c>
      <c r="I21" s="246">
        <f>E21/$K$2</f>
        <v>111015.64417062957</v>
      </c>
      <c r="J21" s="247">
        <f>F21/$K$1</f>
        <v>99577.36508908149</v>
      </c>
      <c r="K21" s="249">
        <f>G21/$K$2</f>
        <v>111015.64417062957</v>
      </c>
    </row>
    <row r="22" spans="1:11" x14ac:dyDescent="0.25">
      <c r="A22" s="18" t="s">
        <v>25</v>
      </c>
      <c r="B22" t="s">
        <v>28</v>
      </c>
      <c r="C22" s="19" t="s">
        <v>19</v>
      </c>
      <c r="D22" s="24">
        <v>5991641.3146817004</v>
      </c>
      <c r="E22" s="25">
        <v>2914306.243638759</v>
      </c>
      <c r="F22" s="26">
        <v>0</v>
      </c>
      <c r="G22" s="27">
        <v>0</v>
      </c>
      <c r="H22" s="24">
        <f t="shared" ref="H22:H35" si="6">D22/$K$1</f>
        <v>6291441.0642766096</v>
      </c>
      <c r="I22" s="25">
        <f t="shared" ref="I22:I35" si="7">E22/$K$2</f>
        <v>3050211.4657046976</v>
      </c>
      <c r="J22" s="26">
        <f t="shared" ref="J22:J35" si="8">F22/$K$1</f>
        <v>0</v>
      </c>
      <c r="K22" s="27">
        <f t="shared" ref="K22:K35" si="9">G22/$K$2</f>
        <v>0</v>
      </c>
    </row>
    <row r="23" spans="1:11" x14ac:dyDescent="0.25">
      <c r="A23" s="18" t="s">
        <v>25</v>
      </c>
      <c r="B23" t="s">
        <v>29</v>
      </c>
      <c r="C23" s="19" t="s">
        <v>22</v>
      </c>
      <c r="D23" s="24">
        <v>105999.78933483805</v>
      </c>
      <c r="E23" s="25">
        <v>33229.575841966871</v>
      </c>
      <c r="F23" s="26">
        <v>0</v>
      </c>
      <c r="G23" s="27">
        <v>0</v>
      </c>
      <c r="H23" s="24">
        <f t="shared" si="6"/>
        <v>111303.62990717473</v>
      </c>
      <c r="I23" s="25">
        <f t="shared" si="7"/>
        <v>34779.197778171059</v>
      </c>
      <c r="J23" s="26">
        <f t="shared" si="8"/>
        <v>0</v>
      </c>
      <c r="K23" s="27">
        <f t="shared" si="9"/>
        <v>0</v>
      </c>
    </row>
    <row r="24" spans="1:11" x14ac:dyDescent="0.25">
      <c r="A24" s="18" t="s">
        <v>32</v>
      </c>
      <c r="B24" t="s">
        <v>33</v>
      </c>
      <c r="C24" s="19" t="s">
        <v>14</v>
      </c>
      <c r="D24" s="24">
        <v>900054.17981712474</v>
      </c>
      <c r="E24" s="25">
        <v>5726389.3945737025</v>
      </c>
      <c r="F24" s="26">
        <v>900054.17981712474</v>
      </c>
      <c r="G24" s="27">
        <v>5726389.3945737025</v>
      </c>
      <c r="H24" s="24">
        <f t="shared" si="6"/>
        <v>945089.58890775719</v>
      </c>
      <c r="I24" s="25">
        <f t="shared" si="7"/>
        <v>5993432.7857767725</v>
      </c>
      <c r="J24" s="26">
        <f t="shared" si="8"/>
        <v>945089.58890775719</v>
      </c>
      <c r="K24" s="27">
        <f t="shared" si="9"/>
        <v>5993432.7857767725</v>
      </c>
    </row>
    <row r="25" spans="1:11" x14ac:dyDescent="0.25">
      <c r="A25" s="18">
        <v>6.49</v>
      </c>
      <c r="B25" t="s">
        <v>34</v>
      </c>
      <c r="C25" s="19" t="s">
        <v>19</v>
      </c>
      <c r="D25" s="24">
        <v>2885052</v>
      </c>
      <c r="E25" s="25">
        <v>0</v>
      </c>
      <c r="F25" s="26">
        <v>2885052</v>
      </c>
      <c r="G25" s="27">
        <v>0</v>
      </c>
      <c r="H25" s="24">
        <f t="shared" si="6"/>
        <v>3029409.4175658477</v>
      </c>
      <c r="I25" s="25">
        <f t="shared" si="7"/>
        <v>0</v>
      </c>
      <c r="J25" s="26">
        <f t="shared" si="8"/>
        <v>3029409.4175658477</v>
      </c>
      <c r="K25" s="27">
        <f t="shared" si="9"/>
        <v>0</v>
      </c>
    </row>
    <row r="26" spans="1:11" x14ac:dyDescent="0.25">
      <c r="A26" s="18">
        <v>6.49</v>
      </c>
      <c r="B26" t="s">
        <v>35</v>
      </c>
      <c r="C26" s="19" t="s">
        <v>19</v>
      </c>
      <c r="D26" s="24">
        <v>306357.35740875098</v>
      </c>
      <c r="E26" s="25">
        <v>0</v>
      </c>
      <c r="F26" s="26">
        <v>0</v>
      </c>
      <c r="G26" s="27">
        <v>0</v>
      </c>
      <c r="H26" s="24">
        <f t="shared" si="6"/>
        <v>321686.35562709323</v>
      </c>
      <c r="I26" s="25">
        <f t="shared" si="7"/>
        <v>0</v>
      </c>
      <c r="J26" s="26">
        <f t="shared" si="8"/>
        <v>0</v>
      </c>
      <c r="K26" s="27">
        <f t="shared" si="9"/>
        <v>0</v>
      </c>
    </row>
    <row r="27" spans="1:11" x14ac:dyDescent="0.25">
      <c r="A27" s="18">
        <v>6.49</v>
      </c>
      <c r="B27" t="s">
        <v>34</v>
      </c>
      <c r="C27" s="19" t="s">
        <v>19</v>
      </c>
      <c r="D27" s="24">
        <v>2885052</v>
      </c>
      <c r="E27" s="25">
        <v>0</v>
      </c>
      <c r="F27" s="26">
        <v>2885052</v>
      </c>
      <c r="G27" s="27">
        <v>0</v>
      </c>
      <c r="H27" s="24">
        <f t="shared" si="6"/>
        <v>3029409.4175658477</v>
      </c>
      <c r="I27" s="25">
        <f t="shared" si="7"/>
        <v>0</v>
      </c>
      <c r="J27" s="26">
        <f t="shared" si="8"/>
        <v>3029409.4175658477</v>
      </c>
      <c r="K27" s="27">
        <f t="shared" si="9"/>
        <v>0</v>
      </c>
    </row>
    <row r="28" spans="1:11" x14ac:dyDescent="0.25">
      <c r="A28" s="18">
        <v>6.49</v>
      </c>
      <c r="B28" t="s">
        <v>36</v>
      </c>
      <c r="C28" s="19" t="s">
        <v>19</v>
      </c>
      <c r="D28" s="24">
        <v>7088065.5894999942</v>
      </c>
      <c r="E28" s="25">
        <v>0</v>
      </c>
      <c r="F28" s="26">
        <v>7088065.5894999942</v>
      </c>
      <c r="G28" s="27">
        <v>0</v>
      </c>
      <c r="H28" s="24">
        <f t="shared" si="6"/>
        <v>7442726.387307995</v>
      </c>
      <c r="I28" s="25">
        <f t="shared" si="7"/>
        <v>0</v>
      </c>
      <c r="J28" s="26">
        <f t="shared" si="8"/>
        <v>7442726.387307995</v>
      </c>
      <c r="K28" s="27">
        <f t="shared" si="9"/>
        <v>0</v>
      </c>
    </row>
    <row r="29" spans="1:11" x14ac:dyDescent="0.25">
      <c r="A29" s="18">
        <v>6.49</v>
      </c>
      <c r="B29" t="s">
        <v>37</v>
      </c>
      <c r="C29" s="19" t="s">
        <v>19</v>
      </c>
      <c r="D29" s="24">
        <v>5067665.7672576224</v>
      </c>
      <c r="E29" s="25">
        <v>0</v>
      </c>
      <c r="F29" s="26">
        <v>5495433.5832659444</v>
      </c>
      <c r="G29" s="27">
        <v>0</v>
      </c>
      <c r="H29" s="24">
        <f t="shared" si="6"/>
        <v>5321233.1702881958</v>
      </c>
      <c r="I29" s="25">
        <f t="shared" si="7"/>
        <v>0</v>
      </c>
      <c r="J29" s="26">
        <f t="shared" si="8"/>
        <v>5770404.9184394199</v>
      </c>
      <c r="K29" s="27">
        <f t="shared" si="9"/>
        <v>0</v>
      </c>
    </row>
    <row r="30" spans="1:11" x14ac:dyDescent="0.25">
      <c r="A30" s="18">
        <v>6.49</v>
      </c>
      <c r="B30" t="s">
        <v>38</v>
      </c>
      <c r="C30" s="19" t="s">
        <v>19</v>
      </c>
      <c r="D30" s="24">
        <v>687420</v>
      </c>
      <c r="E30" s="25">
        <v>0</v>
      </c>
      <c r="F30" s="26">
        <v>687420</v>
      </c>
      <c r="G30" s="27">
        <v>0</v>
      </c>
      <c r="H30" s="24">
        <f t="shared" si="6"/>
        <v>721815.9748327292</v>
      </c>
      <c r="I30" s="25">
        <f t="shared" si="7"/>
        <v>0</v>
      </c>
      <c r="J30" s="26">
        <f t="shared" si="8"/>
        <v>721815.9748327292</v>
      </c>
      <c r="K30" s="27">
        <f t="shared" si="9"/>
        <v>0</v>
      </c>
    </row>
    <row r="31" spans="1:11" x14ac:dyDescent="0.25">
      <c r="A31" s="18">
        <v>11.48</v>
      </c>
      <c r="B31" t="s">
        <v>39</v>
      </c>
      <c r="C31" s="19" t="s">
        <v>22</v>
      </c>
      <c r="D31" s="24">
        <v>0</v>
      </c>
      <c r="E31" s="25">
        <v>1563101.9793985982</v>
      </c>
      <c r="F31" s="26">
        <v>0</v>
      </c>
      <c r="G31" s="27">
        <v>1563101.9793985982</v>
      </c>
      <c r="H31" s="24">
        <f t="shared" si="6"/>
        <v>0</v>
      </c>
      <c r="I31" s="30">
        <f t="shared" si="7"/>
        <v>1635995.3899952255</v>
      </c>
      <c r="J31" s="26">
        <f t="shared" si="8"/>
        <v>0</v>
      </c>
      <c r="K31" s="27">
        <f t="shared" si="9"/>
        <v>1635995.3899952255</v>
      </c>
    </row>
    <row r="32" spans="1:11" x14ac:dyDescent="0.25">
      <c r="A32" s="18">
        <v>11.48</v>
      </c>
      <c r="B32" t="s">
        <v>40</v>
      </c>
      <c r="C32" s="19" t="s">
        <v>19</v>
      </c>
      <c r="D32" s="24">
        <v>0</v>
      </c>
      <c r="E32" s="25">
        <v>536569.3999112501</v>
      </c>
      <c r="F32" s="26">
        <v>0</v>
      </c>
      <c r="G32" s="27">
        <v>536569.3999112501</v>
      </c>
      <c r="H32" s="24">
        <f t="shared" si="6"/>
        <v>0</v>
      </c>
      <c r="I32" s="25">
        <f t="shared" si="7"/>
        <v>561591.67874961812</v>
      </c>
      <c r="J32" s="26">
        <f t="shared" si="8"/>
        <v>0</v>
      </c>
      <c r="K32" s="27">
        <f t="shared" si="9"/>
        <v>561591.67874961812</v>
      </c>
    </row>
    <row r="33" spans="1:11" x14ac:dyDescent="0.25">
      <c r="A33" s="31">
        <v>6.45</v>
      </c>
      <c r="B33" t="s">
        <v>41</v>
      </c>
      <c r="C33" s="19" t="s">
        <v>14</v>
      </c>
      <c r="D33" s="24">
        <v>9085146.7928758599</v>
      </c>
      <c r="E33" s="25">
        <v>0</v>
      </c>
      <c r="F33" s="26">
        <v>8992679.1828758586</v>
      </c>
      <c r="G33" s="27">
        <v>0</v>
      </c>
      <c r="H33" s="24">
        <f t="shared" si="6"/>
        <v>9539734.2073232271</v>
      </c>
      <c r="I33" s="25">
        <f t="shared" si="7"/>
        <v>0</v>
      </c>
      <c r="J33" s="26">
        <f t="shared" si="8"/>
        <v>9442639.8573587164</v>
      </c>
      <c r="K33" s="27">
        <f t="shared" si="9"/>
        <v>0</v>
      </c>
    </row>
    <row r="34" spans="1:11" x14ac:dyDescent="0.25">
      <c r="A34" s="18">
        <v>6.48</v>
      </c>
      <c r="B34" t="s">
        <v>42</v>
      </c>
      <c r="C34" s="19" t="s">
        <v>14</v>
      </c>
      <c r="D34" s="24">
        <v>21846430.778000005</v>
      </c>
      <c r="E34" s="25">
        <v>0</v>
      </c>
      <c r="F34" s="26">
        <v>21846430.778000005</v>
      </c>
      <c r="G34" s="27">
        <v>0</v>
      </c>
      <c r="H34" s="24">
        <f t="shared" si="6"/>
        <v>22939546.025192477</v>
      </c>
      <c r="I34" s="25">
        <f t="shared" si="7"/>
        <v>0</v>
      </c>
      <c r="J34" s="26">
        <f t="shared" si="8"/>
        <v>22939546.025192477</v>
      </c>
      <c r="K34" s="27">
        <f t="shared" si="9"/>
        <v>0</v>
      </c>
    </row>
    <row r="35" spans="1:11" x14ac:dyDescent="0.25">
      <c r="A35" s="18">
        <v>6.48</v>
      </c>
      <c r="B35" t="s">
        <v>43</v>
      </c>
      <c r="C35" s="19" t="s">
        <v>14</v>
      </c>
      <c r="D35" s="24">
        <v>12398658.252499999</v>
      </c>
      <c r="E35" s="25">
        <v>0</v>
      </c>
      <c r="F35" s="26">
        <v>12398658.252499999</v>
      </c>
      <c r="G35" s="27">
        <v>0</v>
      </c>
      <c r="H35" s="24">
        <f t="shared" si="6"/>
        <v>13019041.623965189</v>
      </c>
      <c r="I35" s="25">
        <f t="shared" si="7"/>
        <v>0</v>
      </c>
      <c r="J35" s="26">
        <f t="shared" si="8"/>
        <v>13019041.623965189</v>
      </c>
      <c r="K35" s="27">
        <f t="shared" si="9"/>
        <v>0</v>
      </c>
    </row>
    <row r="36" spans="1:11" x14ac:dyDescent="0.25">
      <c r="A36" s="18">
        <v>6.52</v>
      </c>
      <c r="B36" t="s">
        <v>44</v>
      </c>
      <c r="C36" s="19" t="s">
        <v>19</v>
      </c>
      <c r="D36" s="32">
        <v>1953892.4059906744</v>
      </c>
      <c r="E36" s="25">
        <v>0</v>
      </c>
      <c r="F36" s="26">
        <v>1953892.4059906744</v>
      </c>
      <c r="G36" s="27">
        <v>0</v>
      </c>
      <c r="H36" s="32">
        <f>D36/$K$1</f>
        <v>2051658.0136574807</v>
      </c>
      <c r="I36" s="33">
        <f>E36/$K$2</f>
        <v>0</v>
      </c>
      <c r="J36" s="26">
        <f>F36/$K$1</f>
        <v>2051658.0136574807</v>
      </c>
      <c r="K36" s="34">
        <f>G36/$K$2</f>
        <v>0</v>
      </c>
    </row>
    <row r="37" spans="1:11" x14ac:dyDescent="0.25">
      <c r="A37" s="18">
        <v>6.52</v>
      </c>
      <c r="B37" t="s">
        <v>45</v>
      </c>
      <c r="C37" s="19" t="s">
        <v>22</v>
      </c>
      <c r="D37" s="32">
        <v>38743.117094653593</v>
      </c>
      <c r="E37" s="25">
        <v>0</v>
      </c>
      <c r="F37" s="26">
        <v>38743.117094653593</v>
      </c>
      <c r="G37" s="27">
        <v>0</v>
      </c>
      <c r="H37" s="32">
        <f>D37/$K$1</f>
        <v>40681.680535532803</v>
      </c>
      <c r="I37" s="33">
        <f>E37/$K$2</f>
        <v>0</v>
      </c>
      <c r="J37" s="26">
        <f>F37/$K$1</f>
        <v>40681.680535532803</v>
      </c>
      <c r="K37" s="34">
        <f>G37/$K$2</f>
        <v>0</v>
      </c>
    </row>
    <row r="38" spans="1:11" x14ac:dyDescent="0.25">
      <c r="A38" s="18">
        <v>6.52</v>
      </c>
      <c r="B38" t="s">
        <v>46</v>
      </c>
      <c r="C38" s="19" t="s">
        <v>22</v>
      </c>
      <c r="D38" s="35">
        <v>119425.69663519075</v>
      </c>
      <c r="E38" s="36">
        <v>0</v>
      </c>
      <c r="F38" s="37">
        <v>119425.69663519075</v>
      </c>
      <c r="G38" s="38">
        <v>0</v>
      </c>
      <c r="H38" s="35">
        <f>D38/$K$1</f>
        <v>125401.32035263449</v>
      </c>
      <c r="I38" s="39">
        <f>E38/$K$2</f>
        <v>0</v>
      </c>
      <c r="J38" s="37">
        <f>F38/$K$1</f>
        <v>125401.32035263449</v>
      </c>
      <c r="K38" s="40">
        <f>G38/$K$2</f>
        <v>0</v>
      </c>
    </row>
    <row r="39" spans="1:11" x14ac:dyDescent="0.25">
      <c r="A39" s="19"/>
    </row>
    <row r="40" spans="1:11" x14ac:dyDescent="0.25">
      <c r="A40" s="19"/>
    </row>
  </sheetData>
  <pageMargins left="0.2" right="0.2" top="0.75" bottom="0.75" header="0.3" footer="0.3"/>
  <pageSetup scale="73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90" zoomScaleNormal="90" workbookViewId="0">
      <pane xSplit="3" ySplit="9" topLeftCell="D22" activePane="bottomRight" state="frozen"/>
      <selection activeCell="A38" sqref="A38"/>
      <selection pane="topRight" activeCell="A38" sqref="A38"/>
      <selection pane="bottomLeft" activeCell="A38" sqref="A38"/>
      <selection pane="bottomRight" activeCell="L37" sqref="L37"/>
    </sheetView>
  </sheetViews>
  <sheetFormatPr defaultRowHeight="15" x14ac:dyDescent="0.25"/>
  <cols>
    <col min="2" max="2" width="64" bestFit="1" customWidth="1"/>
    <col min="4" max="4" width="15.28515625" customWidth="1"/>
    <col min="5" max="5" width="14.28515625" bestFit="1" customWidth="1"/>
    <col min="6" max="6" width="13.7109375" bestFit="1" customWidth="1"/>
    <col min="7" max="7" width="14.28515625" bestFit="1" customWidth="1"/>
    <col min="8" max="8" width="12.7109375" bestFit="1" customWidth="1"/>
    <col min="9" max="9" width="14.28515625" bestFit="1" customWidth="1"/>
    <col min="10" max="10" width="12.28515625" bestFit="1" customWidth="1"/>
    <col min="11" max="11" width="14.28515625" bestFit="1" customWidth="1"/>
    <col min="12" max="12" width="12.28515625" bestFit="1" customWidth="1"/>
    <col min="13" max="13" width="14.28515625" bestFit="1" customWidth="1"/>
    <col min="14" max="14" width="12.28515625" bestFit="1" customWidth="1"/>
    <col min="15" max="15" width="14.28515625" bestFit="1" customWidth="1"/>
    <col min="16" max="16" width="12.28515625" bestFit="1" customWidth="1"/>
  </cols>
  <sheetData>
    <row r="1" spans="1:16" x14ac:dyDescent="0.25">
      <c r="A1" s="107" t="s">
        <v>102</v>
      </c>
    </row>
    <row r="2" spans="1:16" x14ac:dyDescent="0.25">
      <c r="A2" s="108" t="s">
        <v>101</v>
      </c>
    </row>
    <row r="3" spans="1:16" x14ac:dyDescent="0.25">
      <c r="A3" s="232" t="s">
        <v>173</v>
      </c>
    </row>
    <row r="4" spans="1:16" x14ac:dyDescent="0.25">
      <c r="A4" s="232" t="s">
        <v>170</v>
      </c>
      <c r="B4" s="106"/>
      <c r="C4" s="106"/>
      <c r="D4" s="104" t="s">
        <v>99</v>
      </c>
      <c r="E4" s="105"/>
      <c r="F4" s="104" t="s">
        <v>100</v>
      </c>
      <c r="G4" s="105"/>
      <c r="H4" s="104" t="s">
        <v>100</v>
      </c>
      <c r="I4" s="105"/>
      <c r="J4" s="104" t="s">
        <v>100</v>
      </c>
      <c r="K4" s="105"/>
      <c r="L4" s="104" t="s">
        <v>99</v>
      </c>
      <c r="M4" s="105"/>
      <c r="N4" s="104" t="s">
        <v>99</v>
      </c>
      <c r="O4" s="105"/>
      <c r="P4" s="104" t="s">
        <v>99</v>
      </c>
    </row>
    <row r="5" spans="1:16" x14ac:dyDescent="0.25">
      <c r="B5" s="73"/>
      <c r="C5" s="73"/>
      <c r="D5" s="103"/>
      <c r="E5" s="102"/>
      <c r="F5" s="102"/>
      <c r="G5" s="102"/>
      <c r="H5" s="101"/>
      <c r="I5" s="103"/>
      <c r="J5" s="102"/>
      <c r="K5" s="102"/>
      <c r="L5" s="102"/>
      <c r="M5" s="102"/>
      <c r="N5" s="102"/>
      <c r="O5" s="102"/>
      <c r="P5" s="101"/>
    </row>
    <row r="6" spans="1:16" x14ac:dyDescent="0.25">
      <c r="B6" s="73"/>
      <c r="C6" s="73"/>
      <c r="D6" s="100"/>
      <c r="E6" s="99"/>
      <c r="F6" s="98"/>
      <c r="G6" s="97"/>
      <c r="H6" s="96" t="s">
        <v>98</v>
      </c>
      <c r="I6" s="95">
        <v>2022</v>
      </c>
      <c r="J6" s="94" t="s">
        <v>94</v>
      </c>
      <c r="K6" s="93">
        <v>2023</v>
      </c>
      <c r="L6" s="94" t="s">
        <v>94</v>
      </c>
      <c r="M6" s="93">
        <v>2024</v>
      </c>
      <c r="N6" s="94" t="s">
        <v>94</v>
      </c>
      <c r="O6" s="93">
        <v>2025</v>
      </c>
      <c r="P6" s="83" t="s">
        <v>94</v>
      </c>
    </row>
    <row r="7" spans="1:16" x14ac:dyDescent="0.25">
      <c r="B7" s="73"/>
      <c r="C7" s="92"/>
      <c r="D7" s="87" t="s">
        <v>97</v>
      </c>
      <c r="E7" s="91"/>
      <c r="F7" s="85" t="s">
        <v>96</v>
      </c>
      <c r="G7" s="84" t="s">
        <v>95</v>
      </c>
      <c r="H7" s="83" t="s">
        <v>94</v>
      </c>
      <c r="I7" s="86" t="s">
        <v>93</v>
      </c>
      <c r="J7" s="85" t="s">
        <v>92</v>
      </c>
      <c r="K7" s="84" t="s">
        <v>78</v>
      </c>
      <c r="L7" s="85" t="s">
        <v>92</v>
      </c>
      <c r="M7" s="84" t="s">
        <v>77</v>
      </c>
      <c r="N7" s="85" t="s">
        <v>92</v>
      </c>
      <c r="O7" s="84" t="s">
        <v>75</v>
      </c>
      <c r="P7" s="83" t="s">
        <v>92</v>
      </c>
    </row>
    <row r="8" spans="1:16" x14ac:dyDescent="0.25">
      <c r="A8" s="90" t="s">
        <v>91</v>
      </c>
      <c r="B8" s="89"/>
      <c r="C8" s="88"/>
      <c r="D8" s="87" t="s">
        <v>90</v>
      </c>
      <c r="E8" s="84" t="s">
        <v>89</v>
      </c>
      <c r="F8" s="85" t="s">
        <v>87</v>
      </c>
      <c r="G8" s="84" t="s">
        <v>88</v>
      </c>
      <c r="H8" s="83" t="s">
        <v>87</v>
      </c>
      <c r="I8" s="86" t="s">
        <v>85</v>
      </c>
      <c r="J8" s="85" t="s">
        <v>86</v>
      </c>
      <c r="K8" s="84" t="s">
        <v>85</v>
      </c>
      <c r="L8" s="85" t="s">
        <v>84</v>
      </c>
      <c r="M8" s="84" t="s">
        <v>85</v>
      </c>
      <c r="N8" s="85" t="s">
        <v>84</v>
      </c>
      <c r="O8" s="84" t="s">
        <v>85</v>
      </c>
      <c r="P8" s="83" t="s">
        <v>84</v>
      </c>
    </row>
    <row r="9" spans="1:16" x14ac:dyDescent="0.25">
      <c r="A9" s="82" t="s">
        <v>83</v>
      </c>
      <c r="B9" s="81" t="s">
        <v>82</v>
      </c>
      <c r="C9" s="80" t="s">
        <v>81</v>
      </c>
      <c r="D9" s="79" t="s">
        <v>80</v>
      </c>
      <c r="E9" s="76" t="s">
        <v>76</v>
      </c>
      <c r="F9" s="77" t="s">
        <v>79</v>
      </c>
      <c r="G9" s="76" t="s">
        <v>76</v>
      </c>
      <c r="H9" s="75" t="s">
        <v>79</v>
      </c>
      <c r="I9" s="78" t="s">
        <v>76</v>
      </c>
      <c r="J9" s="77" t="s">
        <v>78</v>
      </c>
      <c r="K9" s="76" t="s">
        <v>76</v>
      </c>
      <c r="L9" s="77" t="s">
        <v>78</v>
      </c>
      <c r="M9" s="76" t="s">
        <v>76</v>
      </c>
      <c r="N9" s="77" t="s">
        <v>77</v>
      </c>
      <c r="O9" s="76" t="s">
        <v>76</v>
      </c>
      <c r="P9" s="75" t="s">
        <v>75</v>
      </c>
    </row>
    <row r="10" spans="1:16" x14ac:dyDescent="0.25">
      <c r="B10" s="73"/>
      <c r="C10" s="73"/>
      <c r="D10" s="74" t="s">
        <v>74</v>
      </c>
      <c r="E10" s="74"/>
      <c r="F10" s="74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16" x14ac:dyDescent="0.25">
      <c r="A11" s="44">
        <f>1</f>
        <v>1</v>
      </c>
      <c r="B11" s="66" t="s">
        <v>73</v>
      </c>
      <c r="C11" s="66"/>
      <c r="D11" s="71"/>
      <c r="E11" s="71"/>
      <c r="F11" s="71"/>
      <c r="G11" s="71"/>
      <c r="H11" s="71"/>
      <c r="I11" s="72"/>
      <c r="J11" s="71"/>
      <c r="K11" s="72"/>
      <c r="L11" s="71"/>
      <c r="M11" s="72"/>
      <c r="N11" s="71"/>
      <c r="O11" s="72"/>
      <c r="P11" s="71"/>
    </row>
    <row r="12" spans="1:16" x14ac:dyDescent="0.25">
      <c r="A12" s="44">
        <f t="shared" ref="A12:A33" si="0">A11+1</f>
        <v>2</v>
      </c>
      <c r="B12" s="66" t="s">
        <v>72</v>
      </c>
      <c r="C12" s="66"/>
      <c r="D12" s="71"/>
      <c r="E12" s="71"/>
      <c r="F12" s="71"/>
      <c r="G12" s="71"/>
      <c r="H12" s="71"/>
      <c r="I12" s="69"/>
      <c r="J12" s="71"/>
      <c r="K12" s="69"/>
      <c r="L12" s="71"/>
      <c r="M12" s="69"/>
      <c r="N12" s="71"/>
      <c r="O12" s="69"/>
      <c r="P12" s="71"/>
    </row>
    <row r="13" spans="1:16" x14ac:dyDescent="0.25">
      <c r="A13" s="44">
        <f t="shared" si="0"/>
        <v>3</v>
      </c>
      <c r="B13" s="65" t="s">
        <v>71</v>
      </c>
      <c r="C13" s="65"/>
      <c r="D13" s="70">
        <v>0</v>
      </c>
      <c r="E13" s="70">
        <v>0</v>
      </c>
      <c r="F13" s="70">
        <f>SUM(D13:E13)</f>
        <v>0</v>
      </c>
      <c r="G13" s="70"/>
      <c r="H13" s="70">
        <f>SUM(F13:G13)</f>
        <v>0</v>
      </c>
      <c r="I13" s="69"/>
      <c r="J13" s="70">
        <f>SUM(H13:I13)</f>
        <v>0</v>
      </c>
      <c r="K13" s="69"/>
      <c r="L13" s="70">
        <f>SUM(J13:K13)</f>
        <v>0</v>
      </c>
      <c r="M13" s="69"/>
      <c r="N13" s="70">
        <f>SUM(L13:M13)</f>
        <v>0</v>
      </c>
      <c r="O13" s="69"/>
      <c r="P13" s="70"/>
    </row>
    <row r="14" spans="1:16" x14ac:dyDescent="0.25">
      <c r="A14" s="44">
        <f t="shared" si="0"/>
        <v>4</v>
      </c>
      <c r="B14" s="65" t="s">
        <v>70</v>
      </c>
      <c r="C14" s="65"/>
      <c r="D14" s="63">
        <v>0</v>
      </c>
      <c r="E14" s="63">
        <v>0</v>
      </c>
      <c r="F14" s="63">
        <f>SUM(D14:E14)</f>
        <v>0</v>
      </c>
      <c r="G14" s="63"/>
      <c r="H14" s="63">
        <f>SUM(F14:G14)</f>
        <v>0</v>
      </c>
      <c r="I14" s="69"/>
      <c r="J14" s="63">
        <f>SUM(H14:I14)</f>
        <v>0</v>
      </c>
      <c r="K14" s="69"/>
      <c r="L14" s="63">
        <f>SUM(J14:K14)</f>
        <v>0</v>
      </c>
      <c r="M14" s="69"/>
      <c r="N14" s="63">
        <f>SUM(L14:M14)</f>
        <v>0</v>
      </c>
      <c r="O14" s="69"/>
      <c r="P14" s="63"/>
    </row>
    <row r="15" spans="1:16" x14ac:dyDescent="0.25">
      <c r="A15" s="44">
        <f t="shared" si="0"/>
        <v>5</v>
      </c>
      <c r="B15" s="65" t="s">
        <v>69</v>
      </c>
      <c r="C15" s="65"/>
      <c r="D15" s="63">
        <v>0</v>
      </c>
      <c r="E15" s="63">
        <v>0</v>
      </c>
      <c r="F15" s="63">
        <f>SUM(D15:E15)</f>
        <v>0</v>
      </c>
      <c r="G15" s="63"/>
      <c r="H15" s="63">
        <f>SUM(F15:G15)</f>
        <v>0</v>
      </c>
      <c r="I15" s="69"/>
      <c r="J15" s="63">
        <f>SUM(H15:I15)</f>
        <v>0</v>
      </c>
      <c r="K15" s="69"/>
      <c r="L15" s="63">
        <f>SUM(J15:K15)</f>
        <v>0</v>
      </c>
      <c r="M15" s="69"/>
      <c r="N15" s="63">
        <f>SUM(L15:M15)</f>
        <v>0</v>
      </c>
      <c r="O15" s="69"/>
      <c r="P15" s="63"/>
    </row>
    <row r="16" spans="1:16" x14ac:dyDescent="0.25">
      <c r="A16" s="44">
        <f t="shared" si="0"/>
        <v>6</v>
      </c>
      <c r="B16" s="68" t="s">
        <v>68</v>
      </c>
      <c r="C16" s="65"/>
      <c r="D16" s="67">
        <f t="shared" ref="D16:N16" si="1">SUM(D13:D15)</f>
        <v>0</v>
      </c>
      <c r="E16" s="67">
        <f t="shared" si="1"/>
        <v>0</v>
      </c>
      <c r="F16" s="67">
        <f t="shared" si="1"/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67">
        <f t="shared" si="1"/>
        <v>0</v>
      </c>
      <c r="K16" s="67">
        <f t="shared" si="1"/>
        <v>0</v>
      </c>
      <c r="L16" s="67">
        <f t="shared" si="1"/>
        <v>0</v>
      </c>
      <c r="M16" s="67">
        <f t="shared" si="1"/>
        <v>0</v>
      </c>
      <c r="N16" s="67">
        <f t="shared" si="1"/>
        <v>0</v>
      </c>
      <c r="O16" s="67"/>
      <c r="P16" s="67"/>
    </row>
    <row r="17" spans="1:17" x14ac:dyDescent="0.25">
      <c r="A17" s="44">
        <f t="shared" si="0"/>
        <v>7</v>
      </c>
      <c r="B17" s="68"/>
      <c r="C17" s="65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7" x14ac:dyDescent="0.25">
      <c r="A18" s="44">
        <f t="shared" si="0"/>
        <v>8</v>
      </c>
      <c r="B18" s="66" t="s">
        <v>67</v>
      </c>
      <c r="C18" s="65"/>
      <c r="D18" s="63"/>
      <c r="E18" s="63"/>
      <c r="F18" s="63"/>
      <c r="G18" s="63"/>
      <c r="H18" s="63"/>
      <c r="I18" s="64"/>
      <c r="J18" s="63"/>
      <c r="K18" s="64"/>
      <c r="L18" s="63"/>
      <c r="M18" s="64"/>
      <c r="N18" s="63"/>
      <c r="O18" s="64"/>
      <c r="P18" s="63"/>
    </row>
    <row r="19" spans="1:17" x14ac:dyDescent="0.25">
      <c r="A19" s="44">
        <f t="shared" si="0"/>
        <v>9</v>
      </c>
      <c r="B19" s="62" t="s">
        <v>66</v>
      </c>
      <c r="C19" s="62"/>
      <c r="D19" s="47">
        <v>0</v>
      </c>
      <c r="E19" s="47">
        <v>0</v>
      </c>
      <c r="F19" s="47">
        <f>SUM(D19:E19)</f>
        <v>0</v>
      </c>
      <c r="G19" s="47"/>
      <c r="H19" s="47">
        <f>SUM(F19:G19)</f>
        <v>0</v>
      </c>
      <c r="I19" s="48"/>
      <c r="J19" s="47">
        <f>SUM(H19:I19)</f>
        <v>0</v>
      </c>
      <c r="K19" s="48"/>
      <c r="L19" s="47">
        <f>SUM(J19:K19)</f>
        <v>0</v>
      </c>
      <c r="M19" s="48"/>
      <c r="N19" s="47">
        <f>SUM(L19:M19)</f>
        <v>0</v>
      </c>
      <c r="O19" s="48"/>
      <c r="P19" s="47"/>
    </row>
    <row r="20" spans="1:17" x14ac:dyDescent="0.25">
      <c r="A20" s="44">
        <f t="shared" si="0"/>
        <v>10</v>
      </c>
      <c r="B20" s="62" t="s">
        <v>65</v>
      </c>
      <c r="C20" s="62"/>
      <c r="D20" s="47">
        <v>11742352.935456946</v>
      </c>
      <c r="E20" s="47">
        <f t="shared" ref="E20:E25" si="2">F20-D20</f>
        <v>0</v>
      </c>
      <c r="F20" s="47">
        <v>11742352.935456946</v>
      </c>
      <c r="G20" s="47">
        <f t="shared" ref="G20:G25" si="3">H20-F20</f>
        <v>0</v>
      </c>
      <c r="H20" s="47">
        <v>11742352.935456946</v>
      </c>
      <c r="I20" s="47">
        <f>J20-H20</f>
        <v>0</v>
      </c>
      <c r="J20" s="47">
        <v>11742352.935456946</v>
      </c>
      <c r="K20" s="47">
        <f>L20-J20</f>
        <v>0</v>
      </c>
      <c r="L20" s="47">
        <v>11742352.935456946</v>
      </c>
      <c r="M20" s="47">
        <f>N20-L20</f>
        <v>0</v>
      </c>
      <c r="N20" s="47">
        <v>11742352.935456946</v>
      </c>
      <c r="O20" s="47"/>
      <c r="P20" s="47"/>
    </row>
    <row r="21" spans="1:17" x14ac:dyDescent="0.25">
      <c r="A21" s="44">
        <f t="shared" si="0"/>
        <v>11</v>
      </c>
      <c r="B21" s="62" t="s">
        <v>64</v>
      </c>
      <c r="C21" s="62"/>
      <c r="D21" s="47">
        <v>0</v>
      </c>
      <c r="E21" s="47">
        <f t="shared" si="2"/>
        <v>0</v>
      </c>
      <c r="F21" s="47">
        <v>0</v>
      </c>
      <c r="G21" s="47">
        <f t="shared" si="3"/>
        <v>0</v>
      </c>
      <c r="H21" s="47">
        <v>0</v>
      </c>
      <c r="I21" s="47">
        <f>J21-H21</f>
        <v>0</v>
      </c>
      <c r="J21" s="47">
        <v>0</v>
      </c>
      <c r="K21" s="47">
        <f>L21-J21</f>
        <v>-1957058.8225761577</v>
      </c>
      <c r="L21" s="47">
        <v>-1957058.8225761577</v>
      </c>
      <c r="M21" s="47">
        <f>N21-L21</f>
        <v>-3914117.6451523183</v>
      </c>
      <c r="N21" s="47">
        <v>-5871176.467728476</v>
      </c>
      <c r="O21" s="47"/>
      <c r="P21" s="47"/>
      <c r="Q21" s="41"/>
    </row>
    <row r="22" spans="1:17" x14ac:dyDescent="0.25">
      <c r="A22" s="44">
        <f t="shared" si="0"/>
        <v>12</v>
      </c>
      <c r="B22" s="62" t="s">
        <v>63</v>
      </c>
      <c r="C22" s="62"/>
      <c r="D22" s="47">
        <v>-2465894.1164459586</v>
      </c>
      <c r="E22" s="47">
        <f t="shared" si="2"/>
        <v>0</v>
      </c>
      <c r="F22" s="47">
        <v>-2465894.1164459586</v>
      </c>
      <c r="G22" s="47">
        <f t="shared" si="3"/>
        <v>0</v>
      </c>
      <c r="H22" s="47">
        <v>-2465894.1164459586</v>
      </c>
      <c r="I22" s="47">
        <f>J22-H22</f>
        <v>0</v>
      </c>
      <c r="J22" s="47">
        <v>-2465894.1164459586</v>
      </c>
      <c r="K22" s="47">
        <f>L22-J22</f>
        <v>410982.35274099279</v>
      </c>
      <c r="L22" s="47">
        <v>-2054911.7637049658</v>
      </c>
      <c r="M22" s="47">
        <f>N22-L22</f>
        <v>821964.70548198558</v>
      </c>
      <c r="N22" s="47">
        <v>-1232947.0582229802</v>
      </c>
      <c r="O22" s="47"/>
      <c r="P22" s="47"/>
      <c r="Q22" s="41"/>
    </row>
    <row r="23" spans="1:17" x14ac:dyDescent="0.25">
      <c r="A23" s="44">
        <f t="shared" si="0"/>
        <v>13</v>
      </c>
      <c r="B23" s="62" t="s">
        <v>62</v>
      </c>
      <c r="C23" s="62"/>
      <c r="D23" s="47">
        <v>0</v>
      </c>
      <c r="E23" s="47">
        <f t="shared" si="2"/>
        <v>0</v>
      </c>
      <c r="F23" s="47">
        <v>0</v>
      </c>
      <c r="G23" s="47">
        <f t="shared" si="3"/>
        <v>2792096.9742273977</v>
      </c>
      <c r="H23" s="47">
        <f>+'SEF-48 pg.4'!I50</f>
        <v>2792096.9742273977</v>
      </c>
      <c r="I23" s="53">
        <f>+J23-H23</f>
        <v>5314361.0314548695</v>
      </c>
      <c r="J23" s="47">
        <f>+'SEF-48 pg.4'!I62</f>
        <v>8106458.0056822672</v>
      </c>
      <c r="K23" s="53">
        <f>+L23-J23</f>
        <v>3043735.5345798004</v>
      </c>
      <c r="L23" s="47">
        <f>+'SEF-48 pg.4'!I74</f>
        <v>11150193.540262068</v>
      </c>
      <c r="M23" s="53">
        <f>+N23-L23</f>
        <v>0</v>
      </c>
      <c r="N23" s="47">
        <f>+'SEF-48 pg.4'!I86</f>
        <v>11150193.540262068</v>
      </c>
      <c r="O23" s="53"/>
      <c r="P23" s="47"/>
      <c r="Q23" s="41"/>
    </row>
    <row r="24" spans="1:17" x14ac:dyDescent="0.25">
      <c r="A24" s="44">
        <f t="shared" si="0"/>
        <v>14</v>
      </c>
      <c r="B24" s="62" t="s">
        <v>61</v>
      </c>
      <c r="C24" s="62"/>
      <c r="D24" s="47">
        <v>0</v>
      </c>
      <c r="E24" s="47">
        <f t="shared" si="2"/>
        <v>0</v>
      </c>
      <c r="F24" s="47">
        <v>0</v>
      </c>
      <c r="G24" s="47">
        <f t="shared" si="3"/>
        <v>0</v>
      </c>
      <c r="H24" s="47">
        <v>0</v>
      </c>
      <c r="I24" s="53">
        <f>+J24-H24</f>
        <v>0</v>
      </c>
      <c r="J24" s="47">
        <f>+'SEF-48 pg.4'!J62</f>
        <v>0</v>
      </c>
      <c r="K24" s="53">
        <f>+L24-J24</f>
        <v>-1393774.1925327582</v>
      </c>
      <c r="L24" s="47">
        <f>+'SEF-48 pg.4'!J74</f>
        <v>-1393774.1925327582</v>
      </c>
      <c r="M24" s="53">
        <f>+N24-L24</f>
        <v>-2787548.3850655169</v>
      </c>
      <c r="N24" s="47">
        <f>+'SEF-48 pg.4'!J86</f>
        <v>-4181322.5775982752</v>
      </c>
      <c r="O24" s="53"/>
      <c r="P24" s="47"/>
      <c r="Q24" s="41"/>
    </row>
    <row r="25" spans="1:17" x14ac:dyDescent="0.25">
      <c r="A25" s="44">
        <f t="shared" si="0"/>
        <v>15</v>
      </c>
      <c r="B25" s="62" t="s">
        <v>60</v>
      </c>
      <c r="C25" s="62"/>
      <c r="D25" s="47">
        <v>0</v>
      </c>
      <c r="E25" s="47">
        <f t="shared" si="2"/>
        <v>0</v>
      </c>
      <c r="F25" s="47">
        <v>0</v>
      </c>
      <c r="G25" s="47">
        <f t="shared" si="3"/>
        <v>-482287.54003935307</v>
      </c>
      <c r="H25" s="47">
        <f>+'SEF-48 pg.4'!L50</f>
        <v>-482287.54003935307</v>
      </c>
      <c r="I25" s="53">
        <f>+J25-H25</f>
        <v>-1116015.8166055225</v>
      </c>
      <c r="J25" s="47">
        <f>+'SEF-48 pg.4'!L62</f>
        <v>-1598303.3566448756</v>
      </c>
      <c r="K25" s="53">
        <f>+L25-J25</f>
        <v>-346491.88182987832</v>
      </c>
      <c r="L25" s="47">
        <f>+'SEF-48 pg.4'!L74</f>
        <v>-1944795.2384747539</v>
      </c>
      <c r="M25" s="53">
        <f>+N25-L25</f>
        <v>585385.16086375806</v>
      </c>
      <c r="N25" s="47">
        <f>+'SEF-48 pg.4'!L86</f>
        <v>-1359410.0776109959</v>
      </c>
      <c r="O25" s="53"/>
      <c r="P25" s="47"/>
      <c r="Q25" s="41"/>
    </row>
    <row r="26" spans="1:17" x14ac:dyDescent="0.25">
      <c r="A26" s="44">
        <f t="shared" si="0"/>
        <v>16</v>
      </c>
      <c r="B26" s="62"/>
      <c r="C26" s="62"/>
      <c r="D26" s="47"/>
      <c r="E26" s="47"/>
      <c r="F26" s="47"/>
      <c r="G26" s="47"/>
      <c r="H26" s="47"/>
      <c r="I26" s="53"/>
      <c r="J26" s="47"/>
      <c r="K26" s="53"/>
      <c r="L26" s="47"/>
      <c r="M26" s="53"/>
      <c r="N26" s="47"/>
      <c r="O26" s="53"/>
      <c r="P26" s="47"/>
      <c r="Q26" s="41"/>
    </row>
    <row r="27" spans="1:17" x14ac:dyDescent="0.25">
      <c r="A27" s="44">
        <f t="shared" si="0"/>
        <v>17</v>
      </c>
      <c r="B27" s="62"/>
      <c r="C27" s="62"/>
      <c r="D27" s="47"/>
      <c r="E27" s="47"/>
      <c r="F27" s="47"/>
      <c r="G27" s="47"/>
      <c r="H27" s="47"/>
      <c r="I27" s="53"/>
      <c r="J27" s="47"/>
      <c r="K27" s="53"/>
      <c r="L27" s="47"/>
      <c r="M27" s="53"/>
      <c r="N27" s="47"/>
      <c r="O27" s="53"/>
      <c r="P27" s="47"/>
      <c r="Q27" s="41"/>
    </row>
    <row r="28" spans="1:17" x14ac:dyDescent="0.25">
      <c r="A28" s="44">
        <f t="shared" si="0"/>
        <v>18</v>
      </c>
      <c r="B28" s="62"/>
      <c r="C28" s="62"/>
      <c r="D28" s="47"/>
      <c r="E28" s="47"/>
      <c r="F28" s="47"/>
      <c r="G28" s="47"/>
      <c r="H28" s="47"/>
      <c r="I28" s="53"/>
      <c r="J28" s="47"/>
      <c r="K28" s="53"/>
      <c r="L28" s="47"/>
      <c r="M28" s="53"/>
      <c r="N28" s="47"/>
      <c r="O28" s="53"/>
      <c r="P28" s="47"/>
      <c r="Q28" s="41"/>
    </row>
    <row r="29" spans="1:17" x14ac:dyDescent="0.25">
      <c r="A29" s="44">
        <f t="shared" si="0"/>
        <v>19</v>
      </c>
      <c r="B29" s="52" t="s">
        <v>59</v>
      </c>
      <c r="C29" s="62"/>
      <c r="D29" s="61">
        <f t="shared" ref="D29:N29" si="4">SUM(D19:D28)</f>
        <v>9276458.8190109879</v>
      </c>
      <c r="E29" s="61">
        <f t="shared" si="4"/>
        <v>0</v>
      </c>
      <c r="F29" s="61">
        <f t="shared" si="4"/>
        <v>9276458.8190109879</v>
      </c>
      <c r="G29" s="61">
        <f t="shared" si="4"/>
        <v>2309809.4341880446</v>
      </c>
      <c r="H29" s="61">
        <f t="shared" si="4"/>
        <v>11586268.253199033</v>
      </c>
      <c r="I29" s="61">
        <f t="shared" si="4"/>
        <v>4198345.2148493472</v>
      </c>
      <c r="J29" s="61">
        <f t="shared" si="4"/>
        <v>15784613.468048379</v>
      </c>
      <c r="K29" s="61">
        <f t="shared" si="4"/>
        <v>-242607.00961800106</v>
      </c>
      <c r="L29" s="61">
        <f t="shared" si="4"/>
        <v>15542006.458430378</v>
      </c>
      <c r="M29" s="61">
        <f t="shared" si="4"/>
        <v>-5294316.163872092</v>
      </c>
      <c r="N29" s="61">
        <f t="shared" si="4"/>
        <v>10247690.294558287</v>
      </c>
      <c r="O29" s="61"/>
      <c r="P29" s="61"/>
      <c r="Q29" s="41"/>
    </row>
    <row r="30" spans="1:17" x14ac:dyDescent="0.25">
      <c r="A30" s="44">
        <f t="shared" si="0"/>
        <v>20</v>
      </c>
      <c r="B30" s="62"/>
      <c r="C30" s="62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41"/>
    </row>
    <row r="31" spans="1:17" ht="15.75" thickBot="1" x14ac:dyDescent="0.3">
      <c r="A31" s="44">
        <f t="shared" si="0"/>
        <v>21</v>
      </c>
      <c r="B31" s="60" t="s">
        <v>58</v>
      </c>
      <c r="C31" s="60"/>
      <c r="D31" s="59">
        <f t="shared" ref="D31:N31" si="5">D16+D29</f>
        <v>9276458.8190109879</v>
      </c>
      <c r="E31" s="59">
        <f t="shared" si="5"/>
        <v>0</v>
      </c>
      <c r="F31" s="59">
        <f t="shared" si="5"/>
        <v>9276458.8190109879</v>
      </c>
      <c r="G31" s="59">
        <f t="shared" si="5"/>
        <v>2309809.4341880446</v>
      </c>
      <c r="H31" s="59">
        <f t="shared" si="5"/>
        <v>11586268.253199033</v>
      </c>
      <c r="I31" s="59">
        <f t="shared" si="5"/>
        <v>4198345.2148493472</v>
      </c>
      <c r="J31" s="59">
        <f t="shared" si="5"/>
        <v>15784613.468048379</v>
      </c>
      <c r="K31" s="59">
        <f t="shared" si="5"/>
        <v>-242607.00961800106</v>
      </c>
      <c r="L31" s="59">
        <f t="shared" si="5"/>
        <v>15542006.458430378</v>
      </c>
      <c r="M31" s="59">
        <f t="shared" si="5"/>
        <v>-5294316.163872092</v>
      </c>
      <c r="N31" s="59">
        <f t="shared" si="5"/>
        <v>10247690.294558287</v>
      </c>
      <c r="O31" s="59"/>
      <c r="P31" s="59"/>
      <c r="Q31" s="41"/>
    </row>
    <row r="32" spans="1:17" ht="15.75" thickTop="1" x14ac:dyDescent="0.25">
      <c r="A32" s="44">
        <f t="shared" si="0"/>
        <v>22</v>
      </c>
      <c r="B32" s="58"/>
      <c r="C32" s="58"/>
      <c r="D32" s="57"/>
      <c r="E32" s="57"/>
      <c r="F32" s="57"/>
      <c r="G32" s="57"/>
      <c r="H32" s="57"/>
      <c r="I32" s="53"/>
      <c r="J32" s="57"/>
      <c r="K32" s="53"/>
      <c r="L32" s="57"/>
      <c r="M32" s="53"/>
      <c r="N32" s="57"/>
      <c r="O32" s="53"/>
      <c r="P32" s="57"/>
      <c r="Q32" s="41"/>
    </row>
    <row r="33" spans="1:17" x14ac:dyDescent="0.25">
      <c r="A33" s="44">
        <f t="shared" si="0"/>
        <v>23</v>
      </c>
      <c r="B33" s="56" t="s">
        <v>57</v>
      </c>
      <c r="C33" s="56"/>
      <c r="D33" s="55"/>
      <c r="E33" s="55"/>
      <c r="F33" s="55"/>
      <c r="G33" s="55"/>
      <c r="H33" s="55"/>
      <c r="I33" s="53"/>
      <c r="J33" s="55"/>
      <c r="K33" s="53"/>
      <c r="L33" s="55"/>
      <c r="M33" s="53"/>
      <c r="N33" s="55"/>
      <c r="O33" s="53"/>
      <c r="P33" s="55"/>
      <c r="Q33" s="41"/>
    </row>
    <row r="34" spans="1:17" x14ac:dyDescent="0.25">
      <c r="A34" s="44"/>
      <c r="B34" s="52" t="s">
        <v>56</v>
      </c>
      <c r="C34" s="56"/>
      <c r="D34" s="54">
        <v>-11323975.769400001</v>
      </c>
      <c r="E34" s="55">
        <v>0</v>
      </c>
      <c r="F34" s="54">
        <f>SUM(D34:E34)</f>
        <v>-11323975.769400001</v>
      </c>
      <c r="G34" s="53">
        <f>-F34</f>
        <v>11323975.769400001</v>
      </c>
      <c r="H34" s="54">
        <f>SUM(F34:G34)</f>
        <v>0</v>
      </c>
      <c r="I34" s="53"/>
      <c r="J34" s="54">
        <f>SUM(H34:I34)</f>
        <v>0</v>
      </c>
      <c r="K34" s="53"/>
      <c r="L34" s="54">
        <f>SUM(J34:K34)</f>
        <v>0</v>
      </c>
      <c r="M34" s="53"/>
      <c r="N34" s="54">
        <f>SUM(L34:M34)</f>
        <v>0</v>
      </c>
      <c r="O34" s="53"/>
      <c r="P34" s="54"/>
      <c r="Q34" s="41"/>
    </row>
    <row r="35" spans="1:17" x14ac:dyDescent="0.25">
      <c r="A35" s="44">
        <f>A33+1</f>
        <v>24</v>
      </c>
      <c r="B35" s="52" t="s">
        <v>55</v>
      </c>
      <c r="C35" s="52"/>
      <c r="D35" s="47">
        <v>0</v>
      </c>
      <c r="E35" s="47">
        <f>+F35-D35</f>
        <v>0</v>
      </c>
      <c r="F35" s="47">
        <v>0</v>
      </c>
      <c r="G35" s="47">
        <f>+H35-F35</f>
        <v>0</v>
      </c>
      <c r="H35" s="47">
        <f>+F35</f>
        <v>0</v>
      </c>
      <c r="I35" s="47">
        <f>+J35-H35</f>
        <v>0</v>
      </c>
      <c r="J35" s="47">
        <v>0</v>
      </c>
      <c r="K35" s="53">
        <f>+L35-J35</f>
        <v>3914117.645152315</v>
      </c>
      <c r="L35" s="47">
        <v>3914117.645152315</v>
      </c>
      <c r="M35" s="53">
        <f>+N35-L35</f>
        <v>0</v>
      </c>
      <c r="N35" s="47">
        <v>3914117.645152315</v>
      </c>
      <c r="O35" s="53"/>
      <c r="P35" s="47"/>
      <c r="Q35" s="41"/>
    </row>
    <row r="36" spans="1:17" ht="15.75" thickBot="1" x14ac:dyDescent="0.3">
      <c r="A36" s="44">
        <f t="shared" ref="A36:A44" si="6">A35+1</f>
        <v>25</v>
      </c>
      <c r="B36" s="52" t="s">
        <v>54</v>
      </c>
      <c r="C36" s="52"/>
      <c r="D36" s="47">
        <v>0</v>
      </c>
      <c r="E36" s="47">
        <f>+F36-D36</f>
        <v>0</v>
      </c>
      <c r="F36" s="47">
        <v>0</v>
      </c>
      <c r="G36" s="47">
        <f>+H36-F36</f>
        <v>0</v>
      </c>
      <c r="H36" s="47">
        <f>+F36</f>
        <v>0</v>
      </c>
      <c r="I36" s="47">
        <f>+J36-H36</f>
        <v>0</v>
      </c>
      <c r="J36" s="47">
        <v>0</v>
      </c>
      <c r="K36" s="53">
        <f>+L36-J36</f>
        <v>173621.93722130067</v>
      </c>
      <c r="L36" s="47">
        <v>173621.93722130067</v>
      </c>
      <c r="M36" s="53">
        <f>+N36-L36</f>
        <v>0</v>
      </c>
      <c r="N36" s="47">
        <v>173621.93722130067</v>
      </c>
      <c r="O36" s="53"/>
      <c r="P36" s="47"/>
      <c r="Q36" s="41"/>
    </row>
    <row r="37" spans="1:17" x14ac:dyDescent="0.25">
      <c r="A37" s="250">
        <f t="shared" si="6"/>
        <v>26</v>
      </c>
      <c r="B37" s="251" t="s">
        <v>53</v>
      </c>
      <c r="C37" s="251"/>
      <c r="D37" s="252">
        <v>0</v>
      </c>
      <c r="E37" s="252">
        <f>+F37-D37</f>
        <v>0</v>
      </c>
      <c r="F37" s="252">
        <v>0</v>
      </c>
      <c r="G37" s="252">
        <f>+H37-F37</f>
        <v>0</v>
      </c>
      <c r="H37" s="252">
        <v>0</v>
      </c>
      <c r="I37" s="252">
        <f>+J37-H37</f>
        <v>0</v>
      </c>
      <c r="J37" s="252">
        <v>0</v>
      </c>
      <c r="K37" s="252">
        <f>+L37-J37</f>
        <v>2787548.3850655165</v>
      </c>
      <c r="L37" s="252">
        <f>SUM('SEF-48 pg.4'!D63:D74)</f>
        <v>2787548.3850655165</v>
      </c>
      <c r="M37" s="252">
        <f>+N37-L37</f>
        <v>0</v>
      </c>
      <c r="N37" s="252">
        <f>SUM('SEF-48 pg.4'!D75:D86)</f>
        <v>2787548.3850655165</v>
      </c>
      <c r="O37" s="252"/>
      <c r="P37" s="253"/>
      <c r="Q37" s="41"/>
    </row>
    <row r="38" spans="1:17" ht="15.75" thickBot="1" x14ac:dyDescent="0.3">
      <c r="A38" s="254">
        <f t="shared" si="6"/>
        <v>27</v>
      </c>
      <c r="B38" s="255" t="s">
        <v>52</v>
      </c>
      <c r="C38" s="255"/>
      <c r="D38" s="256">
        <v>0</v>
      </c>
      <c r="E38" s="256">
        <f>+F38-D38</f>
        <v>0</v>
      </c>
      <c r="F38" s="256">
        <v>0</v>
      </c>
      <c r="G38" s="256">
        <f>+H38-F38</f>
        <v>0</v>
      </c>
      <c r="H38" s="256">
        <v>0</v>
      </c>
      <c r="I38" s="256">
        <f>+J38-H38</f>
        <v>0</v>
      </c>
      <c r="J38" s="256">
        <v>0</v>
      </c>
      <c r="K38" s="256">
        <f>+L38-J38</f>
        <v>94832.304487856571</v>
      </c>
      <c r="L38" s="256">
        <f>SUM('SEF-48 pg.6'!D63:D74)</f>
        <v>94832.304487856571</v>
      </c>
      <c r="M38" s="256">
        <f>+N38-L38</f>
        <v>0</v>
      </c>
      <c r="N38" s="256">
        <f>SUM('SEF-48 pg.6'!D75:D86)</f>
        <v>94832.304487856571</v>
      </c>
      <c r="O38" s="256"/>
      <c r="P38" s="257"/>
      <c r="Q38" s="41"/>
    </row>
    <row r="39" spans="1:17" ht="15.75" thickBot="1" x14ac:dyDescent="0.3">
      <c r="A39" s="44">
        <f t="shared" si="6"/>
        <v>28</v>
      </c>
      <c r="B39" s="52" t="s">
        <v>51</v>
      </c>
      <c r="C39" s="52"/>
      <c r="D39" s="59">
        <f t="shared" ref="D39:N39" si="7">SUM(D34:D38)</f>
        <v>-11323975.769400001</v>
      </c>
      <c r="E39" s="59">
        <f t="shared" si="7"/>
        <v>0</v>
      </c>
      <c r="F39" s="59">
        <f t="shared" si="7"/>
        <v>-11323975.769400001</v>
      </c>
      <c r="G39" s="59">
        <f t="shared" si="7"/>
        <v>11323975.769400001</v>
      </c>
      <c r="H39" s="59">
        <f t="shared" si="7"/>
        <v>0</v>
      </c>
      <c r="I39" s="59">
        <f t="shared" si="7"/>
        <v>0</v>
      </c>
      <c r="J39" s="59">
        <f t="shared" si="7"/>
        <v>0</v>
      </c>
      <c r="K39" s="59">
        <f t="shared" si="7"/>
        <v>6970120.2719269879</v>
      </c>
      <c r="L39" s="59">
        <f t="shared" si="7"/>
        <v>6970120.2719269879</v>
      </c>
      <c r="M39" s="59">
        <f t="shared" si="7"/>
        <v>0</v>
      </c>
      <c r="N39" s="59">
        <f t="shared" si="7"/>
        <v>6970120.2719269879</v>
      </c>
      <c r="O39" s="59"/>
      <c r="P39" s="59"/>
      <c r="Q39" s="41"/>
    </row>
    <row r="40" spans="1:17" ht="15.75" thickTop="1" x14ac:dyDescent="0.25">
      <c r="A40" s="44">
        <f t="shared" si="6"/>
        <v>29</v>
      </c>
      <c r="B40" s="51" t="s">
        <v>50</v>
      </c>
      <c r="C40" s="50"/>
      <c r="D40" s="49"/>
      <c r="E40" s="49"/>
      <c r="F40" s="49"/>
      <c r="G40" s="49"/>
      <c r="H40" s="49"/>
      <c r="I40" s="48"/>
      <c r="J40" s="49"/>
      <c r="K40" s="48"/>
      <c r="L40" s="49"/>
      <c r="M40" s="48"/>
      <c r="N40" s="49"/>
      <c r="O40" s="48"/>
      <c r="P40" s="49"/>
      <c r="Q40" s="41"/>
    </row>
    <row r="41" spans="1:17" x14ac:dyDescent="0.25">
      <c r="A41" s="44">
        <f t="shared" si="6"/>
        <v>30</v>
      </c>
      <c r="B41" s="43" t="s">
        <v>49</v>
      </c>
      <c r="C41" s="43"/>
      <c r="D41" s="47">
        <f t="shared" ref="D41:N41" si="8">D39</f>
        <v>-11323975.769400001</v>
      </c>
      <c r="E41" s="47">
        <f t="shared" si="8"/>
        <v>0</v>
      </c>
      <c r="F41" s="47">
        <f t="shared" si="8"/>
        <v>-11323975.769400001</v>
      </c>
      <c r="G41" s="47">
        <f t="shared" si="8"/>
        <v>11323975.769400001</v>
      </c>
      <c r="H41" s="47">
        <f t="shared" si="8"/>
        <v>0</v>
      </c>
      <c r="I41" s="47">
        <f t="shared" si="8"/>
        <v>0</v>
      </c>
      <c r="J41" s="47">
        <f t="shared" si="8"/>
        <v>0</v>
      </c>
      <c r="K41" s="47">
        <f t="shared" si="8"/>
        <v>6970120.2719269879</v>
      </c>
      <c r="L41" s="47">
        <f t="shared" si="8"/>
        <v>6970120.2719269879</v>
      </c>
      <c r="M41" s="47">
        <f t="shared" si="8"/>
        <v>0</v>
      </c>
      <c r="N41" s="47">
        <f t="shared" si="8"/>
        <v>6970120.2719269879</v>
      </c>
      <c r="O41" s="47"/>
      <c r="P41" s="47"/>
      <c r="Q41" s="41"/>
    </row>
    <row r="42" spans="1:17" x14ac:dyDescent="0.25">
      <c r="A42" s="44">
        <f t="shared" si="6"/>
        <v>31</v>
      </c>
      <c r="B42" s="43"/>
      <c r="C42" s="43"/>
      <c r="D42" s="47"/>
      <c r="E42" s="47"/>
      <c r="F42" s="47"/>
      <c r="G42" s="49"/>
      <c r="H42" s="47"/>
      <c r="I42" s="48"/>
      <c r="J42" s="47"/>
      <c r="K42" s="48"/>
      <c r="L42" s="47"/>
      <c r="M42" s="48"/>
      <c r="N42" s="47"/>
      <c r="O42" s="48"/>
      <c r="P42" s="47"/>
      <c r="Q42" s="41"/>
    </row>
    <row r="43" spans="1:17" x14ac:dyDescent="0.25">
      <c r="A43" s="44">
        <f t="shared" si="6"/>
        <v>32</v>
      </c>
      <c r="B43" s="43" t="s">
        <v>48</v>
      </c>
      <c r="C43" s="46">
        <v>0.21</v>
      </c>
      <c r="D43" s="45">
        <f>-D41*$C$43</f>
        <v>2378034.911574</v>
      </c>
      <c r="E43" s="45">
        <f>-E41*$C$43</f>
        <v>0</v>
      </c>
      <c r="F43" s="45">
        <f>SUM(D43:E43)</f>
        <v>2378034.911574</v>
      </c>
      <c r="G43" s="45">
        <f>-G41*$C$43</f>
        <v>-2378034.911574</v>
      </c>
      <c r="H43" s="45">
        <f>SUM(F43:G43)</f>
        <v>0</v>
      </c>
      <c r="I43" s="45">
        <f>-I41*$C$43</f>
        <v>0</v>
      </c>
      <c r="J43" s="45">
        <f>SUM(H43:I43)</f>
        <v>0</v>
      </c>
      <c r="K43" s="45">
        <f>-K41*$C$43</f>
        <v>-1463725.2571046674</v>
      </c>
      <c r="L43" s="45">
        <f>SUM(J43:K43)</f>
        <v>-1463725.2571046674</v>
      </c>
      <c r="M43" s="45">
        <f>-M41*$C$43</f>
        <v>0</v>
      </c>
      <c r="N43" s="45">
        <f>SUM(L43:M43)</f>
        <v>-1463725.2571046674</v>
      </c>
      <c r="O43" s="45"/>
      <c r="P43" s="45"/>
      <c r="Q43" s="41"/>
    </row>
    <row r="44" spans="1:17" ht="15.75" thickBot="1" x14ac:dyDescent="0.3">
      <c r="A44" s="44">
        <f t="shared" si="6"/>
        <v>33</v>
      </c>
      <c r="B44" s="43" t="s">
        <v>47</v>
      </c>
      <c r="C44" s="43"/>
      <c r="D44" s="42">
        <f t="shared" ref="D44:N44" si="9">-D41-D43</f>
        <v>8945940.8578260001</v>
      </c>
      <c r="E44" s="42">
        <f t="shared" si="9"/>
        <v>0</v>
      </c>
      <c r="F44" s="42">
        <f t="shared" si="9"/>
        <v>8945940.8578260001</v>
      </c>
      <c r="G44" s="42">
        <f t="shared" si="9"/>
        <v>-8945940.8578260001</v>
      </c>
      <c r="H44" s="42">
        <f t="shared" si="9"/>
        <v>0</v>
      </c>
      <c r="I44" s="42">
        <f t="shared" si="9"/>
        <v>0</v>
      </c>
      <c r="J44" s="42">
        <f t="shared" si="9"/>
        <v>0</v>
      </c>
      <c r="K44" s="42">
        <f t="shared" si="9"/>
        <v>-5506395.014822321</v>
      </c>
      <c r="L44" s="42">
        <f t="shared" si="9"/>
        <v>-5506395.014822321</v>
      </c>
      <c r="M44" s="42">
        <f t="shared" si="9"/>
        <v>0</v>
      </c>
      <c r="N44" s="42">
        <f t="shared" si="9"/>
        <v>-5506395.014822321</v>
      </c>
      <c r="O44" s="42"/>
      <c r="P44" s="42"/>
      <c r="Q44" s="41"/>
    </row>
    <row r="45" spans="1:17" ht="15.75" thickTop="1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workbookViewId="0">
      <pane xSplit="2" ySplit="6" topLeftCell="C7" activePane="bottomRight" state="frozen"/>
      <selection activeCell="A38" sqref="A38"/>
      <selection pane="topRight" activeCell="A38" sqref="A38"/>
      <selection pane="bottomLeft" activeCell="A38" sqref="A38"/>
      <selection pane="bottomRight" activeCell="K37" sqref="K37"/>
    </sheetView>
  </sheetViews>
  <sheetFormatPr defaultRowHeight="15" outlineLevelRow="1" x14ac:dyDescent="0.25"/>
  <cols>
    <col min="1" max="1" width="64" bestFit="1" customWidth="1"/>
    <col min="3" max="3" width="15.28515625" customWidth="1"/>
    <col min="4" max="4" width="14.28515625" bestFit="1" customWidth="1"/>
    <col min="5" max="5" width="12.7109375" bestFit="1" customWidth="1"/>
    <col min="6" max="6" width="14.28515625" bestFit="1" customWidth="1"/>
    <col min="7" max="7" width="12.7109375" bestFit="1" customWidth="1"/>
    <col min="8" max="8" width="14.28515625" bestFit="1" customWidth="1"/>
    <col min="9" max="9" width="12.28515625" bestFit="1" customWidth="1"/>
    <col min="10" max="10" width="14.28515625" bestFit="1" customWidth="1"/>
    <col min="11" max="11" width="12.28515625" bestFit="1" customWidth="1"/>
    <col min="12" max="12" width="14.28515625" bestFit="1" customWidth="1"/>
    <col min="13" max="13" width="12.28515625" bestFit="1" customWidth="1"/>
    <col min="14" max="14" width="14.28515625" bestFit="1" customWidth="1"/>
    <col min="15" max="15" width="12.28515625" bestFit="1" customWidth="1"/>
  </cols>
  <sheetData>
    <row r="1" spans="1:18" x14ac:dyDescent="0.25">
      <c r="A1" s="107" t="s">
        <v>174</v>
      </c>
      <c r="B1" s="106"/>
      <c r="C1" s="104" t="s">
        <v>99</v>
      </c>
      <c r="D1" s="105"/>
      <c r="E1" s="104" t="s">
        <v>100</v>
      </c>
      <c r="F1" s="105"/>
      <c r="G1" s="104" t="s">
        <v>100</v>
      </c>
      <c r="H1" s="105"/>
      <c r="I1" s="104" t="s">
        <v>100</v>
      </c>
      <c r="J1" s="105"/>
      <c r="K1" s="104" t="s">
        <v>99</v>
      </c>
      <c r="L1" s="105"/>
      <c r="M1" s="104" t="s">
        <v>99</v>
      </c>
      <c r="N1" s="105"/>
      <c r="O1" s="104" t="s">
        <v>99</v>
      </c>
    </row>
    <row r="2" spans="1:18" x14ac:dyDescent="0.25">
      <c r="A2" s="108" t="s">
        <v>101</v>
      </c>
      <c r="B2" s="73"/>
      <c r="C2" s="103"/>
      <c r="D2" s="102"/>
      <c r="E2" s="102"/>
      <c r="F2" s="102"/>
      <c r="G2" s="101"/>
      <c r="H2" s="103"/>
      <c r="I2" s="102"/>
      <c r="J2" s="102"/>
      <c r="K2" s="102"/>
      <c r="L2" s="102"/>
      <c r="M2" s="102"/>
      <c r="N2" s="102"/>
      <c r="O2" s="101"/>
    </row>
    <row r="3" spans="1:18" x14ac:dyDescent="0.25">
      <c r="A3" s="232" t="s">
        <v>173</v>
      </c>
      <c r="B3" s="73"/>
      <c r="C3" s="100"/>
      <c r="D3" s="99"/>
      <c r="E3" s="98"/>
      <c r="F3" s="97"/>
      <c r="G3" s="96" t="s">
        <v>98</v>
      </c>
      <c r="H3" s="95">
        <v>2022</v>
      </c>
      <c r="I3" s="94" t="s">
        <v>94</v>
      </c>
      <c r="J3" s="93">
        <v>2023</v>
      </c>
      <c r="K3" s="94" t="s">
        <v>94</v>
      </c>
      <c r="L3" s="93">
        <v>2024</v>
      </c>
      <c r="M3" s="94" t="s">
        <v>94</v>
      </c>
      <c r="N3" s="93">
        <v>2025</v>
      </c>
      <c r="O3" s="83" t="s">
        <v>94</v>
      </c>
    </row>
    <row r="4" spans="1:18" x14ac:dyDescent="0.25">
      <c r="A4" s="232" t="s">
        <v>170</v>
      </c>
      <c r="B4" s="92"/>
      <c r="C4" s="87" t="s">
        <v>97</v>
      </c>
      <c r="D4" s="91"/>
      <c r="E4" s="85" t="s">
        <v>96</v>
      </c>
      <c r="F4" s="84" t="s">
        <v>103</v>
      </c>
      <c r="G4" s="83" t="s">
        <v>94</v>
      </c>
      <c r="H4" s="86" t="s">
        <v>93</v>
      </c>
      <c r="I4" s="85" t="s">
        <v>92</v>
      </c>
      <c r="J4" s="84" t="s">
        <v>78</v>
      </c>
      <c r="K4" s="85" t="s">
        <v>92</v>
      </c>
      <c r="L4" s="84" t="s">
        <v>77</v>
      </c>
      <c r="M4" s="85" t="s">
        <v>92</v>
      </c>
      <c r="N4" s="84" t="s">
        <v>75</v>
      </c>
      <c r="O4" s="83" t="s">
        <v>92</v>
      </c>
    </row>
    <row r="5" spans="1:18" x14ac:dyDescent="0.25">
      <c r="A5" s="89"/>
      <c r="B5" s="88"/>
      <c r="C5" s="87" t="s">
        <v>90</v>
      </c>
      <c r="D5" s="84" t="s">
        <v>89</v>
      </c>
      <c r="E5" s="85" t="s">
        <v>87</v>
      </c>
      <c r="F5" s="84" t="s">
        <v>95</v>
      </c>
      <c r="G5" s="83" t="s">
        <v>87</v>
      </c>
      <c r="H5" s="86" t="s">
        <v>85</v>
      </c>
      <c r="I5" s="85" t="s">
        <v>86</v>
      </c>
      <c r="J5" s="84" t="s">
        <v>85</v>
      </c>
      <c r="K5" s="85" t="s">
        <v>84</v>
      </c>
      <c r="L5" s="84" t="s">
        <v>85</v>
      </c>
      <c r="M5" s="85" t="s">
        <v>84</v>
      </c>
      <c r="N5" s="84" t="s">
        <v>85</v>
      </c>
      <c r="O5" s="83" t="s">
        <v>84</v>
      </c>
    </row>
    <row r="6" spans="1:18" x14ac:dyDescent="0.25">
      <c r="A6" s="81" t="s">
        <v>82</v>
      </c>
      <c r="B6" s="80" t="s">
        <v>81</v>
      </c>
      <c r="C6" s="79" t="s">
        <v>80</v>
      </c>
      <c r="D6" s="76" t="s">
        <v>76</v>
      </c>
      <c r="E6" s="77" t="s">
        <v>79</v>
      </c>
      <c r="F6" s="76" t="s">
        <v>76</v>
      </c>
      <c r="G6" s="75" t="s">
        <v>79</v>
      </c>
      <c r="H6" s="78" t="s">
        <v>76</v>
      </c>
      <c r="I6" s="77" t="s">
        <v>78</v>
      </c>
      <c r="J6" s="76" t="s">
        <v>76</v>
      </c>
      <c r="K6" s="77" t="s">
        <v>78</v>
      </c>
      <c r="L6" s="76" t="s">
        <v>76</v>
      </c>
      <c r="M6" s="77" t="s">
        <v>77</v>
      </c>
      <c r="N6" s="76" t="s">
        <v>76</v>
      </c>
      <c r="O6" s="75" t="s">
        <v>75</v>
      </c>
    </row>
    <row r="7" spans="1:18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8" hidden="1" outlineLevel="1" x14ac:dyDescent="0.25">
      <c r="A8" s="66" t="s">
        <v>73</v>
      </c>
      <c r="B8" s="66"/>
      <c r="C8" s="71"/>
      <c r="D8" s="71"/>
      <c r="E8" s="71"/>
      <c r="F8" s="71"/>
      <c r="G8" s="71"/>
      <c r="H8" s="72"/>
      <c r="I8" s="71"/>
      <c r="J8" s="72"/>
      <c r="K8" s="71"/>
      <c r="L8" s="72"/>
      <c r="M8" s="71"/>
      <c r="N8" s="72"/>
      <c r="O8" s="71"/>
    </row>
    <row r="9" spans="1:18" hidden="1" outlineLevel="1" x14ac:dyDescent="0.25">
      <c r="A9" s="66" t="s">
        <v>72</v>
      </c>
      <c r="B9" s="66"/>
      <c r="C9" s="71"/>
      <c r="D9" s="71"/>
      <c r="E9" s="71"/>
      <c r="F9" s="71"/>
      <c r="G9" s="71"/>
      <c r="H9" s="69"/>
      <c r="I9" s="71"/>
      <c r="J9" s="69"/>
      <c r="K9" s="71"/>
      <c r="L9" s="69"/>
      <c r="M9" s="71"/>
      <c r="N9" s="69"/>
      <c r="O9" s="71"/>
    </row>
    <row r="10" spans="1:18" hidden="1" outlineLevel="1" x14ac:dyDescent="0.25">
      <c r="A10" s="65" t="s">
        <v>71</v>
      </c>
      <c r="B10" s="65"/>
      <c r="C10" s="70">
        <v>0</v>
      </c>
      <c r="D10" s="70">
        <v>0</v>
      </c>
      <c r="E10" s="70">
        <f>SUM(C10:D10)</f>
        <v>0</v>
      </c>
      <c r="F10" s="70"/>
      <c r="G10" s="70">
        <f>SUM(E10:F10)</f>
        <v>0</v>
      </c>
      <c r="H10" s="69"/>
      <c r="I10" s="70">
        <f>SUM(G10:H10)</f>
        <v>0</v>
      </c>
      <c r="J10" s="69"/>
      <c r="K10" s="70">
        <f>SUM(I10:J10)</f>
        <v>0</v>
      </c>
      <c r="L10" s="69"/>
      <c r="M10" s="70">
        <f>SUM(K10:L10)</f>
        <v>0</v>
      </c>
      <c r="N10" s="69"/>
      <c r="O10" s="70">
        <f>SUM(M10:N10)</f>
        <v>0</v>
      </c>
    </row>
    <row r="11" spans="1:18" hidden="1" outlineLevel="1" x14ac:dyDescent="0.25">
      <c r="A11" s="62" t="s">
        <v>70</v>
      </c>
      <c r="B11" s="62"/>
      <c r="C11" s="47">
        <v>0</v>
      </c>
      <c r="D11" s="47">
        <v>0</v>
      </c>
      <c r="E11" s="47">
        <f>SUM(C11:D11)</f>
        <v>0</v>
      </c>
      <c r="F11" s="47"/>
      <c r="G11" s="47">
        <f>SUM(E11:F11)</f>
        <v>0</v>
      </c>
      <c r="H11" s="111"/>
      <c r="I11" s="47">
        <f>SUM(G11:H11)</f>
        <v>0</v>
      </c>
      <c r="J11" s="111"/>
      <c r="K11" s="47">
        <f>SUM(I11:J11)</f>
        <v>0</v>
      </c>
      <c r="L11" s="111"/>
      <c r="M11" s="47">
        <f>SUM(K11:L11)</f>
        <v>0</v>
      </c>
      <c r="N11" s="111"/>
      <c r="O11" s="47">
        <f>SUM(M11:N11)</f>
        <v>0</v>
      </c>
      <c r="P11" s="109"/>
      <c r="Q11" s="109"/>
      <c r="R11" s="109"/>
    </row>
    <row r="12" spans="1:18" hidden="1" outlineLevel="1" x14ac:dyDescent="0.25">
      <c r="A12" s="62" t="s">
        <v>69</v>
      </c>
      <c r="B12" s="62"/>
      <c r="C12" s="47">
        <v>0</v>
      </c>
      <c r="D12" s="47">
        <v>0</v>
      </c>
      <c r="E12" s="47">
        <f>SUM(C12:D12)</f>
        <v>0</v>
      </c>
      <c r="F12" s="47"/>
      <c r="G12" s="47">
        <f>SUM(E12:F12)</f>
        <v>0</v>
      </c>
      <c r="H12" s="111"/>
      <c r="I12" s="47">
        <f>SUM(G12:H12)</f>
        <v>0</v>
      </c>
      <c r="J12" s="111"/>
      <c r="K12" s="47">
        <f>SUM(I12:J12)</f>
        <v>0</v>
      </c>
      <c r="L12" s="111"/>
      <c r="M12" s="47">
        <f>SUM(K12:L12)</f>
        <v>0</v>
      </c>
      <c r="N12" s="111"/>
      <c r="O12" s="47">
        <f>SUM(M12:N12)</f>
        <v>0</v>
      </c>
      <c r="P12" s="109"/>
      <c r="Q12" s="109"/>
      <c r="R12" s="109"/>
    </row>
    <row r="13" spans="1:18" hidden="1" outlineLevel="1" x14ac:dyDescent="0.25">
      <c r="A13" s="62"/>
      <c r="B13" s="62"/>
      <c r="C13" s="47"/>
      <c r="D13" s="47"/>
      <c r="E13" s="47"/>
      <c r="F13" s="47"/>
      <c r="G13" s="47"/>
      <c r="H13" s="111"/>
      <c r="I13" s="47"/>
      <c r="J13" s="111"/>
      <c r="K13" s="47"/>
      <c r="L13" s="111"/>
      <c r="M13" s="47"/>
      <c r="N13" s="111"/>
      <c r="O13" s="47"/>
      <c r="P13" s="109"/>
      <c r="Q13" s="109"/>
      <c r="R13" s="109"/>
    </row>
    <row r="14" spans="1:18" hidden="1" outlineLevel="1" x14ac:dyDescent="0.25">
      <c r="A14" s="62"/>
      <c r="B14" s="62"/>
      <c r="C14" s="47"/>
      <c r="D14" s="47"/>
      <c r="E14" s="47"/>
      <c r="F14" s="47"/>
      <c r="G14" s="47"/>
      <c r="H14" s="111"/>
      <c r="I14" s="47"/>
      <c r="J14" s="111"/>
      <c r="K14" s="47"/>
      <c r="L14" s="111"/>
      <c r="M14" s="47"/>
      <c r="N14" s="111"/>
      <c r="O14" s="47"/>
      <c r="P14" s="109"/>
      <c r="Q14" s="109"/>
      <c r="R14" s="109"/>
    </row>
    <row r="15" spans="1:18" hidden="1" outlineLevel="1" x14ac:dyDescent="0.25">
      <c r="A15" s="62"/>
      <c r="B15" s="62"/>
      <c r="C15" s="47"/>
      <c r="D15" s="47"/>
      <c r="E15" s="47"/>
      <c r="F15" s="47"/>
      <c r="G15" s="47"/>
      <c r="H15" s="111"/>
      <c r="I15" s="47"/>
      <c r="J15" s="111"/>
      <c r="K15" s="47"/>
      <c r="L15" s="111"/>
      <c r="M15" s="47"/>
      <c r="N15" s="111"/>
      <c r="O15" s="47"/>
      <c r="P15" s="109"/>
      <c r="Q15" s="109"/>
      <c r="R15" s="109"/>
    </row>
    <row r="16" spans="1:18" hidden="1" outlineLevel="1" x14ac:dyDescent="0.25">
      <c r="A16" s="60" t="s">
        <v>68</v>
      </c>
      <c r="B16" s="62"/>
      <c r="C16" s="61">
        <f t="shared" ref="C16:O16" si="0">SUM(C10:C15)</f>
        <v>0</v>
      </c>
      <c r="D16" s="61">
        <f t="shared" si="0"/>
        <v>0</v>
      </c>
      <c r="E16" s="61">
        <f t="shared" si="0"/>
        <v>0</v>
      </c>
      <c r="F16" s="61">
        <f t="shared" si="0"/>
        <v>0</v>
      </c>
      <c r="G16" s="61">
        <f t="shared" si="0"/>
        <v>0</v>
      </c>
      <c r="H16" s="61">
        <f t="shared" si="0"/>
        <v>0</v>
      </c>
      <c r="I16" s="61">
        <f t="shared" si="0"/>
        <v>0</v>
      </c>
      <c r="J16" s="61">
        <f t="shared" si="0"/>
        <v>0</v>
      </c>
      <c r="K16" s="61">
        <f t="shared" si="0"/>
        <v>0</v>
      </c>
      <c r="L16" s="61">
        <f t="shared" si="0"/>
        <v>0</v>
      </c>
      <c r="M16" s="61">
        <f t="shared" si="0"/>
        <v>0</v>
      </c>
      <c r="N16" s="61">
        <f t="shared" si="0"/>
        <v>0</v>
      </c>
      <c r="O16" s="61">
        <f t="shared" si="0"/>
        <v>0</v>
      </c>
      <c r="P16" s="109"/>
      <c r="Q16" s="109"/>
      <c r="R16" s="109"/>
    </row>
    <row r="17" spans="1:18" hidden="1" outlineLevel="1" x14ac:dyDescent="0.25">
      <c r="A17" s="60"/>
      <c r="B17" s="62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09"/>
      <c r="Q17" s="109"/>
      <c r="R17" s="109"/>
    </row>
    <row r="18" spans="1:18" collapsed="1" x14ac:dyDescent="0.25">
      <c r="A18" s="56" t="s">
        <v>67</v>
      </c>
      <c r="B18" s="62"/>
      <c r="C18" s="47"/>
      <c r="D18" s="47"/>
      <c r="E18" s="47"/>
      <c r="F18" s="47"/>
      <c r="G18" s="47"/>
      <c r="H18" s="53"/>
      <c r="I18" s="47"/>
      <c r="J18" s="53"/>
      <c r="K18" s="47"/>
      <c r="L18" s="53"/>
      <c r="M18" s="47"/>
      <c r="N18" s="53"/>
      <c r="O18" s="47"/>
      <c r="P18" s="109"/>
      <c r="Q18" s="109"/>
      <c r="R18" s="109"/>
    </row>
    <row r="19" spans="1:18" x14ac:dyDescent="0.25">
      <c r="A19" s="62" t="s">
        <v>66</v>
      </c>
      <c r="B19" s="62"/>
      <c r="C19" s="47">
        <v>0</v>
      </c>
      <c r="D19" s="47">
        <v>0</v>
      </c>
      <c r="E19" s="47">
        <f>SUM(C19:D19)</f>
        <v>0</v>
      </c>
      <c r="F19" s="47"/>
      <c r="G19" s="47">
        <f>SUM(E19:F19)</f>
        <v>0</v>
      </c>
      <c r="H19" s="48"/>
      <c r="I19" s="47">
        <f>SUM(G19:H19)</f>
        <v>0</v>
      </c>
      <c r="J19" s="48"/>
      <c r="K19" s="47">
        <f>SUM(I19:J19)</f>
        <v>0</v>
      </c>
      <c r="L19" s="48"/>
      <c r="M19" s="47">
        <f>SUM(K19:L19)</f>
        <v>0</v>
      </c>
      <c r="N19" s="48"/>
      <c r="O19" s="47"/>
      <c r="P19" s="109"/>
      <c r="Q19" s="109"/>
      <c r="R19" s="109"/>
    </row>
    <row r="20" spans="1:18" x14ac:dyDescent="0.25">
      <c r="A20" s="62" t="s">
        <v>65</v>
      </c>
      <c r="B20" s="62"/>
      <c r="C20" s="47">
        <v>5507073.8646076284</v>
      </c>
      <c r="D20" s="47">
        <f>+E20-C20</f>
        <v>0</v>
      </c>
      <c r="E20" s="47">
        <v>5507073.8646076284</v>
      </c>
      <c r="F20" s="47"/>
      <c r="G20" s="47">
        <v>5507073.8646076284</v>
      </c>
      <c r="H20" s="53"/>
      <c r="I20" s="47">
        <v>5507073.8646076284</v>
      </c>
      <c r="J20" s="53"/>
      <c r="K20" s="47">
        <v>5507073.8646076294</v>
      </c>
      <c r="L20" s="53"/>
      <c r="M20" s="47">
        <v>5507073.8646076294</v>
      </c>
      <c r="N20" s="53"/>
      <c r="O20" s="47"/>
      <c r="P20" s="109"/>
      <c r="Q20" s="109"/>
      <c r="R20" s="109"/>
    </row>
    <row r="21" spans="1:18" x14ac:dyDescent="0.25">
      <c r="A21" s="62" t="s">
        <v>64</v>
      </c>
      <c r="B21" s="62"/>
      <c r="C21" s="47"/>
      <c r="D21" s="47"/>
      <c r="E21" s="47"/>
      <c r="F21" s="47"/>
      <c r="G21" s="47"/>
      <c r="H21" s="53"/>
      <c r="I21" s="47"/>
      <c r="J21" s="53">
        <f>+K21-I21</f>
        <v>-917845.64410127129</v>
      </c>
      <c r="K21" s="47">
        <v>-917845.64410127129</v>
      </c>
      <c r="L21" s="53">
        <f>+M21-K21</f>
        <v>-1835691.2882025428</v>
      </c>
      <c r="M21" s="47">
        <v>-2753536.9323038142</v>
      </c>
      <c r="N21" s="53"/>
      <c r="O21" s="47"/>
      <c r="P21" s="109"/>
      <c r="Q21" s="109"/>
      <c r="R21" s="109"/>
    </row>
    <row r="22" spans="1:18" x14ac:dyDescent="0.25">
      <c r="A22" s="62" t="s">
        <v>63</v>
      </c>
      <c r="B22" s="62"/>
      <c r="C22" s="47">
        <v>-1156485.5115676019</v>
      </c>
      <c r="D22" s="47"/>
      <c r="E22" s="47">
        <v>-1156485.5115676019</v>
      </c>
      <c r="F22" s="47"/>
      <c r="G22" s="47">
        <v>-1156485.5115676019</v>
      </c>
      <c r="H22" s="53"/>
      <c r="I22" s="47">
        <v>-1156485.5115676019</v>
      </c>
      <c r="J22" s="53">
        <f>+K22-I22</f>
        <v>192747.58526126714</v>
      </c>
      <c r="K22" s="47">
        <v>-963737.92630633479</v>
      </c>
      <c r="L22" s="53">
        <f>+M22-K22</f>
        <v>385495.17052253394</v>
      </c>
      <c r="M22" s="47">
        <v>-578242.75578380085</v>
      </c>
      <c r="N22" s="53"/>
      <c r="O22" s="47"/>
      <c r="P22" s="109"/>
      <c r="Q22" s="109"/>
      <c r="R22" s="109"/>
    </row>
    <row r="23" spans="1:18" x14ac:dyDescent="0.25">
      <c r="A23" s="62" t="s">
        <v>62</v>
      </c>
      <c r="B23" s="62"/>
      <c r="C23" s="47"/>
      <c r="D23" s="47"/>
      <c r="E23" s="47"/>
      <c r="F23" s="47">
        <f>+G23-E23</f>
        <v>3883663.7685463578</v>
      </c>
      <c r="G23" s="47">
        <f>+'SEF-48 pg.5'!I50</f>
        <v>3883663.7685463578</v>
      </c>
      <c r="H23" s="47">
        <f>+I23-G23</f>
        <v>4420425.2748437403</v>
      </c>
      <c r="I23" s="47">
        <f>+'SEF-48 pg.5'!I62</f>
        <v>8304089.043390098</v>
      </c>
      <c r="J23" s="47">
        <f>+K23-I23</f>
        <v>2213270.0694201989</v>
      </c>
      <c r="K23" s="47">
        <f>+'SEF-48 pg.5'!I74</f>
        <v>10517359.112810297</v>
      </c>
      <c r="L23" s="47">
        <f>+M23-K23</f>
        <v>0</v>
      </c>
      <c r="M23" s="47">
        <f>+'SEF-48 pg.5'!I86</f>
        <v>10517359.112810297</v>
      </c>
      <c r="N23" s="47"/>
      <c r="O23" s="47"/>
      <c r="P23" s="109"/>
      <c r="Q23" s="109"/>
      <c r="R23" s="109"/>
    </row>
    <row r="24" spans="1:18" x14ac:dyDescent="0.25">
      <c r="A24" s="62" t="s">
        <v>61</v>
      </c>
      <c r="B24" s="62"/>
      <c r="C24" s="47"/>
      <c r="D24" s="47"/>
      <c r="E24" s="47"/>
      <c r="F24" s="47">
        <f>+G24-E24</f>
        <v>0</v>
      </c>
      <c r="G24" s="47"/>
      <c r="H24" s="47">
        <f>+I24-G24</f>
        <v>0</v>
      </c>
      <c r="I24" s="47">
        <f>+'SEF-48 pg.5'!J62</f>
        <v>0</v>
      </c>
      <c r="J24" s="47">
        <f>+K24-I24</f>
        <v>-1314669.8891012871</v>
      </c>
      <c r="K24" s="47">
        <f>+'SEF-48 pg.5'!J74</f>
        <v>-1314669.8891012871</v>
      </c>
      <c r="L24" s="47">
        <f>+M24-K24</f>
        <v>-2629339.7782025747</v>
      </c>
      <c r="M24" s="47">
        <f>+'SEF-48 pg.5'!J86</f>
        <v>-3944009.6673038616</v>
      </c>
      <c r="N24" s="47"/>
      <c r="O24" s="47"/>
      <c r="P24" s="109"/>
      <c r="Q24" s="109"/>
      <c r="R24" s="109"/>
    </row>
    <row r="25" spans="1:18" x14ac:dyDescent="0.25">
      <c r="A25" s="62" t="s">
        <v>60</v>
      </c>
      <c r="B25" s="62"/>
      <c r="C25" s="47"/>
      <c r="D25" s="47"/>
      <c r="E25" s="47"/>
      <c r="F25" s="47">
        <f>+G25-E25</f>
        <v>-653391.38767293852</v>
      </c>
      <c r="G25" s="47">
        <f>+'SEF-48 pg.5'!L50</f>
        <v>-653391.38767293852</v>
      </c>
      <c r="H25" s="47">
        <f>+I25-G25</f>
        <v>-928289.30771718512</v>
      </c>
      <c r="I25" s="47">
        <f>+'SEF-48 pg.5'!L62</f>
        <v>-1581680.6953901236</v>
      </c>
      <c r="J25" s="47">
        <f>+K25-I25</f>
        <v>-188706.03786697099</v>
      </c>
      <c r="K25" s="47">
        <f>+'SEF-48 pg.5'!L74</f>
        <v>-1770386.7332570946</v>
      </c>
      <c r="L25" s="47">
        <f>+M25-K25</f>
        <v>552161.35342254001</v>
      </c>
      <c r="M25" s="47">
        <f>+'SEF-48 pg.5'!L86</f>
        <v>-1218225.3798345546</v>
      </c>
      <c r="N25" s="47"/>
      <c r="O25" s="47"/>
      <c r="P25" s="109"/>
      <c r="Q25" s="109"/>
      <c r="R25" s="109"/>
    </row>
    <row r="26" spans="1:18" x14ac:dyDescent="0.25">
      <c r="A26" s="62"/>
      <c r="B26" s="62"/>
      <c r="C26" s="47"/>
      <c r="D26" s="47"/>
      <c r="E26" s="47"/>
      <c r="F26" s="53"/>
      <c r="G26" s="47"/>
      <c r="H26" s="53"/>
      <c r="I26" s="47"/>
      <c r="J26" s="53"/>
      <c r="K26" s="47"/>
      <c r="L26" s="53"/>
      <c r="M26" s="47"/>
      <c r="N26" s="53"/>
      <c r="O26" s="47"/>
      <c r="P26" s="109"/>
      <c r="Q26" s="109"/>
      <c r="R26" s="109"/>
    </row>
    <row r="27" spans="1:18" x14ac:dyDescent="0.25">
      <c r="A27" s="62"/>
      <c r="B27" s="62"/>
      <c r="C27" s="47"/>
      <c r="D27" s="47"/>
      <c r="E27" s="47"/>
      <c r="F27" s="53"/>
      <c r="G27" s="47"/>
      <c r="H27" s="53"/>
      <c r="I27" s="47"/>
      <c r="J27" s="53"/>
      <c r="K27" s="47"/>
      <c r="L27" s="53"/>
      <c r="M27" s="47"/>
      <c r="N27" s="53"/>
      <c r="O27" s="47"/>
      <c r="P27" s="109"/>
      <c r="Q27" s="109"/>
      <c r="R27" s="109"/>
    </row>
    <row r="28" spans="1:18" x14ac:dyDescent="0.25">
      <c r="A28" s="62"/>
      <c r="B28" s="62"/>
      <c r="C28" s="47"/>
      <c r="D28" s="47"/>
      <c r="E28" s="47"/>
      <c r="F28" s="53"/>
      <c r="G28" s="47"/>
      <c r="H28" s="53"/>
      <c r="I28" s="47"/>
      <c r="J28" s="53"/>
      <c r="K28" s="47"/>
      <c r="L28" s="53"/>
      <c r="M28" s="47"/>
      <c r="N28" s="53"/>
      <c r="O28" s="47"/>
      <c r="P28" s="109"/>
      <c r="Q28" s="109"/>
      <c r="R28" s="109"/>
    </row>
    <row r="29" spans="1:18" x14ac:dyDescent="0.25">
      <c r="A29" s="52" t="s">
        <v>59</v>
      </c>
      <c r="B29" s="62"/>
      <c r="C29" s="61">
        <f t="shared" ref="C29:M29" si="1">SUM(C19:C28)</f>
        <v>4350588.3530400265</v>
      </c>
      <c r="D29" s="61">
        <f t="shared" si="1"/>
        <v>0</v>
      </c>
      <c r="E29" s="61">
        <f t="shared" si="1"/>
        <v>4350588.3530400265</v>
      </c>
      <c r="F29" s="61">
        <f t="shared" si="1"/>
        <v>3230272.3808734193</v>
      </c>
      <c r="G29" s="61">
        <f t="shared" si="1"/>
        <v>7580860.7339134458</v>
      </c>
      <c r="H29" s="61">
        <f t="shared" si="1"/>
        <v>3492135.9671265553</v>
      </c>
      <c r="I29" s="61">
        <f t="shared" si="1"/>
        <v>11072996.70104</v>
      </c>
      <c r="J29" s="61">
        <f t="shared" si="1"/>
        <v>-15203.916388063459</v>
      </c>
      <c r="K29" s="61">
        <f t="shared" si="1"/>
        <v>11057792.784651939</v>
      </c>
      <c r="L29" s="61">
        <f t="shared" si="1"/>
        <v>-3527374.5424600439</v>
      </c>
      <c r="M29" s="61">
        <f t="shared" si="1"/>
        <v>7530418.242191894</v>
      </c>
      <c r="N29" s="61"/>
      <c r="O29" s="61"/>
      <c r="P29" s="109"/>
      <c r="Q29" s="109"/>
      <c r="R29" s="109"/>
    </row>
    <row r="30" spans="1:18" x14ac:dyDescent="0.25">
      <c r="A30" s="62"/>
      <c r="B30" s="62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09"/>
      <c r="Q30" s="109"/>
      <c r="R30" s="109"/>
    </row>
    <row r="31" spans="1:18" ht="15.75" thickBot="1" x14ac:dyDescent="0.3">
      <c r="A31" s="60" t="s">
        <v>58</v>
      </c>
      <c r="B31" s="60"/>
      <c r="C31" s="59">
        <f t="shared" ref="C31:M31" si="2">C16+C29</f>
        <v>4350588.3530400265</v>
      </c>
      <c r="D31" s="59">
        <f t="shared" si="2"/>
        <v>0</v>
      </c>
      <c r="E31" s="59">
        <f t="shared" si="2"/>
        <v>4350588.3530400265</v>
      </c>
      <c r="F31" s="59">
        <f t="shared" si="2"/>
        <v>3230272.3808734193</v>
      </c>
      <c r="G31" s="59">
        <f t="shared" si="2"/>
        <v>7580860.7339134458</v>
      </c>
      <c r="H31" s="59">
        <f t="shared" si="2"/>
        <v>3492135.9671265553</v>
      </c>
      <c r="I31" s="59">
        <f t="shared" si="2"/>
        <v>11072996.70104</v>
      </c>
      <c r="J31" s="59">
        <f t="shared" si="2"/>
        <v>-15203.916388063459</v>
      </c>
      <c r="K31" s="59">
        <f t="shared" si="2"/>
        <v>11057792.784651939</v>
      </c>
      <c r="L31" s="59">
        <f t="shared" si="2"/>
        <v>-3527374.5424600439</v>
      </c>
      <c r="M31" s="59">
        <f t="shared" si="2"/>
        <v>7530418.242191894</v>
      </c>
      <c r="N31" s="59"/>
      <c r="O31" s="59"/>
      <c r="P31" s="109"/>
      <c r="Q31" s="109"/>
      <c r="R31" s="109"/>
    </row>
    <row r="32" spans="1:18" ht="15.75" thickTop="1" x14ac:dyDescent="0.25">
      <c r="A32" s="58"/>
      <c r="B32" s="58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109"/>
      <c r="Q32" s="109"/>
      <c r="R32" s="109"/>
    </row>
    <row r="33" spans="1:18" x14ac:dyDescent="0.25">
      <c r="A33" s="56" t="s">
        <v>57</v>
      </c>
      <c r="B33" s="56"/>
      <c r="C33" s="55"/>
      <c r="D33" s="55"/>
      <c r="E33" s="55"/>
      <c r="F33" s="55"/>
      <c r="G33" s="55"/>
      <c r="H33" s="53"/>
      <c r="I33" s="109"/>
      <c r="J33" s="109"/>
      <c r="K33" s="109"/>
      <c r="L33" s="109"/>
      <c r="M33" s="109"/>
      <c r="N33" s="109"/>
      <c r="O33" s="109"/>
      <c r="P33" s="109"/>
      <c r="Q33" s="109"/>
      <c r="R33" s="109"/>
    </row>
    <row r="34" spans="1:18" x14ac:dyDescent="0.25">
      <c r="A34" s="52" t="s">
        <v>56</v>
      </c>
      <c r="B34" s="52"/>
      <c r="C34" s="54">
        <v>-5849175.2306000004</v>
      </c>
      <c r="D34" s="55">
        <v>0</v>
      </c>
      <c r="E34" s="54">
        <f>SUM(C34:D34)</f>
        <v>-5849175.2306000004</v>
      </c>
      <c r="F34" s="53">
        <f>-E34</f>
        <v>5849175.2306000004</v>
      </c>
      <c r="G34" s="54">
        <f>SUM(E34:F34)</f>
        <v>0</v>
      </c>
      <c r="H34" s="53"/>
      <c r="I34" s="54">
        <f>SUM(G34:H34)</f>
        <v>0</v>
      </c>
      <c r="J34" s="53"/>
      <c r="K34" s="54">
        <f>SUM(I34:J34)</f>
        <v>0</v>
      </c>
      <c r="L34" s="53"/>
      <c r="M34" s="54">
        <f>SUM(K34:L34)</f>
        <v>0</v>
      </c>
      <c r="N34" s="53"/>
      <c r="O34" s="54"/>
      <c r="P34" s="109"/>
      <c r="Q34" s="109"/>
      <c r="R34" s="109"/>
    </row>
    <row r="35" spans="1:18" x14ac:dyDescent="0.25">
      <c r="A35" s="52" t="s">
        <v>55</v>
      </c>
      <c r="B35" s="52"/>
      <c r="C35" s="47"/>
      <c r="D35" s="47"/>
      <c r="E35" s="47"/>
      <c r="F35" s="47"/>
      <c r="G35" s="47"/>
      <c r="H35" s="47"/>
      <c r="I35" s="47">
        <v>0</v>
      </c>
      <c r="J35" s="53">
        <f>+K35-I35</f>
        <v>1835691.2882025428</v>
      </c>
      <c r="K35" s="47">
        <v>1835691.2882025428</v>
      </c>
      <c r="L35" s="53">
        <f>+M35-K35</f>
        <v>0</v>
      </c>
      <c r="M35" s="47">
        <v>1835691.2882025428</v>
      </c>
      <c r="N35" s="53"/>
      <c r="O35" s="47"/>
      <c r="P35" s="109"/>
      <c r="Q35" s="109"/>
      <c r="R35" s="109"/>
    </row>
    <row r="36" spans="1:18" ht="15.75" thickBot="1" x14ac:dyDescent="0.3">
      <c r="A36" s="52" t="s">
        <v>54</v>
      </c>
      <c r="B36" s="52"/>
      <c r="C36" s="47"/>
      <c r="D36" s="47"/>
      <c r="E36" s="47"/>
      <c r="F36" s="47"/>
      <c r="G36" s="47"/>
      <c r="H36" s="47"/>
      <c r="I36" s="47">
        <v>0</v>
      </c>
      <c r="J36" s="53">
        <f>+K36-I36</f>
        <v>96302.483213976549</v>
      </c>
      <c r="K36" s="47">
        <v>96302.483213976549</v>
      </c>
      <c r="L36" s="53">
        <f>+M36-K36</f>
        <v>0</v>
      </c>
      <c r="M36" s="47">
        <v>96302.483213976549</v>
      </c>
      <c r="N36" s="53"/>
      <c r="O36" s="47"/>
      <c r="P36" s="109"/>
      <c r="Q36" s="109"/>
      <c r="R36" s="109"/>
    </row>
    <row r="37" spans="1:18" x14ac:dyDescent="0.25">
      <c r="A37" s="258" t="s">
        <v>53</v>
      </c>
      <c r="B37" s="251"/>
      <c r="C37" s="252"/>
      <c r="D37" s="252"/>
      <c r="E37" s="252"/>
      <c r="F37" s="252"/>
      <c r="G37" s="252"/>
      <c r="H37" s="252"/>
      <c r="I37" s="252"/>
      <c r="J37" s="252">
        <f>+K37-I37</f>
        <v>2629339.7782025742</v>
      </c>
      <c r="K37" s="252">
        <f>SUM('SEF-48 pg.5'!D63:D74)</f>
        <v>2629339.7782025742</v>
      </c>
      <c r="L37" s="252">
        <f>+M37-K37</f>
        <v>0</v>
      </c>
      <c r="M37" s="252">
        <f>SUM('SEF-48 pg.5'!D75:D86)</f>
        <v>2629339.7782025742</v>
      </c>
      <c r="N37" s="252"/>
      <c r="O37" s="253"/>
      <c r="P37" s="109"/>
      <c r="Q37" s="109"/>
      <c r="R37" s="109"/>
    </row>
    <row r="38" spans="1:18" ht="15.75" thickBot="1" x14ac:dyDescent="0.3">
      <c r="A38" s="259" t="s">
        <v>52</v>
      </c>
      <c r="B38" s="255"/>
      <c r="C38" s="256"/>
      <c r="D38" s="256"/>
      <c r="E38" s="256"/>
      <c r="F38" s="256"/>
      <c r="G38" s="256"/>
      <c r="H38" s="256"/>
      <c r="I38" s="256"/>
      <c r="J38" s="256">
        <f>+K38-I38</f>
        <v>106069.231128963</v>
      </c>
      <c r="K38" s="256">
        <f>SUM('SEF-48 pg.7'!D63:D74)</f>
        <v>106069.231128963</v>
      </c>
      <c r="L38" s="256">
        <f>+M38-K38</f>
        <v>0</v>
      </c>
      <c r="M38" s="256">
        <f>SUM('SEF-48 pg.7'!D75:D86)</f>
        <v>106069.231128963</v>
      </c>
      <c r="N38" s="256"/>
      <c r="O38" s="257"/>
      <c r="P38" s="109"/>
      <c r="Q38" s="109"/>
      <c r="R38" s="109"/>
    </row>
    <row r="39" spans="1:18" ht="15.75" thickBot="1" x14ac:dyDescent="0.3">
      <c r="A39" s="52" t="s">
        <v>51</v>
      </c>
      <c r="B39" s="52"/>
      <c r="C39" s="59">
        <f t="shared" ref="C39:M39" si="3">SUM(C34:C38)</f>
        <v>-5849175.2306000004</v>
      </c>
      <c r="D39" s="59">
        <f t="shared" si="3"/>
        <v>0</v>
      </c>
      <c r="E39" s="59">
        <f t="shared" si="3"/>
        <v>-5849175.2306000004</v>
      </c>
      <c r="F39" s="59">
        <f t="shared" si="3"/>
        <v>5849175.2306000004</v>
      </c>
      <c r="G39" s="59">
        <f t="shared" si="3"/>
        <v>0</v>
      </c>
      <c r="H39" s="59">
        <f t="shared" si="3"/>
        <v>0</v>
      </c>
      <c r="I39" s="59">
        <f t="shared" si="3"/>
        <v>0</v>
      </c>
      <c r="J39" s="59">
        <f t="shared" si="3"/>
        <v>4667402.7807480562</v>
      </c>
      <c r="K39" s="59">
        <f t="shared" si="3"/>
        <v>4667402.7807480562</v>
      </c>
      <c r="L39" s="59">
        <f t="shared" si="3"/>
        <v>0</v>
      </c>
      <c r="M39" s="59">
        <f t="shared" si="3"/>
        <v>4667402.7807480562</v>
      </c>
      <c r="N39" s="59"/>
      <c r="O39" s="59"/>
      <c r="P39" s="109"/>
      <c r="Q39" s="109"/>
      <c r="R39" s="109"/>
    </row>
    <row r="40" spans="1:18" ht="15.75" thickTop="1" x14ac:dyDescent="0.25">
      <c r="A40" s="51" t="s">
        <v>50</v>
      </c>
      <c r="B40" s="50"/>
      <c r="C40" s="49"/>
      <c r="D40" s="49"/>
      <c r="E40" s="49"/>
      <c r="F40" s="49"/>
      <c r="G40" s="49"/>
      <c r="H40" s="48"/>
      <c r="I40" s="49"/>
      <c r="J40" s="48"/>
      <c r="K40" s="49"/>
      <c r="L40" s="48"/>
      <c r="M40" s="49"/>
      <c r="N40" s="48"/>
      <c r="O40" s="49"/>
      <c r="P40" s="109"/>
      <c r="Q40" s="109"/>
      <c r="R40" s="109"/>
    </row>
    <row r="41" spans="1:18" x14ac:dyDescent="0.25">
      <c r="A41" s="43" t="s">
        <v>49</v>
      </c>
      <c r="B41" s="43"/>
      <c r="C41" s="47">
        <f t="shared" ref="C41:M41" si="4">C39</f>
        <v>-5849175.2306000004</v>
      </c>
      <c r="D41" s="47">
        <f t="shared" si="4"/>
        <v>0</v>
      </c>
      <c r="E41" s="47">
        <f t="shared" si="4"/>
        <v>-5849175.2306000004</v>
      </c>
      <c r="F41" s="47">
        <f t="shared" si="4"/>
        <v>5849175.2306000004</v>
      </c>
      <c r="G41" s="47">
        <f t="shared" si="4"/>
        <v>0</v>
      </c>
      <c r="H41" s="47">
        <f t="shared" si="4"/>
        <v>0</v>
      </c>
      <c r="I41" s="47">
        <f t="shared" si="4"/>
        <v>0</v>
      </c>
      <c r="J41" s="47">
        <f t="shared" si="4"/>
        <v>4667402.7807480562</v>
      </c>
      <c r="K41" s="47">
        <f t="shared" si="4"/>
        <v>4667402.7807480562</v>
      </c>
      <c r="L41" s="47">
        <f t="shared" si="4"/>
        <v>0</v>
      </c>
      <c r="M41" s="47">
        <f t="shared" si="4"/>
        <v>4667402.7807480562</v>
      </c>
      <c r="N41" s="47"/>
      <c r="O41" s="47"/>
      <c r="P41" s="109"/>
      <c r="Q41" s="109"/>
      <c r="R41" s="109"/>
    </row>
    <row r="42" spans="1:18" x14ac:dyDescent="0.25">
      <c r="A42" s="43"/>
      <c r="B42" s="43"/>
      <c r="C42" s="47"/>
      <c r="D42" s="47"/>
      <c r="E42" s="47"/>
      <c r="F42" s="49"/>
      <c r="G42" s="47"/>
      <c r="H42" s="48"/>
      <c r="I42" s="47"/>
      <c r="J42" s="48"/>
      <c r="K42" s="47"/>
      <c r="L42" s="48"/>
      <c r="M42" s="47"/>
      <c r="N42" s="48"/>
      <c r="O42" s="47"/>
      <c r="P42" s="109"/>
      <c r="Q42" s="109"/>
      <c r="R42" s="109"/>
    </row>
    <row r="43" spans="1:18" x14ac:dyDescent="0.25">
      <c r="A43" s="43" t="s">
        <v>48</v>
      </c>
      <c r="B43" s="46">
        <v>0.21</v>
      </c>
      <c r="C43" s="45">
        <f>-C41*$B$43</f>
        <v>1228326.7984259999</v>
      </c>
      <c r="D43" s="45">
        <f>-D41*$B$43</f>
        <v>0</v>
      </c>
      <c r="E43" s="45">
        <f>SUM(C43:D43)</f>
        <v>1228326.7984259999</v>
      </c>
      <c r="F43" s="45">
        <f>-F41*$B$43</f>
        <v>-1228326.7984259999</v>
      </c>
      <c r="G43" s="45">
        <f>SUM(E43:F43)</f>
        <v>0</v>
      </c>
      <c r="H43" s="45">
        <f>-H41*$B$43</f>
        <v>0</v>
      </c>
      <c r="I43" s="45">
        <f>SUM(G43:H43)</f>
        <v>0</v>
      </c>
      <c r="J43" s="45">
        <f>-J41*$B$43</f>
        <v>-980154.58395709179</v>
      </c>
      <c r="K43" s="45">
        <f>SUM(I43:J43)</f>
        <v>-980154.58395709179</v>
      </c>
      <c r="L43" s="45">
        <f>-L41*$B$43</f>
        <v>0</v>
      </c>
      <c r="M43" s="45">
        <f>SUM(K43:L43)</f>
        <v>-980154.58395709179</v>
      </c>
      <c r="N43" s="45"/>
      <c r="O43" s="45"/>
      <c r="P43" s="109"/>
      <c r="Q43" s="109"/>
      <c r="R43" s="109"/>
    </row>
    <row r="44" spans="1:18" ht="15.75" thickBot="1" x14ac:dyDescent="0.3">
      <c r="A44" s="43" t="s">
        <v>47</v>
      </c>
      <c r="B44" s="43"/>
      <c r="C44" s="42">
        <f t="shared" ref="C44:M44" si="5">-C41-C43</f>
        <v>4620848.4321740009</v>
      </c>
      <c r="D44" s="42">
        <f t="shared" si="5"/>
        <v>0</v>
      </c>
      <c r="E44" s="42">
        <f t="shared" si="5"/>
        <v>4620848.4321740009</v>
      </c>
      <c r="F44" s="42">
        <f t="shared" si="5"/>
        <v>-4620848.4321740009</v>
      </c>
      <c r="G44" s="42">
        <f t="shared" si="5"/>
        <v>0</v>
      </c>
      <c r="H44" s="42">
        <f t="shared" si="5"/>
        <v>0</v>
      </c>
      <c r="I44" s="42">
        <f t="shared" si="5"/>
        <v>0</v>
      </c>
      <c r="J44" s="42">
        <f t="shared" si="5"/>
        <v>-3687248.1967909643</v>
      </c>
      <c r="K44" s="42">
        <f t="shared" si="5"/>
        <v>-3687248.1967909643</v>
      </c>
      <c r="L44" s="42">
        <f t="shared" si="5"/>
        <v>0</v>
      </c>
      <c r="M44" s="42">
        <f t="shared" si="5"/>
        <v>-3687248.1967909643</v>
      </c>
      <c r="N44" s="42"/>
      <c r="O44" s="42"/>
      <c r="P44" s="109"/>
      <c r="Q44" s="109"/>
      <c r="R44" s="109"/>
    </row>
    <row r="45" spans="1:18" ht="15.75" thickTop="1" x14ac:dyDescent="0.25">
      <c r="A45" s="109"/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09"/>
    </row>
    <row r="46" spans="1:18" x14ac:dyDescent="0.2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1:18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  <row r="48" spans="1:18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</row>
    <row r="49" spans="1:18" x14ac:dyDescent="0.2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</row>
    <row r="50" spans="1:18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</row>
    <row r="51" spans="1:18" x14ac:dyDescent="0.2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</row>
    <row r="52" spans="1:18" x14ac:dyDescent="0.2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</row>
    <row r="53" spans="1:18" x14ac:dyDescent="0.2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</row>
    <row r="54" spans="1:18" x14ac:dyDescent="0.2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</row>
    <row r="55" spans="1:18" x14ac:dyDescent="0.2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</row>
    <row r="56" spans="1:18" x14ac:dyDescent="0.2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</row>
    <row r="57" spans="1:18" x14ac:dyDescent="0.2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</row>
    <row r="58" spans="1:18" x14ac:dyDescent="0.2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</row>
    <row r="59" spans="1:18" x14ac:dyDescent="0.2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</row>
    <row r="60" spans="1:18" x14ac:dyDescent="0.2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</row>
    <row r="61" spans="1:18" x14ac:dyDescent="0.2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</row>
    <row r="62" spans="1:18" x14ac:dyDescent="0.25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</row>
    <row r="63" spans="1:18" x14ac:dyDescent="0.25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</row>
    <row r="64" spans="1:18" x14ac:dyDescent="0.25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</row>
    <row r="65" spans="1:18" x14ac:dyDescent="0.25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</row>
    <row r="66" spans="1:18" x14ac:dyDescent="0.25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</row>
    <row r="67" spans="1:18" x14ac:dyDescent="0.25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</row>
    <row r="68" spans="1:18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</row>
    <row r="69" spans="1:18" x14ac:dyDescent="0.25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</row>
    <row r="70" spans="1:18" x14ac:dyDescent="0.25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</row>
    <row r="71" spans="1:18" x14ac:dyDescent="0.25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</row>
    <row r="72" spans="1:18" x14ac:dyDescent="0.25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</row>
    <row r="73" spans="1:18" x14ac:dyDescent="0.25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</row>
    <row r="74" spans="1:18" x14ac:dyDescent="0.25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</row>
    <row r="75" spans="1:18" x14ac:dyDescent="0.25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</row>
    <row r="76" spans="1:18" x14ac:dyDescent="0.25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zoomScale="85" zoomScaleNormal="85" workbookViewId="0">
      <pane xSplit="1" ySplit="10" topLeftCell="B53" activePane="bottomRight" state="frozen"/>
      <selection activeCell="E80" sqref="E80"/>
      <selection pane="topRight" activeCell="E80" sqref="E80"/>
      <selection pane="bottomLeft" activeCell="E80" sqref="E80"/>
      <selection pane="bottomRight" activeCell="D1" sqref="D1"/>
    </sheetView>
  </sheetViews>
  <sheetFormatPr defaultRowHeight="15" outlineLevelRow="1" x14ac:dyDescent="0.25"/>
  <cols>
    <col min="1" max="1" width="17.7109375" customWidth="1"/>
    <col min="2" max="2" width="14.42578125" customWidth="1"/>
    <col min="3" max="3" width="15.7109375" customWidth="1"/>
    <col min="4" max="4" width="14.140625" customWidth="1"/>
    <col min="5" max="5" width="13.85546875" customWidth="1"/>
    <col min="6" max="6" width="14.85546875" customWidth="1"/>
    <col min="7" max="7" width="13.85546875" customWidth="1"/>
    <col min="8" max="8" width="13" customWidth="1"/>
    <col min="9" max="9" width="14" bestFit="1" customWidth="1"/>
    <col min="10" max="10" width="13.28515625" customWidth="1"/>
    <col min="11" max="11" width="14.140625" customWidth="1"/>
    <col min="12" max="12" width="12.85546875" customWidth="1"/>
    <col min="13" max="13" width="14" customWidth="1"/>
    <col min="14" max="14" width="14.28515625" customWidth="1"/>
    <col min="15" max="15" width="12.7109375" customWidth="1"/>
    <col min="16" max="16" width="14" customWidth="1"/>
    <col min="17" max="17" width="11.140625" bestFit="1" customWidth="1"/>
    <col min="18" max="18" width="12.42578125" bestFit="1" customWidth="1"/>
  </cols>
  <sheetData>
    <row r="1" spans="1:18" x14ac:dyDescent="0.25">
      <c r="A1" s="168" t="s">
        <v>135</v>
      </c>
      <c r="B1" s="173"/>
      <c r="C1" s="173"/>
      <c r="D1" s="261" t="s">
        <v>175</v>
      </c>
      <c r="E1" s="173"/>
      <c r="F1" s="173"/>
      <c r="G1" s="173"/>
      <c r="H1" s="173"/>
      <c r="I1" s="173"/>
      <c r="J1" s="173"/>
      <c r="K1" s="173"/>
      <c r="L1" s="173"/>
      <c r="M1" s="173"/>
    </row>
    <row r="2" spans="1:18" x14ac:dyDescent="0.25">
      <c r="A2" s="232" t="s">
        <v>171</v>
      </c>
      <c r="B2" s="173"/>
      <c r="C2" s="173"/>
      <c r="D2" s="262" t="s">
        <v>176</v>
      </c>
      <c r="E2" s="173"/>
      <c r="F2" s="173"/>
      <c r="G2" s="173"/>
      <c r="H2" s="173"/>
      <c r="I2" s="173"/>
      <c r="J2" s="173"/>
      <c r="K2" s="173"/>
      <c r="L2" s="173"/>
      <c r="M2" s="173"/>
    </row>
    <row r="3" spans="1:18" x14ac:dyDescent="0.25">
      <c r="A3" s="232" t="s">
        <v>170</v>
      </c>
      <c r="B3" s="173"/>
      <c r="C3" s="173"/>
      <c r="D3" s="263" t="s">
        <v>177</v>
      </c>
      <c r="E3" s="173"/>
      <c r="F3" s="173"/>
      <c r="G3" s="173"/>
      <c r="H3" s="173"/>
      <c r="I3" s="173"/>
      <c r="J3" s="173"/>
      <c r="K3" s="173"/>
      <c r="L3" s="173"/>
      <c r="M3" s="173"/>
    </row>
    <row r="4" spans="1:18" x14ac:dyDescent="0.25">
      <c r="C4" s="172"/>
      <c r="D4" s="262" t="s">
        <v>178</v>
      </c>
    </row>
    <row r="5" spans="1:18" x14ac:dyDescent="0.25">
      <c r="B5" s="171">
        <f>+C62+'SEF-48 pg.5'!C62</f>
        <v>21667552.653072365</v>
      </c>
      <c r="C5" s="170"/>
      <c r="D5" s="262" t="s">
        <v>179</v>
      </c>
    </row>
    <row r="6" spans="1:18" ht="15.75" thickBot="1" x14ac:dyDescent="0.3">
      <c r="A6" s="168"/>
      <c r="B6" s="169">
        <v>40740602</v>
      </c>
      <c r="C6" s="169">
        <v>18603053</v>
      </c>
      <c r="D6" s="264" t="s">
        <v>180</v>
      </c>
    </row>
    <row r="7" spans="1:18" ht="15.75" thickBot="1" x14ac:dyDescent="0.3">
      <c r="A7" s="168"/>
      <c r="B7" s="167" t="s">
        <v>134</v>
      </c>
      <c r="C7" s="166"/>
      <c r="D7" s="165"/>
      <c r="E7" s="165"/>
      <c r="F7" s="165"/>
      <c r="G7" s="164"/>
      <c r="H7" s="163"/>
      <c r="I7" s="162" t="s">
        <v>133</v>
      </c>
      <c r="J7" s="161"/>
      <c r="K7" s="161"/>
      <c r="L7" s="160"/>
      <c r="M7" s="159"/>
    </row>
    <row r="8" spans="1:18" x14ac:dyDescent="0.25">
      <c r="A8" s="158" t="s">
        <v>132</v>
      </c>
      <c r="B8" s="157" t="s">
        <v>131</v>
      </c>
      <c r="C8" s="157" t="s">
        <v>130</v>
      </c>
      <c r="D8" s="156" t="s">
        <v>129</v>
      </c>
      <c r="E8" s="156" t="s">
        <v>127</v>
      </c>
      <c r="F8" s="156" t="s">
        <v>128</v>
      </c>
      <c r="G8" s="156" t="s">
        <v>127</v>
      </c>
      <c r="H8" s="156" t="s">
        <v>126</v>
      </c>
      <c r="I8" s="155" t="s">
        <v>125</v>
      </c>
      <c r="J8" s="154" t="s">
        <v>124</v>
      </c>
      <c r="K8" s="154" t="s">
        <v>99</v>
      </c>
      <c r="L8" s="154" t="s">
        <v>99</v>
      </c>
      <c r="M8" s="154" t="s">
        <v>123</v>
      </c>
    </row>
    <row r="9" spans="1:18" x14ac:dyDescent="0.25">
      <c r="A9" s="153"/>
      <c r="B9" s="152" t="s">
        <v>122</v>
      </c>
      <c r="C9" s="152"/>
      <c r="D9" s="150" t="s">
        <v>120</v>
      </c>
      <c r="E9" s="150" t="s">
        <v>120</v>
      </c>
      <c r="F9" s="151">
        <v>0.21</v>
      </c>
      <c r="G9" s="150" t="s">
        <v>121</v>
      </c>
      <c r="H9" s="150" t="s">
        <v>117</v>
      </c>
      <c r="I9" s="149" t="s">
        <v>117</v>
      </c>
      <c r="J9" s="148" t="s">
        <v>120</v>
      </c>
      <c r="K9" s="148" t="s">
        <v>119</v>
      </c>
      <c r="L9" s="148" t="s">
        <v>118</v>
      </c>
      <c r="M9" s="148" t="s">
        <v>117</v>
      </c>
    </row>
    <row r="10" spans="1:18" ht="15.75" thickBot="1" x14ac:dyDescent="0.3">
      <c r="A10" s="142"/>
      <c r="B10" s="145" t="s">
        <v>116</v>
      </c>
      <c r="C10" s="147" t="s">
        <v>115</v>
      </c>
      <c r="D10" s="145" t="s">
        <v>114</v>
      </c>
      <c r="E10" s="145" t="s">
        <v>113</v>
      </c>
      <c r="F10" s="146" t="s">
        <v>112</v>
      </c>
      <c r="G10" s="145" t="s">
        <v>111</v>
      </c>
      <c r="H10" s="144" t="s">
        <v>110</v>
      </c>
      <c r="I10" s="143" t="s">
        <v>109</v>
      </c>
      <c r="J10" s="142" t="s">
        <v>108</v>
      </c>
      <c r="K10" s="142" t="s">
        <v>107</v>
      </c>
      <c r="L10" s="142" t="s">
        <v>106</v>
      </c>
      <c r="M10" s="142" t="s">
        <v>105</v>
      </c>
      <c r="N10" s="141"/>
      <c r="O10" s="141"/>
      <c r="P10" s="141"/>
      <c r="Q10" s="141"/>
      <c r="R10" s="141"/>
    </row>
    <row r="11" spans="1:18" s="109" customFormat="1" hidden="1" outlineLevel="1" x14ac:dyDescent="0.25">
      <c r="A11" s="131">
        <v>43373</v>
      </c>
      <c r="B11" s="140"/>
      <c r="C11" s="139"/>
      <c r="D11" s="138"/>
      <c r="E11" s="137"/>
      <c r="F11" s="137"/>
      <c r="G11" s="137"/>
      <c r="H11" s="136">
        <f>C11+E11+G11</f>
        <v>0</v>
      </c>
      <c r="I11" s="135"/>
      <c r="J11" s="134"/>
      <c r="K11" s="134"/>
      <c r="L11" s="134"/>
      <c r="M11" s="134"/>
      <c r="N11" s="130"/>
      <c r="O11" s="130"/>
      <c r="P11" s="130"/>
      <c r="Q11" s="130"/>
      <c r="R11" s="130"/>
    </row>
    <row r="12" spans="1:18" s="109" customFormat="1" hidden="1" outlineLevel="1" x14ac:dyDescent="0.25">
      <c r="A12" s="131">
        <v>43404</v>
      </c>
      <c r="B12" s="140"/>
      <c r="C12" s="139"/>
      <c r="D12" s="138"/>
      <c r="E12" s="137"/>
      <c r="F12" s="137"/>
      <c r="G12" s="137"/>
      <c r="H12" s="136"/>
      <c r="I12" s="135"/>
      <c r="J12" s="134"/>
      <c r="K12" s="134"/>
      <c r="L12" s="134"/>
      <c r="M12" s="134"/>
      <c r="N12" s="130"/>
      <c r="O12" s="130"/>
      <c r="P12" s="130"/>
      <c r="Q12" s="130"/>
      <c r="R12" s="130"/>
    </row>
    <row r="13" spans="1:18" s="109" customFormat="1" hidden="1" outlineLevel="1" x14ac:dyDescent="0.25">
      <c r="A13" s="131">
        <v>43434</v>
      </c>
      <c r="B13" s="140"/>
      <c r="C13" s="139"/>
      <c r="D13" s="138"/>
      <c r="E13" s="137"/>
      <c r="F13" s="137"/>
      <c r="G13" s="137"/>
      <c r="H13" s="136"/>
      <c r="I13" s="135"/>
      <c r="J13" s="134"/>
      <c r="K13" s="134"/>
      <c r="L13" s="134"/>
      <c r="M13" s="134"/>
      <c r="N13" s="130"/>
      <c r="O13" s="130"/>
      <c r="P13" s="130"/>
      <c r="Q13" s="130"/>
      <c r="R13" s="130"/>
    </row>
    <row r="14" spans="1:18" s="109" customFormat="1" hidden="1" outlineLevel="1" x14ac:dyDescent="0.25">
      <c r="A14" s="131">
        <v>43465</v>
      </c>
      <c r="B14" s="140"/>
      <c r="C14" s="139"/>
      <c r="D14" s="138"/>
      <c r="E14" s="137"/>
      <c r="F14" s="137"/>
      <c r="G14" s="137"/>
      <c r="H14" s="136"/>
      <c r="I14" s="135"/>
      <c r="J14" s="134"/>
      <c r="K14" s="134"/>
      <c r="L14" s="134"/>
      <c r="M14" s="134"/>
      <c r="N14" s="130"/>
      <c r="O14" s="130"/>
      <c r="P14" s="130"/>
      <c r="Q14" s="130"/>
      <c r="R14" s="130"/>
    </row>
    <row r="15" spans="1:18" s="109" customFormat="1" hidden="1" outlineLevel="1" x14ac:dyDescent="0.25">
      <c r="A15" s="131">
        <v>43496</v>
      </c>
      <c r="B15" s="140"/>
      <c r="C15" s="139"/>
      <c r="D15" s="138"/>
      <c r="E15" s="137"/>
      <c r="F15" s="137"/>
      <c r="G15" s="137"/>
      <c r="H15" s="136"/>
      <c r="I15" s="135"/>
      <c r="J15" s="134"/>
      <c r="K15" s="134"/>
      <c r="L15" s="134"/>
      <c r="M15" s="134"/>
      <c r="N15" s="130"/>
      <c r="O15" s="130"/>
      <c r="P15" s="130"/>
      <c r="Q15" s="130"/>
      <c r="R15" s="130"/>
    </row>
    <row r="16" spans="1:18" s="109" customFormat="1" hidden="1" outlineLevel="1" x14ac:dyDescent="0.25">
      <c r="A16" s="131">
        <v>43524</v>
      </c>
      <c r="B16" s="140"/>
      <c r="C16" s="139"/>
      <c r="D16" s="138"/>
      <c r="E16" s="137"/>
      <c r="F16" s="137"/>
      <c r="G16" s="137"/>
      <c r="H16" s="136"/>
      <c r="I16" s="135"/>
      <c r="J16" s="134"/>
      <c r="K16" s="134"/>
      <c r="L16" s="134"/>
      <c r="M16" s="134"/>
      <c r="N16" s="130"/>
      <c r="O16" s="130"/>
      <c r="P16" s="130"/>
      <c r="Q16" s="130"/>
      <c r="R16" s="130"/>
    </row>
    <row r="17" spans="1:18" s="109" customFormat="1" hidden="1" outlineLevel="1" x14ac:dyDescent="0.25">
      <c r="A17" s="131">
        <v>43555</v>
      </c>
      <c r="B17" s="140"/>
      <c r="C17" s="139"/>
      <c r="D17" s="138"/>
      <c r="E17" s="137"/>
      <c r="F17" s="137"/>
      <c r="G17" s="137"/>
      <c r="H17" s="136"/>
      <c r="I17" s="135"/>
      <c r="J17" s="134"/>
      <c r="K17" s="134"/>
      <c r="L17" s="134"/>
      <c r="M17" s="134"/>
      <c r="N17" s="130"/>
      <c r="O17" s="130"/>
      <c r="P17" s="130"/>
      <c r="Q17" s="130"/>
      <c r="R17" s="130"/>
    </row>
    <row r="18" spans="1:18" s="109" customFormat="1" hidden="1" outlineLevel="1" x14ac:dyDescent="0.25">
      <c r="A18" s="131">
        <v>43585</v>
      </c>
      <c r="B18" s="140"/>
      <c r="C18" s="139"/>
      <c r="D18" s="138"/>
      <c r="E18" s="137"/>
      <c r="F18" s="137"/>
      <c r="G18" s="137"/>
      <c r="H18" s="136"/>
      <c r="I18" s="135"/>
      <c r="J18" s="134"/>
      <c r="K18" s="134"/>
      <c r="L18" s="134"/>
      <c r="M18" s="134"/>
      <c r="N18" s="130"/>
      <c r="O18" s="130"/>
      <c r="P18" s="130"/>
      <c r="Q18" s="130"/>
      <c r="R18" s="130"/>
    </row>
    <row r="19" spans="1:18" s="109" customFormat="1" hidden="1" outlineLevel="1" x14ac:dyDescent="0.25">
      <c r="A19" s="131">
        <v>43616</v>
      </c>
      <c r="B19" s="140"/>
      <c r="C19" s="139"/>
      <c r="D19" s="138"/>
      <c r="E19" s="137"/>
      <c r="F19" s="137"/>
      <c r="G19" s="137"/>
      <c r="H19" s="136"/>
      <c r="I19" s="135"/>
      <c r="J19" s="134"/>
      <c r="K19" s="134"/>
      <c r="L19" s="134"/>
      <c r="M19" s="134"/>
      <c r="N19" s="130"/>
      <c r="O19" s="130"/>
      <c r="P19" s="130"/>
      <c r="Q19" s="130"/>
      <c r="R19" s="130"/>
    </row>
    <row r="20" spans="1:18" s="109" customFormat="1" hidden="1" outlineLevel="1" x14ac:dyDescent="0.25">
      <c r="A20" s="131">
        <v>43646</v>
      </c>
      <c r="B20" s="140"/>
      <c r="C20" s="139"/>
      <c r="D20" s="138"/>
      <c r="E20" s="137"/>
      <c r="F20" s="137"/>
      <c r="G20" s="137"/>
      <c r="H20" s="136"/>
      <c r="I20" s="135"/>
      <c r="J20" s="134"/>
      <c r="K20" s="134"/>
      <c r="L20" s="134"/>
      <c r="M20" s="134"/>
      <c r="N20" s="130"/>
      <c r="O20" s="130"/>
      <c r="P20" s="130"/>
      <c r="Q20" s="130"/>
      <c r="R20" s="130"/>
    </row>
    <row r="21" spans="1:18" s="109" customFormat="1" hidden="1" outlineLevel="1" x14ac:dyDescent="0.25">
      <c r="A21" s="131">
        <v>43677</v>
      </c>
      <c r="B21" s="140"/>
      <c r="C21" s="139"/>
      <c r="D21" s="138"/>
      <c r="E21" s="137"/>
      <c r="F21" s="137"/>
      <c r="G21" s="137"/>
      <c r="H21" s="136"/>
      <c r="I21" s="135"/>
      <c r="J21" s="134"/>
      <c r="K21" s="134"/>
      <c r="L21" s="134"/>
      <c r="M21" s="134"/>
      <c r="N21" s="130"/>
      <c r="O21" s="130"/>
      <c r="P21" s="130"/>
      <c r="Q21" s="130"/>
      <c r="R21" s="130"/>
    </row>
    <row r="22" spans="1:18" s="109" customFormat="1" hidden="1" outlineLevel="1" x14ac:dyDescent="0.25">
      <c r="A22" s="131">
        <v>43708</v>
      </c>
      <c r="B22" s="140"/>
      <c r="C22" s="139"/>
      <c r="D22" s="138"/>
      <c r="E22" s="137"/>
      <c r="F22" s="137"/>
      <c r="G22" s="137"/>
      <c r="H22" s="136"/>
      <c r="I22" s="135"/>
      <c r="J22" s="134"/>
      <c r="K22" s="134"/>
      <c r="L22" s="134"/>
      <c r="M22" s="134"/>
      <c r="N22" s="130"/>
      <c r="O22" s="130"/>
      <c r="P22" s="130"/>
      <c r="Q22" s="130"/>
      <c r="R22" s="130"/>
    </row>
    <row r="23" spans="1:18" s="109" customFormat="1" hidden="1" outlineLevel="1" x14ac:dyDescent="0.25">
      <c r="A23" s="131">
        <v>43738</v>
      </c>
      <c r="B23" s="140"/>
      <c r="C23" s="139"/>
      <c r="D23" s="138"/>
      <c r="E23" s="137"/>
      <c r="F23" s="137"/>
      <c r="G23" s="137"/>
      <c r="H23" s="136"/>
      <c r="I23" s="135">
        <f t="shared" ref="I23:I54" si="0">(C11+C23+SUM(C12:C22)*2)/24</f>
        <v>0</v>
      </c>
      <c r="J23" s="134">
        <f t="shared" ref="J23:J54" si="1">(E11+E23+SUM(E12:E22)*2)/24</f>
        <v>0</v>
      </c>
      <c r="K23" s="134">
        <f t="shared" ref="K23:K54" si="2">I23+J23</f>
        <v>0</v>
      </c>
      <c r="L23" s="134">
        <f t="shared" ref="L23:L54" si="3">(G11+G23+SUM(G12:G22)*2)/24</f>
        <v>0</v>
      </c>
      <c r="M23" s="134">
        <f t="shared" ref="M23:M54" si="4">K23+L23</f>
        <v>0</v>
      </c>
      <c r="N23" s="130"/>
      <c r="O23" s="130"/>
      <c r="P23" s="130"/>
      <c r="Q23" s="130"/>
      <c r="R23" s="130"/>
    </row>
    <row r="24" spans="1:18" s="109" customFormat="1" hidden="1" outlineLevel="1" x14ac:dyDescent="0.25">
      <c r="A24" s="131">
        <v>43769</v>
      </c>
      <c r="B24" s="140"/>
      <c r="C24" s="139"/>
      <c r="D24" s="138"/>
      <c r="E24" s="137"/>
      <c r="F24" s="137"/>
      <c r="G24" s="137"/>
      <c r="H24" s="136"/>
      <c r="I24" s="135">
        <f t="shared" si="0"/>
        <v>0</v>
      </c>
      <c r="J24" s="134">
        <f t="shared" si="1"/>
        <v>0</v>
      </c>
      <c r="K24" s="134">
        <f t="shared" si="2"/>
        <v>0</v>
      </c>
      <c r="L24" s="134">
        <f t="shared" si="3"/>
        <v>0</v>
      </c>
      <c r="M24" s="134">
        <f t="shared" si="4"/>
        <v>0</v>
      </c>
      <c r="N24" s="130"/>
      <c r="O24" s="130"/>
      <c r="P24" s="130"/>
      <c r="Q24" s="130"/>
      <c r="R24" s="130"/>
    </row>
    <row r="25" spans="1:18" s="109" customFormat="1" hidden="1" outlineLevel="1" x14ac:dyDescent="0.25">
      <c r="A25" s="131">
        <v>43799</v>
      </c>
      <c r="B25" s="140"/>
      <c r="C25" s="139"/>
      <c r="D25" s="138"/>
      <c r="E25" s="137"/>
      <c r="F25" s="137"/>
      <c r="G25" s="137"/>
      <c r="H25" s="136"/>
      <c r="I25" s="135">
        <f t="shared" si="0"/>
        <v>0</v>
      </c>
      <c r="J25" s="134">
        <f t="shared" si="1"/>
        <v>0</v>
      </c>
      <c r="K25" s="134">
        <f t="shared" si="2"/>
        <v>0</v>
      </c>
      <c r="L25" s="134">
        <f t="shared" si="3"/>
        <v>0</v>
      </c>
      <c r="M25" s="134">
        <f t="shared" si="4"/>
        <v>0</v>
      </c>
      <c r="N25" s="130"/>
      <c r="O25" s="130"/>
      <c r="P25" s="130"/>
      <c r="Q25" s="130"/>
      <c r="R25" s="130"/>
    </row>
    <row r="26" spans="1:18" s="109" customFormat="1" collapsed="1" x14ac:dyDescent="0.25">
      <c r="A26" s="131">
        <v>43830</v>
      </c>
      <c r="B26" s="140"/>
      <c r="C26" s="139"/>
      <c r="D26" s="138"/>
      <c r="E26" s="137"/>
      <c r="F26" s="137"/>
      <c r="G26" s="137"/>
      <c r="H26" s="136"/>
      <c r="I26" s="135">
        <f t="shared" si="0"/>
        <v>0</v>
      </c>
      <c r="J26" s="134">
        <f t="shared" si="1"/>
        <v>0</v>
      </c>
      <c r="K26" s="134">
        <f t="shared" si="2"/>
        <v>0</v>
      </c>
      <c r="L26" s="134">
        <f t="shared" si="3"/>
        <v>0</v>
      </c>
      <c r="M26" s="134">
        <f t="shared" si="4"/>
        <v>0</v>
      </c>
      <c r="N26" s="130"/>
      <c r="O26" s="130"/>
      <c r="P26" s="130"/>
      <c r="Q26" s="130"/>
      <c r="R26" s="130"/>
    </row>
    <row r="27" spans="1:18" s="109" customFormat="1" x14ac:dyDescent="0.25">
      <c r="A27" s="131">
        <v>43861</v>
      </c>
      <c r="B27" s="122">
        <v>1868.2671326685779</v>
      </c>
      <c r="C27" s="124">
        <f>B27</f>
        <v>1868.2671326685779</v>
      </c>
      <c r="D27" s="132"/>
      <c r="E27" s="122"/>
      <c r="F27" s="122">
        <f t="shared" ref="F27:F58" si="5">-(B27*$F$9)+(D27*$F$9)</f>
        <v>-392.33609786040137</v>
      </c>
      <c r="G27" s="122">
        <f t="shared" ref="G27:G36" si="6">F27</f>
        <v>-392.33609786040137</v>
      </c>
      <c r="H27" s="121">
        <f t="shared" ref="H27:H58" si="7">C27+E27+G27</f>
        <v>1475.9310348081765</v>
      </c>
      <c r="I27" s="120">
        <f t="shared" si="0"/>
        <v>77.844463861190746</v>
      </c>
      <c r="J27" s="119">
        <f t="shared" si="1"/>
        <v>0</v>
      </c>
      <c r="K27" s="119">
        <f t="shared" si="2"/>
        <v>77.844463861190746</v>
      </c>
      <c r="L27" s="119">
        <f t="shared" si="3"/>
        <v>-16.347337410850056</v>
      </c>
      <c r="M27" s="119">
        <f t="shared" si="4"/>
        <v>61.497126450340687</v>
      </c>
      <c r="N27" s="130"/>
      <c r="O27" s="133"/>
      <c r="P27" s="130"/>
      <c r="Q27" s="130"/>
      <c r="R27" s="130"/>
    </row>
    <row r="28" spans="1:18" s="109" customFormat="1" x14ac:dyDescent="0.25">
      <c r="A28" s="131">
        <v>43890</v>
      </c>
      <c r="B28" s="122">
        <v>3737.4791999999998</v>
      </c>
      <c r="C28" s="124">
        <f t="shared" ref="C28:C59" si="8">+B28+C27</f>
        <v>5605.7463326685775</v>
      </c>
      <c r="D28" s="132"/>
      <c r="E28" s="122"/>
      <c r="F28" s="122">
        <f t="shared" si="5"/>
        <v>-784.87063199999989</v>
      </c>
      <c r="G28" s="122">
        <f t="shared" si="6"/>
        <v>-784.87063199999989</v>
      </c>
      <c r="H28" s="121">
        <f t="shared" si="7"/>
        <v>4820.8757006685773</v>
      </c>
      <c r="I28" s="120">
        <f t="shared" si="0"/>
        <v>389.2616915835722</v>
      </c>
      <c r="J28" s="119">
        <f t="shared" si="1"/>
        <v>0</v>
      </c>
      <c r="K28" s="119">
        <f t="shared" si="2"/>
        <v>389.2616915835722</v>
      </c>
      <c r="L28" s="119">
        <f t="shared" si="3"/>
        <v>-65.397617821700109</v>
      </c>
      <c r="M28" s="119">
        <f t="shared" si="4"/>
        <v>323.86407376187208</v>
      </c>
      <c r="N28" s="130"/>
      <c r="O28" s="130"/>
      <c r="P28" s="130"/>
      <c r="Q28" s="130"/>
      <c r="R28" s="130"/>
    </row>
    <row r="29" spans="1:18" s="109" customFormat="1" x14ac:dyDescent="0.25">
      <c r="A29" s="131">
        <v>43921</v>
      </c>
      <c r="B29" s="122">
        <v>28914.478992</v>
      </c>
      <c r="C29" s="124">
        <f t="shared" si="8"/>
        <v>34520.22532466858</v>
      </c>
      <c r="D29" s="132"/>
      <c r="E29" s="122"/>
      <c r="F29" s="122">
        <f t="shared" si="5"/>
        <v>-6072.0405883200001</v>
      </c>
      <c r="G29" s="122">
        <f t="shared" si="6"/>
        <v>-6072.0405883200001</v>
      </c>
      <c r="H29" s="121">
        <f t="shared" si="7"/>
        <v>28448.184736348579</v>
      </c>
      <c r="I29" s="120">
        <f t="shared" si="0"/>
        <v>2061.1771773059536</v>
      </c>
      <c r="J29" s="119">
        <f t="shared" si="1"/>
        <v>0</v>
      </c>
      <c r="K29" s="119">
        <f t="shared" si="2"/>
        <v>2061.1771773059536</v>
      </c>
      <c r="L29" s="119">
        <f t="shared" si="3"/>
        <v>-351.10225200170015</v>
      </c>
      <c r="M29" s="119">
        <f t="shared" si="4"/>
        <v>1710.0749253042534</v>
      </c>
      <c r="N29" s="130"/>
      <c r="O29" s="130"/>
      <c r="P29" s="130"/>
      <c r="Q29" s="130"/>
      <c r="R29" s="130"/>
    </row>
    <row r="30" spans="1:18" s="109" customFormat="1" x14ac:dyDescent="0.25">
      <c r="A30" s="131">
        <v>43951</v>
      </c>
      <c r="B30" s="122">
        <v>56094.135929999997</v>
      </c>
      <c r="C30" s="124">
        <f t="shared" si="8"/>
        <v>90614.361254668576</v>
      </c>
      <c r="D30" s="132"/>
      <c r="E30" s="122"/>
      <c r="F30" s="122">
        <f t="shared" si="5"/>
        <v>-11779.768545299999</v>
      </c>
      <c r="G30" s="122">
        <f t="shared" si="6"/>
        <v>-11779.768545299999</v>
      </c>
      <c r="H30" s="121">
        <f t="shared" si="7"/>
        <v>78834.592709368575</v>
      </c>
      <c r="I30" s="120">
        <f t="shared" si="0"/>
        <v>7275.1182847783348</v>
      </c>
      <c r="J30" s="119">
        <f t="shared" si="1"/>
        <v>0</v>
      </c>
      <c r="K30" s="119">
        <f t="shared" si="2"/>
        <v>7275.1182847783348</v>
      </c>
      <c r="L30" s="119">
        <f t="shared" si="3"/>
        <v>-1094.9276325692001</v>
      </c>
      <c r="M30" s="119">
        <f t="shared" si="4"/>
        <v>6180.1906522091349</v>
      </c>
      <c r="N30" s="130"/>
      <c r="O30" s="130"/>
      <c r="P30" s="130"/>
      <c r="Q30" s="130"/>
      <c r="R30" s="130"/>
    </row>
    <row r="31" spans="1:18" s="109" customFormat="1" x14ac:dyDescent="0.25">
      <c r="A31" s="131">
        <v>43982</v>
      </c>
      <c r="B31" s="122">
        <v>58671.196415999999</v>
      </c>
      <c r="C31" s="124">
        <f t="shared" si="8"/>
        <v>149285.55767066858</v>
      </c>
      <c r="D31" s="132"/>
      <c r="E31" s="122"/>
      <c r="F31" s="122">
        <f t="shared" si="5"/>
        <v>-12320.951247359999</v>
      </c>
      <c r="G31" s="122">
        <f t="shared" si="6"/>
        <v>-12320.951247359999</v>
      </c>
      <c r="H31" s="121">
        <f t="shared" si="7"/>
        <v>136964.60642330858</v>
      </c>
      <c r="I31" s="120">
        <f t="shared" si="0"/>
        <v>17270.948240000715</v>
      </c>
      <c r="J31" s="119">
        <f t="shared" si="1"/>
        <v>0</v>
      </c>
      <c r="K31" s="119">
        <f t="shared" si="2"/>
        <v>17270.948240000715</v>
      </c>
      <c r="L31" s="119">
        <f t="shared" si="3"/>
        <v>-2099.1242905967001</v>
      </c>
      <c r="M31" s="119">
        <f t="shared" si="4"/>
        <v>15171.823949404014</v>
      </c>
      <c r="N31" s="130"/>
      <c r="O31" s="130"/>
      <c r="P31" s="130"/>
      <c r="Q31" s="130"/>
      <c r="R31" s="130"/>
    </row>
    <row r="32" spans="1:18" s="109" customFormat="1" x14ac:dyDescent="0.25">
      <c r="A32" s="131">
        <v>44012</v>
      </c>
      <c r="B32" s="122">
        <v>59959.116713999996</v>
      </c>
      <c r="C32" s="124">
        <f t="shared" si="8"/>
        <v>209244.67438466859</v>
      </c>
      <c r="D32" s="132"/>
      <c r="E32" s="122"/>
      <c r="F32" s="122">
        <f t="shared" si="5"/>
        <v>-12591.414509939999</v>
      </c>
      <c r="G32" s="122">
        <f t="shared" si="6"/>
        <v>-12591.414509939999</v>
      </c>
      <c r="H32" s="121">
        <f t="shared" si="7"/>
        <v>196653.2598747286</v>
      </c>
      <c r="I32" s="120">
        <f t="shared" si="0"/>
        <v>32209.707908973098</v>
      </c>
      <c r="J32" s="119">
        <f t="shared" si="1"/>
        <v>0</v>
      </c>
      <c r="K32" s="119">
        <f t="shared" si="2"/>
        <v>32209.707908973098</v>
      </c>
      <c r="L32" s="119">
        <f t="shared" si="3"/>
        <v>-3137.1395304842003</v>
      </c>
      <c r="M32" s="119">
        <f t="shared" si="4"/>
        <v>29072.568378488897</v>
      </c>
      <c r="N32" s="130"/>
      <c r="O32" s="130"/>
      <c r="P32" s="130"/>
      <c r="Q32" s="130"/>
      <c r="R32" s="130"/>
    </row>
    <row r="33" spans="1:19" s="109" customFormat="1" x14ac:dyDescent="0.25">
      <c r="A33" s="131">
        <v>44043</v>
      </c>
      <c r="B33" s="122">
        <v>60753.924504000002</v>
      </c>
      <c r="C33" s="124">
        <f t="shared" si="8"/>
        <v>269998.59888866858</v>
      </c>
      <c r="D33" s="132"/>
      <c r="E33" s="122"/>
      <c r="F33" s="122">
        <f t="shared" si="5"/>
        <v>-12758.324145840001</v>
      </c>
      <c r="G33" s="122">
        <f t="shared" si="6"/>
        <v>-12758.324145840001</v>
      </c>
      <c r="H33" s="121">
        <f t="shared" si="7"/>
        <v>257240.27474282857</v>
      </c>
      <c r="I33" s="120">
        <f t="shared" si="0"/>
        <v>52178.177628695477</v>
      </c>
      <c r="J33" s="119">
        <f t="shared" si="1"/>
        <v>0</v>
      </c>
      <c r="K33" s="119">
        <f t="shared" si="2"/>
        <v>52178.177628695477</v>
      </c>
      <c r="L33" s="119">
        <f t="shared" si="3"/>
        <v>-4193.3786411416995</v>
      </c>
      <c r="M33" s="119">
        <f t="shared" si="4"/>
        <v>47984.798987553775</v>
      </c>
      <c r="N33" s="130"/>
      <c r="O33" s="130"/>
      <c r="P33" s="130"/>
      <c r="Q33" s="130"/>
      <c r="R33" s="130"/>
    </row>
    <row r="34" spans="1:19" s="109" customFormat="1" x14ac:dyDescent="0.25">
      <c r="A34" s="131">
        <v>44074</v>
      </c>
      <c r="B34" s="122">
        <v>93868.933158</v>
      </c>
      <c r="C34" s="124">
        <f t="shared" si="8"/>
        <v>363867.53204666858</v>
      </c>
      <c r="D34" s="132"/>
      <c r="E34" s="122"/>
      <c r="F34" s="122">
        <f t="shared" si="5"/>
        <v>-19712.475963180001</v>
      </c>
      <c r="G34" s="122">
        <f t="shared" si="6"/>
        <v>-19712.475963180001</v>
      </c>
      <c r="H34" s="121">
        <f t="shared" si="7"/>
        <v>344155.05608348857</v>
      </c>
      <c r="I34" s="120">
        <f t="shared" si="0"/>
        <v>78589.266417667866</v>
      </c>
      <c r="J34" s="119">
        <f t="shared" si="1"/>
        <v>0</v>
      </c>
      <c r="K34" s="119">
        <f t="shared" si="2"/>
        <v>78589.266417667866</v>
      </c>
      <c r="L34" s="119">
        <f t="shared" si="3"/>
        <v>-5546.3286456841997</v>
      </c>
      <c r="M34" s="119">
        <f t="shared" si="4"/>
        <v>73042.937771983663</v>
      </c>
      <c r="N34" s="130"/>
      <c r="O34" s="130"/>
      <c r="P34" s="130"/>
      <c r="Q34" s="130"/>
      <c r="R34" s="130"/>
    </row>
    <row r="35" spans="1:19" s="109" customFormat="1" x14ac:dyDescent="0.25">
      <c r="A35" s="131">
        <v>44104</v>
      </c>
      <c r="B35" s="122">
        <v>131622.10866</v>
      </c>
      <c r="C35" s="124">
        <f t="shared" si="8"/>
        <v>495489.64070666861</v>
      </c>
      <c r="D35" s="132"/>
      <c r="E35" s="122"/>
      <c r="F35" s="122">
        <f t="shared" si="5"/>
        <v>-27640.642818599998</v>
      </c>
      <c r="G35" s="122">
        <f t="shared" si="6"/>
        <v>-27640.642818599998</v>
      </c>
      <c r="H35" s="121">
        <f t="shared" si="7"/>
        <v>467848.99788806861</v>
      </c>
      <c r="I35" s="120">
        <f t="shared" si="0"/>
        <v>114395.81528239026</v>
      </c>
      <c r="J35" s="119">
        <f t="shared" si="1"/>
        <v>0</v>
      </c>
      <c r="K35" s="119">
        <f t="shared" si="2"/>
        <v>114395.81528239026</v>
      </c>
      <c r="L35" s="119">
        <f t="shared" si="3"/>
        <v>-7519.3752615917001</v>
      </c>
      <c r="M35" s="119">
        <f t="shared" si="4"/>
        <v>106876.44002079856</v>
      </c>
      <c r="N35" s="130"/>
      <c r="O35" s="130"/>
      <c r="P35" s="130"/>
      <c r="Q35" s="130"/>
      <c r="R35" s="130"/>
    </row>
    <row r="36" spans="1:19" s="109" customFormat="1" x14ac:dyDescent="0.25">
      <c r="A36" s="131">
        <v>44135</v>
      </c>
      <c r="B36" s="122">
        <v>143304.33579000001</v>
      </c>
      <c r="C36" s="124">
        <f t="shared" si="8"/>
        <v>638793.97649666865</v>
      </c>
      <c r="D36" s="123"/>
      <c r="E36" s="122">
        <f t="shared" ref="E36:E67" si="9">E35-D36</f>
        <v>0</v>
      </c>
      <c r="F36" s="122">
        <f t="shared" si="5"/>
        <v>-30093.910515900003</v>
      </c>
      <c r="G36" s="122">
        <f t="shared" si="6"/>
        <v>-30093.910515900003</v>
      </c>
      <c r="H36" s="121">
        <f t="shared" si="7"/>
        <v>608700.06598076865</v>
      </c>
      <c r="I36" s="120">
        <f t="shared" si="0"/>
        <v>161657.63266586265</v>
      </c>
      <c r="J36" s="119">
        <f t="shared" si="1"/>
        <v>0</v>
      </c>
      <c r="K36" s="119">
        <f t="shared" si="2"/>
        <v>161657.63266586265</v>
      </c>
      <c r="L36" s="119">
        <f t="shared" si="3"/>
        <v>-9924.9816505292001</v>
      </c>
      <c r="M36" s="119">
        <f t="shared" si="4"/>
        <v>151732.65101533345</v>
      </c>
      <c r="N36" s="130"/>
      <c r="O36" s="130"/>
      <c r="P36" s="130"/>
      <c r="Q36" s="130"/>
      <c r="R36" s="130"/>
    </row>
    <row r="37" spans="1:19" s="109" customFormat="1" x14ac:dyDescent="0.25">
      <c r="A37" s="131">
        <v>44165</v>
      </c>
      <c r="B37" s="122">
        <v>187235.05403400003</v>
      </c>
      <c r="C37" s="124">
        <f t="shared" si="8"/>
        <v>826029.03053066868</v>
      </c>
      <c r="D37" s="123"/>
      <c r="E37" s="122">
        <f t="shared" si="9"/>
        <v>0</v>
      </c>
      <c r="F37" s="122">
        <f t="shared" si="5"/>
        <v>-39319.361347140002</v>
      </c>
      <c r="G37" s="122">
        <f t="shared" ref="G37:G68" si="10">G36+F37</f>
        <v>-69413.271863040005</v>
      </c>
      <c r="H37" s="121">
        <f t="shared" si="7"/>
        <v>756615.75866762863</v>
      </c>
      <c r="I37" s="120">
        <f t="shared" si="0"/>
        <v>222691.92462533503</v>
      </c>
      <c r="J37" s="119">
        <f t="shared" si="1"/>
        <v>0</v>
      </c>
      <c r="K37" s="119">
        <f t="shared" si="2"/>
        <v>222691.92462533503</v>
      </c>
      <c r="L37" s="119">
        <f t="shared" si="3"/>
        <v>-14071.1142496517</v>
      </c>
      <c r="M37" s="119">
        <f t="shared" si="4"/>
        <v>208620.81037568333</v>
      </c>
      <c r="N37" s="130"/>
      <c r="O37" s="130"/>
      <c r="P37" s="130"/>
      <c r="Q37" s="130"/>
      <c r="R37" s="130"/>
    </row>
    <row r="38" spans="1:19" s="109" customFormat="1" x14ac:dyDescent="0.25">
      <c r="A38" s="131">
        <v>44196</v>
      </c>
      <c r="B38" s="122">
        <v>228146.71849969999</v>
      </c>
      <c r="C38" s="124">
        <f t="shared" si="8"/>
        <v>1054175.7490303686</v>
      </c>
      <c r="D38" s="123"/>
      <c r="E38" s="122">
        <f t="shared" si="9"/>
        <v>0</v>
      </c>
      <c r="F38" s="122">
        <f t="shared" si="5"/>
        <v>-47910.810884936996</v>
      </c>
      <c r="G38" s="122">
        <f t="shared" si="10"/>
        <v>-117324.08274797699</v>
      </c>
      <c r="H38" s="121">
        <f t="shared" si="7"/>
        <v>936851.66628239164</v>
      </c>
      <c r="I38" s="120">
        <f t="shared" si="0"/>
        <v>301033.79044037824</v>
      </c>
      <c r="J38" s="119">
        <f t="shared" si="1"/>
        <v>0</v>
      </c>
      <c r="K38" s="119">
        <f t="shared" si="2"/>
        <v>301033.79044037824</v>
      </c>
      <c r="L38" s="119">
        <f t="shared" si="3"/>
        <v>-21851.837358444074</v>
      </c>
      <c r="M38" s="119">
        <f t="shared" si="4"/>
        <v>279181.95308193419</v>
      </c>
      <c r="N38" s="130"/>
      <c r="O38" s="130"/>
      <c r="P38" s="130"/>
      <c r="Q38" s="130"/>
      <c r="R38" s="130"/>
    </row>
    <row r="39" spans="1:19" s="109" customFormat="1" x14ac:dyDescent="0.25">
      <c r="A39" s="118">
        <v>44227</v>
      </c>
      <c r="B39" s="114">
        <v>251691.75857139996</v>
      </c>
      <c r="C39" s="117">
        <f t="shared" si="8"/>
        <v>1305867.5076017687</v>
      </c>
      <c r="D39" s="116"/>
      <c r="E39" s="114">
        <f t="shared" si="9"/>
        <v>0</v>
      </c>
      <c r="F39" s="114">
        <f t="shared" si="5"/>
        <v>-52855.26929999399</v>
      </c>
      <c r="G39" s="114">
        <f t="shared" si="10"/>
        <v>-170179.35204797098</v>
      </c>
      <c r="H39" s="115">
        <f t="shared" si="7"/>
        <v>1135688.1555537977</v>
      </c>
      <c r="I39" s="114">
        <f t="shared" si="0"/>
        <v>399291.08166952274</v>
      </c>
      <c r="J39" s="114">
        <f t="shared" si="1"/>
        <v>0</v>
      </c>
      <c r="K39" s="114">
        <f t="shared" si="2"/>
        <v>399291.08166952274</v>
      </c>
      <c r="L39" s="114">
        <f t="shared" si="3"/>
        <v>-33814.799804197719</v>
      </c>
      <c r="M39" s="114">
        <f t="shared" si="4"/>
        <v>365476.281865325</v>
      </c>
      <c r="N39" s="129"/>
      <c r="O39" s="130"/>
      <c r="P39" s="130"/>
      <c r="Q39" s="130"/>
      <c r="R39" s="130"/>
    </row>
    <row r="40" spans="1:19" s="109" customFormat="1" x14ac:dyDescent="0.25">
      <c r="A40" s="118">
        <v>44255</v>
      </c>
      <c r="B40" s="114">
        <v>271188.59444739996</v>
      </c>
      <c r="C40" s="117">
        <f t="shared" si="8"/>
        <v>1577056.1020491687</v>
      </c>
      <c r="D40" s="116"/>
      <c r="E40" s="114">
        <f t="shared" si="9"/>
        <v>0</v>
      </c>
      <c r="F40" s="114">
        <f t="shared" si="5"/>
        <v>-56949.604833953992</v>
      </c>
      <c r="G40" s="114">
        <f t="shared" si="10"/>
        <v>-227128.95688192497</v>
      </c>
      <c r="H40" s="115">
        <f t="shared" si="7"/>
        <v>1349927.1451672437</v>
      </c>
      <c r="I40" s="114">
        <f t="shared" si="0"/>
        <v>519101.48151058942</v>
      </c>
      <c r="J40" s="114">
        <f t="shared" si="1"/>
        <v>0</v>
      </c>
      <c r="K40" s="114">
        <f t="shared" si="2"/>
        <v>519101.48151058942</v>
      </c>
      <c r="L40" s="114">
        <f t="shared" si="3"/>
        <v>-50320.262395865873</v>
      </c>
      <c r="M40" s="114">
        <f t="shared" si="4"/>
        <v>468781.21911472356</v>
      </c>
      <c r="N40" s="129"/>
      <c r="O40" s="126"/>
      <c r="P40" s="126"/>
      <c r="Q40" s="126"/>
      <c r="R40" s="126"/>
      <c r="S40" s="126"/>
    </row>
    <row r="41" spans="1:19" s="109" customFormat="1" x14ac:dyDescent="0.25">
      <c r="A41" s="118">
        <v>44286</v>
      </c>
      <c r="B41" s="114">
        <v>271215.85404339997</v>
      </c>
      <c r="C41" s="117">
        <f t="shared" si="8"/>
        <v>1848271.9560925686</v>
      </c>
      <c r="D41" s="116"/>
      <c r="E41" s="114">
        <f t="shared" si="9"/>
        <v>0</v>
      </c>
      <c r="F41" s="114">
        <f t="shared" si="5"/>
        <v>-56955.329349113992</v>
      </c>
      <c r="G41" s="114">
        <f t="shared" si="10"/>
        <v>-284084.28623103898</v>
      </c>
      <c r="H41" s="115">
        <f t="shared" si="7"/>
        <v>1564187.6698615295</v>
      </c>
      <c r="I41" s="114">
        <f t="shared" si="0"/>
        <v>660151.56844743947</v>
      </c>
      <c r="J41" s="114">
        <f t="shared" si="1"/>
        <v>0</v>
      </c>
      <c r="K41" s="114">
        <f t="shared" si="2"/>
        <v>660151.56844743947</v>
      </c>
      <c r="L41" s="114">
        <f t="shared" si="3"/>
        <v>-71335.109558059368</v>
      </c>
      <c r="M41" s="114">
        <f t="shared" si="4"/>
        <v>588816.4588893801</v>
      </c>
      <c r="N41" s="129"/>
      <c r="O41" s="126"/>
      <c r="P41" s="126"/>
      <c r="Q41" s="126"/>
      <c r="R41" s="126"/>
      <c r="S41" s="126"/>
    </row>
    <row r="42" spans="1:19" s="109" customFormat="1" x14ac:dyDescent="0.25">
      <c r="A42" s="118">
        <v>44316</v>
      </c>
      <c r="B42" s="114">
        <v>271233.5984974</v>
      </c>
      <c r="C42" s="117">
        <f t="shared" si="8"/>
        <v>2119505.5545899686</v>
      </c>
      <c r="D42" s="116"/>
      <c r="E42" s="114">
        <f t="shared" si="9"/>
        <v>0</v>
      </c>
      <c r="F42" s="114">
        <f t="shared" si="5"/>
        <v>-56959.055684453997</v>
      </c>
      <c r="G42" s="114">
        <f t="shared" si="10"/>
        <v>-341043.34191549296</v>
      </c>
      <c r="H42" s="115">
        <f t="shared" si="7"/>
        <v>1778462.2126744757</v>
      </c>
      <c r="I42" s="114">
        <f t="shared" si="0"/>
        <v>820261.69028507278</v>
      </c>
      <c r="J42" s="114">
        <f t="shared" si="1"/>
        <v>0</v>
      </c>
      <c r="K42" s="114">
        <f t="shared" si="2"/>
        <v>820261.69028507278</v>
      </c>
      <c r="L42" s="114">
        <f t="shared" si="3"/>
        <v>-96638.268683597373</v>
      </c>
      <c r="M42" s="114">
        <f t="shared" si="4"/>
        <v>723623.42160147545</v>
      </c>
      <c r="N42" s="129"/>
    </row>
    <row r="43" spans="1:19" s="126" customFormat="1" x14ac:dyDescent="0.25">
      <c r="A43" s="118">
        <v>44347</v>
      </c>
      <c r="B43" s="114">
        <v>274372.03917339997</v>
      </c>
      <c r="C43" s="117">
        <f t="shared" si="8"/>
        <v>2393877.5937633687</v>
      </c>
      <c r="D43" s="116"/>
      <c r="E43" s="114">
        <f t="shared" si="9"/>
        <v>0</v>
      </c>
      <c r="F43" s="114">
        <f t="shared" si="5"/>
        <v>-57618.128226413995</v>
      </c>
      <c r="G43" s="114">
        <f t="shared" si="10"/>
        <v>-398661.47014190693</v>
      </c>
      <c r="H43" s="115">
        <f t="shared" si="7"/>
        <v>1995216.1236214617</v>
      </c>
      <c r="I43" s="114">
        <f t="shared" si="0"/>
        <v>998323.49151123932</v>
      </c>
      <c r="J43" s="114">
        <f t="shared" si="1"/>
        <v>0</v>
      </c>
      <c r="K43" s="114">
        <f t="shared" si="2"/>
        <v>998323.49151123932</v>
      </c>
      <c r="L43" s="114">
        <f t="shared" si="3"/>
        <v>-126455.10586129485</v>
      </c>
      <c r="M43" s="114">
        <f t="shared" si="4"/>
        <v>871868.38564994442</v>
      </c>
      <c r="N43" s="127"/>
    </row>
    <row r="44" spans="1:19" s="109" customFormat="1" x14ac:dyDescent="0.25">
      <c r="A44" s="118">
        <v>44377</v>
      </c>
      <c r="B44" s="114">
        <v>282920.53824929998</v>
      </c>
      <c r="C44" s="117">
        <f t="shared" si="8"/>
        <v>2676798.1320126685</v>
      </c>
      <c r="D44" s="116"/>
      <c r="E44" s="114">
        <f t="shared" si="9"/>
        <v>0</v>
      </c>
      <c r="F44" s="114">
        <f t="shared" si="5"/>
        <v>-59413.313032352991</v>
      </c>
      <c r="G44" s="114">
        <f t="shared" si="10"/>
        <v>-458074.78317425994</v>
      </c>
      <c r="H44" s="115">
        <f t="shared" si="7"/>
        <v>2218723.3488384085</v>
      </c>
      <c r="I44" s="114">
        <f t="shared" si="0"/>
        <v>1194662.8870829351</v>
      </c>
      <c r="J44" s="114">
        <f t="shared" si="1"/>
        <v>0</v>
      </c>
      <c r="K44" s="114">
        <f t="shared" si="2"/>
        <v>1194662.8870829351</v>
      </c>
      <c r="L44" s="114">
        <f t="shared" si="3"/>
        <v>-161114.43450958098</v>
      </c>
      <c r="M44" s="114">
        <f t="shared" si="4"/>
        <v>1033548.4525733541</v>
      </c>
      <c r="N44" s="127"/>
      <c r="O44" s="128"/>
      <c r="P44" s="126"/>
      <c r="Q44" s="126"/>
      <c r="R44" s="126"/>
    </row>
    <row r="45" spans="1:19" s="109" customFormat="1" x14ac:dyDescent="0.25">
      <c r="A45" s="118">
        <v>44408</v>
      </c>
      <c r="B45" s="114">
        <v>282955.60514130001</v>
      </c>
      <c r="C45" s="117">
        <f t="shared" si="8"/>
        <v>2959753.7371539688</v>
      </c>
      <c r="D45" s="116"/>
      <c r="E45" s="114">
        <f t="shared" si="9"/>
        <v>0</v>
      </c>
      <c r="F45" s="114">
        <f t="shared" si="5"/>
        <v>-59420.677079672998</v>
      </c>
      <c r="G45" s="114">
        <f t="shared" si="10"/>
        <v>-517495.46025393292</v>
      </c>
      <c r="H45" s="115">
        <f t="shared" si="7"/>
        <v>2442258.2769000358</v>
      </c>
      <c r="I45" s="114">
        <f t="shared" si="0"/>
        <v>1409550.7452451561</v>
      </c>
      <c r="J45" s="114">
        <f t="shared" si="1"/>
        <v>0</v>
      </c>
      <c r="K45" s="114">
        <f t="shared" si="2"/>
        <v>1409550.7452451561</v>
      </c>
      <c r="L45" s="114">
        <f t="shared" si="3"/>
        <v>-200706.95554176485</v>
      </c>
      <c r="M45" s="114">
        <f t="shared" si="4"/>
        <v>1208843.7897033913</v>
      </c>
      <c r="N45" s="127"/>
      <c r="O45" s="128"/>
      <c r="P45" s="126"/>
      <c r="Q45" s="126"/>
      <c r="R45" s="126"/>
    </row>
    <row r="46" spans="1:19" s="109" customFormat="1" x14ac:dyDescent="0.25">
      <c r="A46" s="118">
        <v>44439</v>
      </c>
      <c r="B46" s="114">
        <v>282955.63151729997</v>
      </c>
      <c r="C46" s="117">
        <f t="shared" si="8"/>
        <v>3242709.3686712687</v>
      </c>
      <c r="D46" s="116"/>
      <c r="E46" s="114">
        <f t="shared" si="9"/>
        <v>0</v>
      </c>
      <c r="F46" s="114">
        <f t="shared" si="5"/>
        <v>-59420.682618632993</v>
      </c>
      <c r="G46" s="114">
        <f t="shared" si="10"/>
        <v>-576916.14287256589</v>
      </c>
      <c r="H46" s="115">
        <f t="shared" si="7"/>
        <v>2665793.2257987028</v>
      </c>
      <c r="I46" s="114">
        <f t="shared" si="0"/>
        <v>1641575.6191989018</v>
      </c>
      <c r="J46" s="114">
        <f t="shared" si="1"/>
        <v>0</v>
      </c>
      <c r="K46" s="114">
        <f t="shared" si="2"/>
        <v>1641575.6191989018</v>
      </c>
      <c r="L46" s="114">
        <f t="shared" si="3"/>
        <v>-244954.48900082646</v>
      </c>
      <c r="M46" s="114">
        <f t="shared" si="4"/>
        <v>1396621.1301980754</v>
      </c>
      <c r="N46" s="127"/>
      <c r="O46" s="128"/>
      <c r="P46" s="126"/>
      <c r="Q46" s="126"/>
      <c r="R46" s="126"/>
    </row>
    <row r="47" spans="1:19" s="109" customFormat="1" x14ac:dyDescent="0.25">
      <c r="A47" s="118">
        <v>44469</v>
      </c>
      <c r="B47" s="114">
        <v>377888.54514129995</v>
      </c>
      <c r="C47" s="117">
        <f t="shared" si="8"/>
        <v>3620597.9138125684</v>
      </c>
      <c r="D47" s="116"/>
      <c r="E47" s="114">
        <f t="shared" si="9"/>
        <v>0</v>
      </c>
      <c r="F47" s="114">
        <f t="shared" si="5"/>
        <v>-79356.594479672989</v>
      </c>
      <c r="G47" s="114">
        <f t="shared" si="10"/>
        <v>-656272.73735223885</v>
      </c>
      <c r="H47" s="115">
        <f t="shared" si="7"/>
        <v>2964325.1764603294</v>
      </c>
      <c r="I47" s="114">
        <f t="shared" si="0"/>
        <v>1891740.2071043393</v>
      </c>
      <c r="J47" s="114">
        <f t="shared" si="1"/>
        <v>0</v>
      </c>
      <c r="K47" s="114">
        <f t="shared" si="2"/>
        <v>1891740.2071043393</v>
      </c>
      <c r="L47" s="114">
        <f t="shared" si="3"/>
        <v>-294364.31239428587</v>
      </c>
      <c r="M47" s="114">
        <f t="shared" si="4"/>
        <v>1597375.8947100535</v>
      </c>
      <c r="N47" s="127"/>
      <c r="O47" s="128"/>
      <c r="P47" s="126"/>
      <c r="Q47" s="126"/>
      <c r="R47" s="126"/>
    </row>
    <row r="48" spans="1:19" s="109" customFormat="1" x14ac:dyDescent="0.25">
      <c r="A48" s="118">
        <v>44500</v>
      </c>
      <c r="B48" s="114">
        <v>483249.29576329998</v>
      </c>
      <c r="C48" s="117">
        <f t="shared" si="8"/>
        <v>4103847.2095758682</v>
      </c>
      <c r="D48" s="116"/>
      <c r="E48" s="114">
        <f t="shared" si="9"/>
        <v>0</v>
      </c>
      <c r="F48" s="114">
        <f t="shared" si="5"/>
        <v>-101482.352110293</v>
      </c>
      <c r="G48" s="114">
        <f t="shared" si="10"/>
        <v>-757755.08946253185</v>
      </c>
      <c r="H48" s="115">
        <f t="shared" si="7"/>
        <v>3346092.1201133365</v>
      </c>
      <c r="I48" s="114">
        <f t="shared" si="0"/>
        <v>2166330.2698620516</v>
      </c>
      <c r="J48" s="114">
        <f t="shared" si="1"/>
        <v>0</v>
      </c>
      <c r="K48" s="114">
        <f t="shared" si="2"/>
        <v>2166330.2698620516</v>
      </c>
      <c r="L48" s="114">
        <f t="shared" si="3"/>
        <v>-350876.53212263045</v>
      </c>
      <c r="M48" s="114">
        <f t="shared" si="4"/>
        <v>1815453.7377394212</v>
      </c>
      <c r="N48" s="127"/>
      <c r="O48" s="126"/>
      <c r="P48" s="126"/>
      <c r="Q48" s="126"/>
      <c r="R48" s="126"/>
    </row>
    <row r="49" spans="1:18" s="109" customFormat="1" x14ac:dyDescent="0.25">
      <c r="A49" s="118">
        <v>44530</v>
      </c>
      <c r="B49" s="114">
        <v>494582.29576329998</v>
      </c>
      <c r="C49" s="117">
        <f t="shared" si="8"/>
        <v>4598429.505339168</v>
      </c>
      <c r="D49" s="116"/>
      <c r="E49" s="114">
        <f t="shared" si="9"/>
        <v>0</v>
      </c>
      <c r="F49" s="114">
        <f t="shared" si="5"/>
        <v>-103862.28211029299</v>
      </c>
      <c r="G49" s="114">
        <f t="shared" si="10"/>
        <v>-861617.37157282489</v>
      </c>
      <c r="H49" s="115">
        <f t="shared" si="7"/>
        <v>3736812.1337663429</v>
      </c>
      <c r="I49" s="114">
        <f t="shared" si="0"/>
        <v>2467890.8410240393</v>
      </c>
      <c r="J49" s="114">
        <f t="shared" si="1"/>
        <v>0</v>
      </c>
      <c r="K49" s="114">
        <f t="shared" si="2"/>
        <v>2467890.8410240393</v>
      </c>
      <c r="L49" s="114">
        <f t="shared" si="3"/>
        <v>-414204.25206664787</v>
      </c>
      <c r="M49" s="114">
        <f t="shared" si="4"/>
        <v>2053686.5889573914</v>
      </c>
      <c r="N49" s="127"/>
      <c r="O49" s="126"/>
      <c r="P49" s="126"/>
      <c r="Q49" s="126"/>
      <c r="R49" s="126"/>
    </row>
    <row r="50" spans="1:18" s="109" customFormat="1" x14ac:dyDescent="0.25">
      <c r="A50" s="118">
        <v>44561</v>
      </c>
      <c r="B50" s="114">
        <v>464292.96576329996</v>
      </c>
      <c r="C50" s="117">
        <f t="shared" si="8"/>
        <v>5062722.4711024677</v>
      </c>
      <c r="D50" s="116"/>
      <c r="E50" s="114">
        <f t="shared" si="9"/>
        <v>0</v>
      </c>
      <c r="F50" s="114">
        <f t="shared" si="5"/>
        <v>-97501.522810292983</v>
      </c>
      <c r="G50" s="114">
        <f t="shared" si="10"/>
        <v>-959118.89438311791</v>
      </c>
      <c r="H50" s="115">
        <f t="shared" si="7"/>
        <v>4103603.5767193497</v>
      </c>
      <c r="I50" s="114">
        <f t="shared" si="0"/>
        <v>2792096.9742273977</v>
      </c>
      <c r="J50" s="114">
        <f t="shared" si="1"/>
        <v>0</v>
      </c>
      <c r="K50" s="114">
        <f t="shared" si="2"/>
        <v>2792096.9742273977</v>
      </c>
      <c r="L50" s="114">
        <f t="shared" si="3"/>
        <v>-482287.54003935307</v>
      </c>
      <c r="M50" s="114">
        <f t="shared" si="4"/>
        <v>2309809.4341880446</v>
      </c>
      <c r="N50" s="127"/>
      <c r="O50" s="126"/>
      <c r="P50" s="126"/>
      <c r="Q50" s="126"/>
      <c r="R50" s="126"/>
    </row>
    <row r="51" spans="1:18" s="109" customFormat="1" x14ac:dyDescent="0.25">
      <c r="A51" s="125">
        <v>44592</v>
      </c>
      <c r="B51" s="122">
        <v>507289.2557633</v>
      </c>
      <c r="C51" s="124">
        <f t="shared" si="8"/>
        <v>5570011.7268657675</v>
      </c>
      <c r="D51" s="123"/>
      <c r="E51" s="122">
        <f t="shared" si="9"/>
        <v>0</v>
      </c>
      <c r="F51" s="122">
        <f t="shared" si="5"/>
        <v>-106530.743710293</v>
      </c>
      <c r="G51" s="122">
        <f t="shared" si="10"/>
        <v>-1065649.638093411</v>
      </c>
      <c r="H51" s="121">
        <f t="shared" si="7"/>
        <v>4504362.0887723565</v>
      </c>
      <c r="I51" s="120">
        <f t="shared" si="0"/>
        <v>3136792.430116402</v>
      </c>
      <c r="J51" s="119">
        <f t="shared" si="1"/>
        <v>0</v>
      </c>
      <c r="K51" s="119">
        <f t="shared" si="2"/>
        <v>3136792.430116402</v>
      </c>
      <c r="L51" s="119">
        <f t="shared" si="3"/>
        <v>-554673.58577604394</v>
      </c>
      <c r="M51" s="119">
        <f t="shared" si="4"/>
        <v>2582118.8443403579</v>
      </c>
      <c r="N51" s="127"/>
      <c r="O51" s="126"/>
      <c r="P51" s="126"/>
      <c r="Q51" s="126"/>
      <c r="R51" s="126"/>
    </row>
    <row r="52" spans="1:18" s="109" customFormat="1" x14ac:dyDescent="0.25">
      <c r="A52" s="125">
        <v>44620</v>
      </c>
      <c r="B52" s="122">
        <v>507289.2557633</v>
      </c>
      <c r="C52" s="124">
        <f t="shared" si="8"/>
        <v>6077300.9826290673</v>
      </c>
      <c r="D52" s="123"/>
      <c r="E52" s="122">
        <f t="shared" si="9"/>
        <v>0</v>
      </c>
      <c r="F52" s="122">
        <f t="shared" si="5"/>
        <v>-106530.743710293</v>
      </c>
      <c r="G52" s="122">
        <f t="shared" si="10"/>
        <v>-1172180.381803704</v>
      </c>
      <c r="H52" s="121">
        <f t="shared" si="7"/>
        <v>4905120.6008253638</v>
      </c>
      <c r="I52" s="120">
        <f t="shared" si="0"/>
        <v>3501975.309276564</v>
      </c>
      <c r="J52" s="119">
        <f t="shared" si="1"/>
        <v>0</v>
      </c>
      <c r="K52" s="119">
        <f t="shared" si="2"/>
        <v>3501975.309276564</v>
      </c>
      <c r="L52" s="119">
        <f t="shared" si="3"/>
        <v>-631361.99039967812</v>
      </c>
      <c r="M52" s="119">
        <f t="shared" si="4"/>
        <v>2870613.3188768858</v>
      </c>
      <c r="N52" s="127"/>
      <c r="O52" s="126"/>
      <c r="P52" s="126"/>
      <c r="Q52" s="126"/>
      <c r="R52" s="126"/>
    </row>
    <row r="53" spans="1:18" s="109" customFormat="1" x14ac:dyDescent="0.25">
      <c r="A53" s="125">
        <v>44651</v>
      </c>
      <c r="B53" s="122">
        <v>507289.2557633</v>
      </c>
      <c r="C53" s="124">
        <f t="shared" si="8"/>
        <v>6584590.238392367</v>
      </c>
      <c r="D53" s="123"/>
      <c r="E53" s="122">
        <f t="shared" si="9"/>
        <v>0</v>
      </c>
      <c r="F53" s="122">
        <f t="shared" si="5"/>
        <v>-106530.743710293</v>
      </c>
      <c r="G53" s="122">
        <f t="shared" si="10"/>
        <v>-1278711.1255139969</v>
      </c>
      <c r="H53" s="121">
        <f t="shared" si="7"/>
        <v>5305879.1128783701</v>
      </c>
      <c r="I53" s="120">
        <f t="shared" si="0"/>
        <v>3886832.1077298853</v>
      </c>
      <c r="J53" s="119">
        <f t="shared" si="1"/>
        <v>0</v>
      </c>
      <c r="K53" s="119">
        <f t="shared" si="2"/>
        <v>3886832.1077298853</v>
      </c>
      <c r="L53" s="119">
        <f t="shared" si="3"/>
        <v>-712181.91807487549</v>
      </c>
      <c r="M53" s="119">
        <f t="shared" si="4"/>
        <v>3174650.1896550097</v>
      </c>
      <c r="N53" s="127"/>
      <c r="O53" s="126"/>
      <c r="P53" s="126"/>
      <c r="Q53" s="126"/>
      <c r="R53" s="126"/>
    </row>
    <row r="54" spans="1:18" s="109" customFormat="1" x14ac:dyDescent="0.25">
      <c r="A54" s="125">
        <v>44681</v>
      </c>
      <c r="B54" s="122">
        <v>507289.2557633</v>
      </c>
      <c r="C54" s="124">
        <f t="shared" si="8"/>
        <v>7091879.4941556668</v>
      </c>
      <c r="D54" s="123"/>
      <c r="E54" s="122">
        <f t="shared" si="9"/>
        <v>0</v>
      </c>
      <c r="F54" s="122">
        <f t="shared" si="5"/>
        <v>-106530.743710293</v>
      </c>
      <c r="G54" s="122">
        <f t="shared" si="10"/>
        <v>-1385241.8692242899</v>
      </c>
      <c r="H54" s="121">
        <f t="shared" si="7"/>
        <v>5706637.6249313764</v>
      </c>
      <c r="I54" s="120">
        <f t="shared" si="0"/>
        <v>4291360.9503076142</v>
      </c>
      <c r="J54" s="119">
        <f t="shared" si="1"/>
        <v>0</v>
      </c>
      <c r="K54" s="119">
        <f t="shared" si="2"/>
        <v>4291360.9503076142</v>
      </c>
      <c r="L54" s="119">
        <f t="shared" si="3"/>
        <v>-797132.97501619859</v>
      </c>
      <c r="M54" s="119">
        <f t="shared" si="4"/>
        <v>3494227.9752914156</v>
      </c>
      <c r="N54" s="127"/>
      <c r="O54" s="126"/>
      <c r="P54" s="126"/>
      <c r="Q54" s="126"/>
      <c r="R54" s="126"/>
    </row>
    <row r="55" spans="1:18" s="109" customFormat="1" x14ac:dyDescent="0.25">
      <c r="A55" s="125">
        <v>44712</v>
      </c>
      <c r="B55" s="122">
        <v>507289.2557633</v>
      </c>
      <c r="C55" s="124">
        <f t="shared" si="8"/>
        <v>7599168.7499189666</v>
      </c>
      <c r="D55" s="123"/>
      <c r="E55" s="122">
        <f t="shared" si="9"/>
        <v>0</v>
      </c>
      <c r="F55" s="122">
        <f t="shared" si="5"/>
        <v>-106530.743710293</v>
      </c>
      <c r="G55" s="122">
        <f t="shared" si="10"/>
        <v>-1491772.6129345829</v>
      </c>
      <c r="H55" s="121">
        <f t="shared" si="7"/>
        <v>6107396.1369843837</v>
      </c>
      <c r="I55" s="120">
        <f t="shared" ref="I55:I86" si="11">(C43+C55+SUM(C44:C54)*2)/24</f>
        <v>4715430.3292960012</v>
      </c>
      <c r="J55" s="119">
        <f t="shared" ref="J55:J86" si="12">(E43+E55+SUM(E44:E54)*2)/24</f>
        <v>0</v>
      </c>
      <c r="K55" s="119">
        <f t="shared" ref="K55:K86" si="13">I55+J55</f>
        <v>4715430.3292960012</v>
      </c>
      <c r="L55" s="119">
        <f t="shared" ref="L55:L86" si="14">(G43+G55+SUM(G44:G54)*2)/24</f>
        <v>-886187.54460375977</v>
      </c>
      <c r="M55" s="119">
        <f t="shared" ref="M55:M86" si="15">K55+L55</f>
        <v>3829242.7846922413</v>
      </c>
      <c r="N55" s="127"/>
      <c r="O55" s="126"/>
      <c r="P55" s="126"/>
      <c r="Q55" s="126"/>
      <c r="R55" s="126"/>
    </row>
    <row r="56" spans="1:18" s="109" customFormat="1" x14ac:dyDescent="0.25">
      <c r="A56" s="125">
        <v>44742</v>
      </c>
      <c r="B56" s="122">
        <v>507289.2557633</v>
      </c>
      <c r="C56" s="124">
        <f t="shared" si="8"/>
        <v>8106458.0056822663</v>
      </c>
      <c r="D56" s="123"/>
      <c r="E56" s="122">
        <f t="shared" si="9"/>
        <v>0</v>
      </c>
      <c r="F56" s="122">
        <f t="shared" si="5"/>
        <v>-106530.743710293</v>
      </c>
      <c r="G56" s="122">
        <f t="shared" si="10"/>
        <v>-1598303.3566448758</v>
      </c>
      <c r="H56" s="121">
        <f t="shared" si="7"/>
        <v>6508154.6490373909</v>
      </c>
      <c r="I56" s="120">
        <f t="shared" si="11"/>
        <v>5158553.2888720511</v>
      </c>
      <c r="J56" s="119">
        <f t="shared" si="12"/>
        <v>0</v>
      </c>
      <c r="K56" s="119">
        <f t="shared" si="13"/>
        <v>5158553.2888720511</v>
      </c>
      <c r="L56" s="119">
        <f t="shared" si="14"/>
        <v>-979243.36611473036</v>
      </c>
      <c r="M56" s="119">
        <f t="shared" si="15"/>
        <v>4179309.9227573206</v>
      </c>
      <c r="N56" s="127"/>
      <c r="O56" s="126"/>
      <c r="P56" s="126"/>
      <c r="Q56" s="126"/>
      <c r="R56" s="126"/>
    </row>
    <row r="57" spans="1:18" s="109" customFormat="1" x14ac:dyDescent="0.25">
      <c r="A57" s="125">
        <v>44773</v>
      </c>
      <c r="B57" s="122">
        <v>507289.2557633</v>
      </c>
      <c r="C57" s="124">
        <f t="shared" si="8"/>
        <v>8613747.261445567</v>
      </c>
      <c r="D57" s="123"/>
      <c r="E57" s="122">
        <f t="shared" si="9"/>
        <v>0</v>
      </c>
      <c r="F57" s="122">
        <f t="shared" si="5"/>
        <v>-106530.743710293</v>
      </c>
      <c r="G57" s="122">
        <f t="shared" si="10"/>
        <v>-1704834.1003551688</v>
      </c>
      <c r="H57" s="121">
        <f t="shared" si="7"/>
        <v>6908913.1610903982</v>
      </c>
      <c r="I57" s="120">
        <f t="shared" si="11"/>
        <v>5620372.1804537671</v>
      </c>
      <c r="J57" s="119">
        <f t="shared" si="12"/>
        <v>0</v>
      </c>
      <c r="K57" s="119">
        <f t="shared" si="13"/>
        <v>5620372.1804537671</v>
      </c>
      <c r="L57" s="119">
        <f t="shared" si="14"/>
        <v>-1076225.333346891</v>
      </c>
      <c r="M57" s="119">
        <f t="shared" si="15"/>
        <v>4544146.8471068759</v>
      </c>
      <c r="N57" s="127"/>
      <c r="O57" s="126"/>
      <c r="P57" s="126"/>
      <c r="Q57" s="126"/>
      <c r="R57" s="126"/>
    </row>
    <row r="58" spans="1:18" s="109" customFormat="1" x14ac:dyDescent="0.25">
      <c r="A58" s="125">
        <v>44804</v>
      </c>
      <c r="B58" s="122">
        <v>507289.2557633</v>
      </c>
      <c r="C58" s="124">
        <f t="shared" si="8"/>
        <v>9121036.5172088668</v>
      </c>
      <c r="D58" s="123"/>
      <c r="E58" s="122">
        <f t="shared" si="9"/>
        <v>0</v>
      </c>
      <c r="F58" s="122">
        <f t="shared" si="5"/>
        <v>-106530.743710293</v>
      </c>
      <c r="G58" s="122">
        <f t="shared" si="10"/>
        <v>-1811364.8440654618</v>
      </c>
      <c r="H58" s="121">
        <f t="shared" si="7"/>
        <v>7309671.6731434055</v>
      </c>
      <c r="I58" s="120">
        <f t="shared" si="11"/>
        <v>6100885.5418216512</v>
      </c>
      <c r="J58" s="119">
        <f t="shared" si="12"/>
        <v>0</v>
      </c>
      <c r="K58" s="119">
        <f t="shared" si="13"/>
        <v>6100885.5418216512</v>
      </c>
      <c r="L58" s="119">
        <f t="shared" si="14"/>
        <v>-1177133.1392341463</v>
      </c>
      <c r="M58" s="119">
        <f t="shared" si="15"/>
        <v>4923752.4025875051</v>
      </c>
      <c r="N58" s="127"/>
      <c r="O58" s="126"/>
      <c r="P58" s="126"/>
      <c r="Q58" s="126"/>
      <c r="R58" s="126"/>
    </row>
    <row r="59" spans="1:18" s="109" customFormat="1" x14ac:dyDescent="0.25">
      <c r="A59" s="125">
        <v>44834</v>
      </c>
      <c r="B59" s="122">
        <v>507289.2557633</v>
      </c>
      <c r="C59" s="124">
        <f t="shared" si="8"/>
        <v>9628325.7729721665</v>
      </c>
      <c r="D59" s="123"/>
      <c r="E59" s="122">
        <f t="shared" si="9"/>
        <v>0</v>
      </c>
      <c r="F59" s="122">
        <f t="shared" ref="F59:F90" si="16">-(B59*$F$9)+(D59*$F$9)</f>
        <v>-106530.743710293</v>
      </c>
      <c r="G59" s="122">
        <f t="shared" si="10"/>
        <v>-1917895.5877757547</v>
      </c>
      <c r="H59" s="121">
        <f t="shared" ref="H59:H90" si="17">C59+E59+G59</f>
        <v>7710430.1851964118</v>
      </c>
      <c r="I59" s="120">
        <f t="shared" si="11"/>
        <v>6596137.8338090358</v>
      </c>
      <c r="J59" s="119">
        <f t="shared" si="12"/>
        <v>0</v>
      </c>
      <c r="K59" s="119">
        <f t="shared" si="13"/>
        <v>6596137.8338090358</v>
      </c>
      <c r="L59" s="119">
        <f t="shared" si="14"/>
        <v>-1281136.1205514967</v>
      </c>
      <c r="M59" s="119">
        <f t="shared" si="15"/>
        <v>5315001.7132575391</v>
      </c>
      <c r="N59" s="127"/>
      <c r="O59" s="126"/>
      <c r="P59" s="126"/>
      <c r="Q59" s="126"/>
      <c r="R59" s="126"/>
    </row>
    <row r="60" spans="1:18" s="109" customFormat="1" x14ac:dyDescent="0.25">
      <c r="A60" s="125">
        <v>44865</v>
      </c>
      <c r="B60" s="122">
        <v>507289.2557633</v>
      </c>
      <c r="C60" s="124">
        <f t="shared" ref="C60:C91" si="18">+B60+C59</f>
        <v>10135615.028735466</v>
      </c>
      <c r="D60" s="123"/>
      <c r="E60" s="122">
        <f t="shared" si="9"/>
        <v>0</v>
      </c>
      <c r="F60" s="122">
        <f t="shared" si="16"/>
        <v>-106530.743710293</v>
      </c>
      <c r="G60" s="122">
        <f t="shared" si="10"/>
        <v>-2024426.3314860477</v>
      </c>
      <c r="H60" s="121">
        <f t="shared" si="17"/>
        <v>8111188.6972494181</v>
      </c>
      <c r="I60" s="120">
        <f t="shared" si="11"/>
        <v>7097783.4870723337</v>
      </c>
      <c r="J60" s="119">
        <f t="shared" si="12"/>
        <v>0</v>
      </c>
      <c r="K60" s="119">
        <f t="shared" si="13"/>
        <v>7097783.4870723337</v>
      </c>
      <c r="L60" s="119">
        <f t="shared" si="14"/>
        <v>-1386481.7077367899</v>
      </c>
      <c r="M60" s="119">
        <f t="shared" si="15"/>
        <v>5711301.7793355435</v>
      </c>
      <c r="N60" s="127"/>
      <c r="O60" s="126"/>
      <c r="P60" s="126"/>
      <c r="Q60" s="126"/>
      <c r="R60" s="126"/>
    </row>
    <row r="61" spans="1:18" s="109" customFormat="1" x14ac:dyDescent="0.25">
      <c r="A61" s="125">
        <v>44895</v>
      </c>
      <c r="B61" s="122">
        <v>507289.2557633</v>
      </c>
      <c r="C61" s="124">
        <f t="shared" si="18"/>
        <v>10642904.284498766</v>
      </c>
      <c r="D61" s="123"/>
      <c r="E61" s="122">
        <f t="shared" si="9"/>
        <v>0</v>
      </c>
      <c r="F61" s="122">
        <f t="shared" si="16"/>
        <v>-106530.743710293</v>
      </c>
      <c r="G61" s="122">
        <f t="shared" si="10"/>
        <v>-2130957.0751963407</v>
      </c>
      <c r="H61" s="121">
        <f t="shared" si="17"/>
        <v>8511947.2093024254</v>
      </c>
      <c r="I61" s="120">
        <f t="shared" si="11"/>
        <v>7600960.2620023005</v>
      </c>
      <c r="J61" s="119">
        <f t="shared" si="12"/>
        <v>0</v>
      </c>
      <c r="K61" s="119">
        <f t="shared" si="13"/>
        <v>7600960.2620023005</v>
      </c>
      <c r="L61" s="119">
        <f t="shared" si="14"/>
        <v>-1492148.8304720828</v>
      </c>
      <c r="M61" s="119">
        <f t="shared" si="15"/>
        <v>6108811.4315302176</v>
      </c>
      <c r="N61" s="127"/>
      <c r="O61" s="126"/>
      <c r="P61" s="126"/>
      <c r="Q61" s="126"/>
      <c r="R61" s="126"/>
    </row>
    <row r="62" spans="1:18" s="109" customFormat="1" x14ac:dyDescent="0.25">
      <c r="A62" s="125">
        <v>44926</v>
      </c>
      <c r="B62" s="122">
        <v>507289.2557633</v>
      </c>
      <c r="C62" s="124">
        <f t="shared" si="18"/>
        <v>11150193.540262066</v>
      </c>
      <c r="D62" s="123"/>
      <c r="E62" s="122">
        <f t="shared" si="9"/>
        <v>0</v>
      </c>
      <c r="F62" s="122">
        <f t="shared" si="16"/>
        <v>-106530.743710293</v>
      </c>
      <c r="G62" s="122">
        <f t="shared" si="10"/>
        <v>-2237487.8189066336</v>
      </c>
      <c r="H62" s="121">
        <f t="shared" si="17"/>
        <v>8912705.7213554326</v>
      </c>
      <c r="I62" s="120">
        <f t="shared" si="11"/>
        <v>8106458.0056822672</v>
      </c>
      <c r="J62" s="119">
        <f t="shared" si="12"/>
        <v>0</v>
      </c>
      <c r="K62" s="119">
        <f t="shared" si="13"/>
        <v>8106458.0056822672</v>
      </c>
      <c r="L62" s="119">
        <f t="shared" si="14"/>
        <v>-1598303.3566448756</v>
      </c>
      <c r="M62" s="119">
        <f t="shared" si="15"/>
        <v>6508154.6490373919</v>
      </c>
      <c r="N62" s="127"/>
      <c r="O62" s="126"/>
      <c r="P62" s="126"/>
      <c r="Q62" s="126"/>
      <c r="R62" s="126"/>
    </row>
    <row r="63" spans="1:18" s="109" customFormat="1" x14ac:dyDescent="0.25">
      <c r="A63" s="118">
        <v>44957</v>
      </c>
      <c r="B63" s="114"/>
      <c r="C63" s="117">
        <f t="shared" si="18"/>
        <v>11150193.540262066</v>
      </c>
      <c r="D63" s="116">
        <f t="shared" ref="D63:D110" si="19">+C63/48</f>
        <v>232295.69875545971</v>
      </c>
      <c r="E63" s="114">
        <f t="shared" si="9"/>
        <v>-232295.69875545971</v>
      </c>
      <c r="F63" s="114">
        <f t="shared" si="16"/>
        <v>48782.096738646542</v>
      </c>
      <c r="G63" s="114">
        <f t="shared" si="10"/>
        <v>-2188705.7221679869</v>
      </c>
      <c r="H63" s="115">
        <f t="shared" si="17"/>
        <v>8729192.1193386186</v>
      </c>
      <c r="I63" s="114">
        <f t="shared" si="11"/>
        <v>8592610.2091220953</v>
      </c>
      <c r="J63" s="114">
        <f t="shared" si="12"/>
        <v>-9678.9874481441548</v>
      </c>
      <c r="K63" s="114">
        <f t="shared" si="13"/>
        <v>8582931.2216739506</v>
      </c>
      <c r="L63" s="114">
        <f t="shared" si="14"/>
        <v>-1698362.7320031293</v>
      </c>
      <c r="M63" s="114">
        <f t="shared" si="15"/>
        <v>6884568.4896708215</v>
      </c>
      <c r="N63" s="127"/>
      <c r="O63" s="126"/>
      <c r="P63" s="126"/>
      <c r="Q63" s="126"/>
      <c r="R63" s="126"/>
    </row>
    <row r="64" spans="1:18" s="109" customFormat="1" x14ac:dyDescent="0.25">
      <c r="A64" s="118">
        <v>44985</v>
      </c>
      <c r="B64" s="114"/>
      <c r="C64" s="117">
        <f t="shared" si="18"/>
        <v>11150193.540262066</v>
      </c>
      <c r="D64" s="116">
        <f t="shared" si="19"/>
        <v>232295.69875545971</v>
      </c>
      <c r="E64" s="114">
        <f t="shared" si="9"/>
        <v>-464591.39751091943</v>
      </c>
      <c r="F64" s="114">
        <f t="shared" si="16"/>
        <v>48782.096738646542</v>
      </c>
      <c r="G64" s="114">
        <f t="shared" si="10"/>
        <v>-2139923.6254293402</v>
      </c>
      <c r="H64" s="115">
        <f t="shared" si="17"/>
        <v>8545678.5173218064</v>
      </c>
      <c r="I64" s="114">
        <f t="shared" si="11"/>
        <v>9036488.3079149835</v>
      </c>
      <c r="J64" s="114">
        <f t="shared" si="12"/>
        <v>-38715.949792576619</v>
      </c>
      <c r="K64" s="114">
        <f t="shared" si="13"/>
        <v>8997772.3581224065</v>
      </c>
      <c r="L64" s="114">
        <f t="shared" si="14"/>
        <v>-1785479.3706573052</v>
      </c>
      <c r="M64" s="114">
        <f t="shared" si="15"/>
        <v>7212292.9874651013</v>
      </c>
      <c r="N64" s="127"/>
      <c r="O64" s="126"/>
      <c r="P64" s="126"/>
      <c r="Q64" s="126"/>
      <c r="R64" s="126"/>
    </row>
    <row r="65" spans="1:18" s="109" customFormat="1" x14ac:dyDescent="0.25">
      <c r="A65" s="118">
        <v>45016</v>
      </c>
      <c r="B65" s="114"/>
      <c r="C65" s="117">
        <f t="shared" si="18"/>
        <v>11150193.540262066</v>
      </c>
      <c r="D65" s="116">
        <f t="shared" si="19"/>
        <v>232295.69875545971</v>
      </c>
      <c r="E65" s="114">
        <f t="shared" si="9"/>
        <v>-696887.09626637911</v>
      </c>
      <c r="F65" s="114">
        <f t="shared" si="16"/>
        <v>48782.096738646542</v>
      </c>
      <c r="G65" s="114">
        <f t="shared" si="10"/>
        <v>-2091141.5286906937</v>
      </c>
      <c r="H65" s="115">
        <f t="shared" si="17"/>
        <v>8362164.9153049923</v>
      </c>
      <c r="I65" s="114">
        <f t="shared" si="11"/>
        <v>9438092.3020609301</v>
      </c>
      <c r="J65" s="114">
        <f t="shared" si="12"/>
        <v>-87110.887033297389</v>
      </c>
      <c r="K65" s="114">
        <f t="shared" si="13"/>
        <v>9350981.4150276333</v>
      </c>
      <c r="L65" s="114">
        <f t="shared" si="14"/>
        <v>-1859653.2726074022</v>
      </c>
      <c r="M65" s="114">
        <f t="shared" si="15"/>
        <v>7491328.1424202314</v>
      </c>
      <c r="N65" s="127"/>
      <c r="O65" s="126"/>
      <c r="P65" s="126"/>
      <c r="Q65" s="126"/>
      <c r="R65" s="126"/>
    </row>
    <row r="66" spans="1:18" s="109" customFormat="1" x14ac:dyDescent="0.25">
      <c r="A66" s="118">
        <v>45046</v>
      </c>
      <c r="B66" s="114"/>
      <c r="C66" s="117">
        <f t="shared" si="18"/>
        <v>11150193.540262066</v>
      </c>
      <c r="D66" s="116">
        <f t="shared" si="19"/>
        <v>232295.69875545971</v>
      </c>
      <c r="E66" s="114">
        <f t="shared" si="9"/>
        <v>-929182.79502183886</v>
      </c>
      <c r="F66" s="114">
        <f t="shared" si="16"/>
        <v>48782.096738646542</v>
      </c>
      <c r="G66" s="114">
        <f t="shared" si="10"/>
        <v>-2042359.4319520472</v>
      </c>
      <c r="H66" s="115">
        <f t="shared" si="17"/>
        <v>8178651.3132881792</v>
      </c>
      <c r="I66" s="114">
        <f t="shared" si="11"/>
        <v>9797422.191559935</v>
      </c>
      <c r="J66" s="114">
        <f t="shared" si="12"/>
        <v>-154863.79917030648</v>
      </c>
      <c r="K66" s="114">
        <f t="shared" si="13"/>
        <v>9642558.392389629</v>
      </c>
      <c r="L66" s="114">
        <f t="shared" si="14"/>
        <v>-1920884.4378534211</v>
      </c>
      <c r="M66" s="114">
        <f t="shared" si="15"/>
        <v>7721673.954536208</v>
      </c>
      <c r="N66" s="127"/>
      <c r="O66" s="126"/>
      <c r="P66" s="126"/>
      <c r="Q66" s="126"/>
      <c r="R66" s="126"/>
    </row>
    <row r="67" spans="1:18" s="109" customFormat="1" x14ac:dyDescent="0.25">
      <c r="A67" s="118">
        <v>45077</v>
      </c>
      <c r="B67" s="114"/>
      <c r="C67" s="117">
        <f t="shared" si="18"/>
        <v>11150193.540262066</v>
      </c>
      <c r="D67" s="116">
        <f t="shared" si="19"/>
        <v>232295.69875545971</v>
      </c>
      <c r="E67" s="114">
        <f t="shared" si="9"/>
        <v>-1161478.4937772986</v>
      </c>
      <c r="F67" s="114">
        <f t="shared" si="16"/>
        <v>48782.096738646542</v>
      </c>
      <c r="G67" s="114">
        <f t="shared" si="10"/>
        <v>-1993577.3352134007</v>
      </c>
      <c r="H67" s="115">
        <f t="shared" si="17"/>
        <v>7995137.7112713661</v>
      </c>
      <c r="I67" s="114">
        <f t="shared" si="11"/>
        <v>10114477.976411998</v>
      </c>
      <c r="J67" s="114">
        <f t="shared" si="12"/>
        <v>-241974.68620360387</v>
      </c>
      <c r="K67" s="114">
        <f t="shared" si="13"/>
        <v>9872503.2902083937</v>
      </c>
      <c r="L67" s="114">
        <f t="shared" si="14"/>
        <v>-1969172.8663953617</v>
      </c>
      <c r="M67" s="114">
        <f t="shared" si="15"/>
        <v>7903330.423813032</v>
      </c>
      <c r="N67" s="127"/>
      <c r="O67" s="126"/>
      <c r="P67" s="126"/>
      <c r="Q67" s="126"/>
      <c r="R67" s="126"/>
    </row>
    <row r="68" spans="1:18" s="109" customFormat="1" x14ac:dyDescent="0.25">
      <c r="A68" s="118">
        <v>45107</v>
      </c>
      <c r="B68" s="114"/>
      <c r="C68" s="117">
        <f t="shared" si="18"/>
        <v>11150193.540262066</v>
      </c>
      <c r="D68" s="116">
        <f t="shared" si="19"/>
        <v>232295.69875545971</v>
      </c>
      <c r="E68" s="114">
        <f t="shared" ref="E68:E99" si="20">E67-D68</f>
        <v>-1393774.1925327582</v>
      </c>
      <c r="F68" s="114">
        <f t="shared" si="16"/>
        <v>48782.096738646542</v>
      </c>
      <c r="G68" s="114">
        <f t="shared" si="10"/>
        <v>-1944795.2384747542</v>
      </c>
      <c r="H68" s="115">
        <f t="shared" si="17"/>
        <v>7811624.1092545521</v>
      </c>
      <c r="I68" s="114">
        <f t="shared" si="11"/>
        <v>10389259.656617118</v>
      </c>
      <c r="J68" s="114">
        <f t="shared" si="12"/>
        <v>-348443.54813318962</v>
      </c>
      <c r="K68" s="114">
        <f t="shared" si="13"/>
        <v>10040816.108483929</v>
      </c>
      <c r="L68" s="114">
        <f t="shared" si="14"/>
        <v>-2004518.5582332246</v>
      </c>
      <c r="M68" s="114">
        <f t="shared" si="15"/>
        <v>8036297.5502507044</v>
      </c>
      <c r="N68" s="127"/>
      <c r="O68" s="126"/>
      <c r="P68" s="126"/>
      <c r="Q68" s="126"/>
      <c r="R68" s="126"/>
    </row>
    <row r="69" spans="1:18" s="109" customFormat="1" x14ac:dyDescent="0.25">
      <c r="A69" s="118">
        <v>45138</v>
      </c>
      <c r="B69" s="114"/>
      <c r="C69" s="117">
        <f t="shared" si="18"/>
        <v>11150193.540262066</v>
      </c>
      <c r="D69" s="116">
        <f t="shared" si="19"/>
        <v>232295.69875545971</v>
      </c>
      <c r="E69" s="114">
        <f t="shared" si="20"/>
        <v>-1626069.8912882179</v>
      </c>
      <c r="F69" s="114">
        <f t="shared" si="16"/>
        <v>48782.096738646542</v>
      </c>
      <c r="G69" s="114">
        <f t="shared" ref="G69:G100" si="21">G68+F69</f>
        <v>-1896013.1417361076</v>
      </c>
      <c r="H69" s="115">
        <f t="shared" si="17"/>
        <v>7628110.5072377408</v>
      </c>
      <c r="I69" s="114">
        <f t="shared" si="11"/>
        <v>10621767.232175298</v>
      </c>
      <c r="J69" s="114">
        <f t="shared" si="12"/>
        <v>-474270.38495906355</v>
      </c>
      <c r="K69" s="114">
        <f t="shared" si="13"/>
        <v>10147496.847216234</v>
      </c>
      <c r="L69" s="114">
        <f t="shared" si="14"/>
        <v>-2026921.5133670082</v>
      </c>
      <c r="M69" s="114">
        <f t="shared" si="15"/>
        <v>8120575.3338492252</v>
      </c>
      <c r="N69" s="127"/>
      <c r="O69" s="126"/>
      <c r="P69" s="126"/>
      <c r="Q69" s="126"/>
      <c r="R69" s="126"/>
    </row>
    <row r="70" spans="1:18" s="109" customFormat="1" x14ac:dyDescent="0.25">
      <c r="A70" s="118">
        <v>45169</v>
      </c>
      <c r="B70" s="114"/>
      <c r="C70" s="117">
        <f t="shared" si="18"/>
        <v>11150193.540262066</v>
      </c>
      <c r="D70" s="116">
        <f t="shared" si="19"/>
        <v>232295.69875545971</v>
      </c>
      <c r="E70" s="114">
        <f t="shared" si="20"/>
        <v>-1858365.5900436775</v>
      </c>
      <c r="F70" s="114">
        <f t="shared" si="16"/>
        <v>48782.096738646542</v>
      </c>
      <c r="G70" s="114">
        <f t="shared" si="21"/>
        <v>-1847231.0449974611</v>
      </c>
      <c r="H70" s="115">
        <f t="shared" si="17"/>
        <v>7444596.9052209277</v>
      </c>
      <c r="I70" s="114">
        <f t="shared" si="11"/>
        <v>10812000.703086535</v>
      </c>
      <c r="J70" s="114">
        <f t="shared" si="12"/>
        <v>-619455.19668122591</v>
      </c>
      <c r="K70" s="114">
        <f t="shared" si="13"/>
        <v>10192545.506405309</v>
      </c>
      <c r="L70" s="114">
        <f t="shared" si="14"/>
        <v>-2036381.7317967142</v>
      </c>
      <c r="M70" s="114">
        <f t="shared" si="15"/>
        <v>8156163.7746085944</v>
      </c>
      <c r="N70" s="127"/>
      <c r="O70" s="126"/>
      <c r="P70" s="126"/>
      <c r="Q70" s="126"/>
      <c r="R70" s="126"/>
    </row>
    <row r="71" spans="1:18" s="109" customFormat="1" x14ac:dyDescent="0.25">
      <c r="A71" s="118">
        <v>45199</v>
      </c>
      <c r="B71" s="114"/>
      <c r="C71" s="117">
        <f t="shared" si="18"/>
        <v>11150193.540262066</v>
      </c>
      <c r="D71" s="116">
        <f t="shared" si="19"/>
        <v>232295.69875545971</v>
      </c>
      <c r="E71" s="114">
        <f t="shared" si="20"/>
        <v>-2090661.2887991371</v>
      </c>
      <c r="F71" s="114">
        <f t="shared" si="16"/>
        <v>48782.096738646542</v>
      </c>
      <c r="G71" s="114">
        <f t="shared" si="21"/>
        <v>-1798448.9482588146</v>
      </c>
      <c r="H71" s="115">
        <f t="shared" si="17"/>
        <v>7261083.3032041145</v>
      </c>
      <c r="I71" s="114">
        <f t="shared" si="11"/>
        <v>10959960.069350829</v>
      </c>
      <c r="J71" s="114">
        <f t="shared" si="12"/>
        <v>-783997.98329967645</v>
      </c>
      <c r="K71" s="114">
        <f t="shared" si="13"/>
        <v>10175962.086051153</v>
      </c>
      <c r="L71" s="114">
        <f t="shared" si="14"/>
        <v>-2032899.2135223413</v>
      </c>
      <c r="M71" s="114">
        <f t="shared" si="15"/>
        <v>8143062.8725288119</v>
      </c>
      <c r="N71" s="127"/>
      <c r="O71" s="126"/>
      <c r="P71" s="126"/>
      <c r="Q71" s="126"/>
      <c r="R71" s="126"/>
    </row>
    <row r="72" spans="1:18" s="109" customFormat="1" x14ac:dyDescent="0.25">
      <c r="A72" s="118">
        <v>45230</v>
      </c>
      <c r="B72" s="114"/>
      <c r="C72" s="117">
        <f t="shared" si="18"/>
        <v>11150193.540262066</v>
      </c>
      <c r="D72" s="116">
        <f t="shared" si="19"/>
        <v>232295.69875545971</v>
      </c>
      <c r="E72" s="114">
        <f t="shared" si="20"/>
        <v>-2322956.9875545967</v>
      </c>
      <c r="F72" s="114">
        <f t="shared" si="16"/>
        <v>48782.096738646542</v>
      </c>
      <c r="G72" s="114">
        <f t="shared" si="21"/>
        <v>-1749666.8515201681</v>
      </c>
      <c r="H72" s="115">
        <f t="shared" si="17"/>
        <v>7077569.7011873014</v>
      </c>
      <c r="I72" s="114">
        <f t="shared" si="11"/>
        <v>11065645.330968184</v>
      </c>
      <c r="J72" s="114">
        <f t="shared" si="12"/>
        <v>-967898.74481441546</v>
      </c>
      <c r="K72" s="114">
        <f t="shared" si="13"/>
        <v>10097746.586153768</v>
      </c>
      <c r="L72" s="114">
        <f t="shared" si="14"/>
        <v>-2016473.9585438904</v>
      </c>
      <c r="M72" s="114">
        <f t="shared" si="15"/>
        <v>8081272.6276098778</v>
      </c>
      <c r="N72" s="127"/>
      <c r="O72" s="126"/>
      <c r="P72" s="126"/>
      <c r="Q72" s="126"/>
      <c r="R72" s="126"/>
    </row>
    <row r="73" spans="1:18" s="109" customFormat="1" x14ac:dyDescent="0.25">
      <c r="A73" s="118">
        <v>45260</v>
      </c>
      <c r="B73" s="114"/>
      <c r="C73" s="117">
        <f t="shared" si="18"/>
        <v>11150193.540262066</v>
      </c>
      <c r="D73" s="116">
        <f t="shared" si="19"/>
        <v>232295.69875545971</v>
      </c>
      <c r="E73" s="114">
        <f t="shared" si="20"/>
        <v>-2555252.6863100566</v>
      </c>
      <c r="F73" s="114">
        <f t="shared" si="16"/>
        <v>48782.096738646542</v>
      </c>
      <c r="G73" s="114">
        <f t="shared" si="21"/>
        <v>-1700884.7547815216</v>
      </c>
      <c r="H73" s="115">
        <f t="shared" si="17"/>
        <v>6894056.0991704874</v>
      </c>
      <c r="I73" s="114">
        <f t="shared" si="11"/>
        <v>11129056.487938596</v>
      </c>
      <c r="J73" s="114">
        <f t="shared" si="12"/>
        <v>-1171157.4812254426</v>
      </c>
      <c r="K73" s="114">
        <f t="shared" si="13"/>
        <v>9957899.0067131538</v>
      </c>
      <c r="L73" s="114">
        <f t="shared" si="14"/>
        <v>-1987105.9668613616</v>
      </c>
      <c r="M73" s="114">
        <f t="shared" si="15"/>
        <v>7970793.0398517922</v>
      </c>
    </row>
    <row r="74" spans="1:18" s="109" customFormat="1" x14ac:dyDescent="0.25">
      <c r="A74" s="118">
        <v>45291</v>
      </c>
      <c r="B74" s="114"/>
      <c r="C74" s="117">
        <f t="shared" si="18"/>
        <v>11150193.540262066</v>
      </c>
      <c r="D74" s="116">
        <f t="shared" si="19"/>
        <v>232295.69875545971</v>
      </c>
      <c r="E74" s="114">
        <f t="shared" si="20"/>
        <v>-2787548.3850655165</v>
      </c>
      <c r="F74" s="114">
        <f t="shared" si="16"/>
        <v>48782.096738646542</v>
      </c>
      <c r="G74" s="114">
        <f t="shared" si="21"/>
        <v>-1652102.6580428751</v>
      </c>
      <c r="H74" s="115">
        <f t="shared" si="17"/>
        <v>6710542.4971536743</v>
      </c>
      <c r="I74" s="114">
        <f t="shared" si="11"/>
        <v>11150193.540262068</v>
      </c>
      <c r="J74" s="114">
        <f t="shared" si="12"/>
        <v>-1393774.1925327582</v>
      </c>
      <c r="K74" s="114">
        <f t="shared" si="13"/>
        <v>9756419.3477293104</v>
      </c>
      <c r="L74" s="114">
        <f t="shared" si="14"/>
        <v>-1944795.2384747539</v>
      </c>
      <c r="M74" s="114">
        <f t="shared" si="15"/>
        <v>7811624.1092545567</v>
      </c>
    </row>
    <row r="75" spans="1:18" s="109" customFormat="1" x14ac:dyDescent="0.25">
      <c r="A75" s="125">
        <v>45322</v>
      </c>
      <c r="B75" s="122"/>
      <c r="C75" s="124">
        <f t="shared" si="18"/>
        <v>11150193.540262066</v>
      </c>
      <c r="D75" s="123">
        <f t="shared" si="19"/>
        <v>232295.69875545971</v>
      </c>
      <c r="E75" s="122">
        <f t="shared" si="20"/>
        <v>-3019844.0838209763</v>
      </c>
      <c r="F75" s="122">
        <f t="shared" si="16"/>
        <v>48782.096738646542</v>
      </c>
      <c r="G75" s="122">
        <f t="shared" si="21"/>
        <v>-1603320.5613042286</v>
      </c>
      <c r="H75" s="121">
        <f t="shared" si="17"/>
        <v>6527028.8951368611</v>
      </c>
      <c r="I75" s="120">
        <f t="shared" si="11"/>
        <v>11150193.540262068</v>
      </c>
      <c r="J75" s="119">
        <f t="shared" si="12"/>
        <v>-1626069.8912882179</v>
      </c>
      <c r="K75" s="119">
        <f t="shared" si="13"/>
        <v>9524123.6489738505</v>
      </c>
      <c r="L75" s="119">
        <f t="shared" si="14"/>
        <v>-1896013.1417361076</v>
      </c>
      <c r="M75" s="119">
        <f t="shared" si="15"/>
        <v>7628110.5072377427</v>
      </c>
    </row>
    <row r="76" spans="1:18" s="109" customFormat="1" x14ac:dyDescent="0.25">
      <c r="A76" s="125">
        <v>45351</v>
      </c>
      <c r="B76" s="122"/>
      <c r="C76" s="124">
        <f t="shared" si="18"/>
        <v>11150193.540262066</v>
      </c>
      <c r="D76" s="123">
        <f t="shared" si="19"/>
        <v>232295.69875545971</v>
      </c>
      <c r="E76" s="122">
        <f t="shared" si="20"/>
        <v>-3252139.7825764362</v>
      </c>
      <c r="F76" s="122">
        <f t="shared" si="16"/>
        <v>48782.096738646542</v>
      </c>
      <c r="G76" s="122">
        <f t="shared" si="21"/>
        <v>-1554538.4645655821</v>
      </c>
      <c r="H76" s="121">
        <f t="shared" si="17"/>
        <v>6343515.2931200471</v>
      </c>
      <c r="I76" s="120">
        <f t="shared" si="11"/>
        <v>11150193.540262068</v>
      </c>
      <c r="J76" s="119">
        <f t="shared" si="12"/>
        <v>-1858365.5900436777</v>
      </c>
      <c r="K76" s="119">
        <f t="shared" si="13"/>
        <v>9291827.9502183907</v>
      </c>
      <c r="L76" s="119">
        <f t="shared" si="14"/>
        <v>-1847231.0449974611</v>
      </c>
      <c r="M76" s="119">
        <f t="shared" si="15"/>
        <v>7444596.9052209295</v>
      </c>
    </row>
    <row r="77" spans="1:18" s="109" customFormat="1" x14ac:dyDescent="0.25">
      <c r="A77" s="125">
        <v>45382</v>
      </c>
      <c r="B77" s="122"/>
      <c r="C77" s="124">
        <f t="shared" si="18"/>
        <v>11150193.540262066</v>
      </c>
      <c r="D77" s="123">
        <f t="shared" si="19"/>
        <v>232295.69875545971</v>
      </c>
      <c r="E77" s="122">
        <f t="shared" si="20"/>
        <v>-3484435.481331896</v>
      </c>
      <c r="F77" s="122">
        <f t="shared" si="16"/>
        <v>48782.096738646542</v>
      </c>
      <c r="G77" s="122">
        <f t="shared" si="21"/>
        <v>-1505756.3678269356</v>
      </c>
      <c r="H77" s="121">
        <f t="shared" si="17"/>
        <v>6160001.691103234</v>
      </c>
      <c r="I77" s="120">
        <f t="shared" si="11"/>
        <v>11150193.540262068</v>
      </c>
      <c r="J77" s="119">
        <f t="shared" si="12"/>
        <v>-2090661.2887991369</v>
      </c>
      <c r="K77" s="119">
        <f t="shared" si="13"/>
        <v>9059532.2514629308</v>
      </c>
      <c r="L77" s="119">
        <f t="shared" si="14"/>
        <v>-1798448.9482588146</v>
      </c>
      <c r="M77" s="119">
        <f t="shared" si="15"/>
        <v>7261083.3032041164</v>
      </c>
    </row>
    <row r="78" spans="1:18" s="109" customFormat="1" x14ac:dyDescent="0.25">
      <c r="A78" s="125">
        <v>45412</v>
      </c>
      <c r="B78" s="122"/>
      <c r="C78" s="124">
        <f t="shared" si="18"/>
        <v>11150193.540262066</v>
      </c>
      <c r="D78" s="123">
        <f t="shared" si="19"/>
        <v>232295.69875545971</v>
      </c>
      <c r="E78" s="122">
        <f t="shared" si="20"/>
        <v>-3716731.1800873559</v>
      </c>
      <c r="F78" s="122">
        <f t="shared" si="16"/>
        <v>48782.096738646542</v>
      </c>
      <c r="G78" s="122">
        <f t="shared" si="21"/>
        <v>-1456974.2710882891</v>
      </c>
      <c r="H78" s="121">
        <f t="shared" si="17"/>
        <v>5976488.0890864208</v>
      </c>
      <c r="I78" s="120">
        <f t="shared" si="11"/>
        <v>11150193.540262068</v>
      </c>
      <c r="J78" s="119">
        <f t="shared" si="12"/>
        <v>-2322956.9875545972</v>
      </c>
      <c r="K78" s="119">
        <f t="shared" si="13"/>
        <v>8827236.552707471</v>
      </c>
      <c r="L78" s="119">
        <f t="shared" si="14"/>
        <v>-1749666.8515201679</v>
      </c>
      <c r="M78" s="119">
        <f t="shared" si="15"/>
        <v>7077569.7011873033</v>
      </c>
    </row>
    <row r="79" spans="1:18" s="109" customFormat="1" x14ac:dyDescent="0.25">
      <c r="A79" s="125">
        <v>45443</v>
      </c>
      <c r="B79" s="122"/>
      <c r="C79" s="124">
        <f t="shared" si="18"/>
        <v>11150193.540262066</v>
      </c>
      <c r="D79" s="123">
        <f t="shared" si="19"/>
        <v>232295.69875545971</v>
      </c>
      <c r="E79" s="122">
        <f t="shared" si="20"/>
        <v>-3949026.8788428158</v>
      </c>
      <c r="F79" s="122">
        <f t="shared" si="16"/>
        <v>48782.096738646542</v>
      </c>
      <c r="G79" s="122">
        <f t="shared" si="21"/>
        <v>-1408192.1743496426</v>
      </c>
      <c r="H79" s="121">
        <f t="shared" si="17"/>
        <v>5792974.4870696077</v>
      </c>
      <c r="I79" s="120">
        <f t="shared" si="11"/>
        <v>11150193.540262068</v>
      </c>
      <c r="J79" s="119">
        <f t="shared" si="12"/>
        <v>-2555252.6863100561</v>
      </c>
      <c r="K79" s="119">
        <f t="shared" si="13"/>
        <v>8594940.8539520111</v>
      </c>
      <c r="L79" s="119">
        <f t="shared" si="14"/>
        <v>-1700884.7547815219</v>
      </c>
      <c r="M79" s="119">
        <f t="shared" si="15"/>
        <v>6894056.0991704892</v>
      </c>
    </row>
    <row r="80" spans="1:18" s="109" customFormat="1" x14ac:dyDescent="0.25">
      <c r="A80" s="125">
        <v>45473</v>
      </c>
      <c r="B80" s="122"/>
      <c r="C80" s="124">
        <f t="shared" si="18"/>
        <v>11150193.540262066</v>
      </c>
      <c r="D80" s="123">
        <f t="shared" si="19"/>
        <v>232295.69875545971</v>
      </c>
      <c r="E80" s="122">
        <f t="shared" si="20"/>
        <v>-4181322.5775982756</v>
      </c>
      <c r="F80" s="122">
        <f t="shared" si="16"/>
        <v>48782.096738646542</v>
      </c>
      <c r="G80" s="122">
        <f t="shared" si="21"/>
        <v>-1359410.0776109961</v>
      </c>
      <c r="H80" s="121">
        <f t="shared" si="17"/>
        <v>5609460.8850527946</v>
      </c>
      <c r="I80" s="120">
        <f t="shared" si="11"/>
        <v>11150193.540262068</v>
      </c>
      <c r="J80" s="119">
        <f t="shared" si="12"/>
        <v>-2787548.3850655165</v>
      </c>
      <c r="K80" s="119">
        <f t="shared" si="13"/>
        <v>8362645.1551965512</v>
      </c>
      <c r="L80" s="119">
        <f t="shared" si="14"/>
        <v>-1652102.6580428751</v>
      </c>
      <c r="M80" s="119">
        <f t="shared" si="15"/>
        <v>6710542.4971536761</v>
      </c>
    </row>
    <row r="81" spans="1:13" s="109" customFormat="1" x14ac:dyDescent="0.25">
      <c r="A81" s="125">
        <v>45504</v>
      </c>
      <c r="B81" s="122"/>
      <c r="C81" s="124">
        <f t="shared" si="18"/>
        <v>11150193.540262066</v>
      </c>
      <c r="D81" s="123">
        <f t="shared" si="19"/>
        <v>232295.69875545971</v>
      </c>
      <c r="E81" s="122">
        <f t="shared" si="20"/>
        <v>-4413618.2763537355</v>
      </c>
      <c r="F81" s="122">
        <f t="shared" si="16"/>
        <v>48782.096738646542</v>
      </c>
      <c r="G81" s="122">
        <f t="shared" si="21"/>
        <v>-1310627.9808723496</v>
      </c>
      <c r="H81" s="121">
        <f t="shared" si="17"/>
        <v>5425947.2830359805</v>
      </c>
      <c r="I81" s="120">
        <f t="shared" si="11"/>
        <v>11150193.540262068</v>
      </c>
      <c r="J81" s="119">
        <f t="shared" si="12"/>
        <v>-3019844.0838209763</v>
      </c>
      <c r="K81" s="119">
        <f t="shared" si="13"/>
        <v>8130349.4564410914</v>
      </c>
      <c r="L81" s="119">
        <f t="shared" si="14"/>
        <v>-1603320.5613042286</v>
      </c>
      <c r="M81" s="119">
        <f t="shared" si="15"/>
        <v>6527028.895136863</v>
      </c>
    </row>
    <row r="82" spans="1:13" s="109" customFormat="1" x14ac:dyDescent="0.25">
      <c r="A82" s="125">
        <v>45535</v>
      </c>
      <c r="B82" s="122"/>
      <c r="C82" s="124">
        <f t="shared" si="18"/>
        <v>11150193.540262066</v>
      </c>
      <c r="D82" s="123">
        <f t="shared" si="19"/>
        <v>232295.69875545971</v>
      </c>
      <c r="E82" s="122">
        <f t="shared" si="20"/>
        <v>-4645913.9751091953</v>
      </c>
      <c r="F82" s="122">
        <f t="shared" si="16"/>
        <v>48782.096738646542</v>
      </c>
      <c r="G82" s="122">
        <f t="shared" si="21"/>
        <v>-1261845.8841337031</v>
      </c>
      <c r="H82" s="121">
        <f t="shared" si="17"/>
        <v>5242433.6810191674</v>
      </c>
      <c r="I82" s="120">
        <f t="shared" si="11"/>
        <v>11150193.540262068</v>
      </c>
      <c r="J82" s="119">
        <f t="shared" si="12"/>
        <v>-3252139.7825764362</v>
      </c>
      <c r="K82" s="119">
        <f t="shared" si="13"/>
        <v>7898053.7576856315</v>
      </c>
      <c r="L82" s="119">
        <f t="shared" si="14"/>
        <v>-1554538.4645655823</v>
      </c>
      <c r="M82" s="119">
        <f t="shared" si="15"/>
        <v>6343515.2931200489</v>
      </c>
    </row>
    <row r="83" spans="1:13" s="109" customFormat="1" x14ac:dyDescent="0.25">
      <c r="A83" s="125">
        <v>45565</v>
      </c>
      <c r="B83" s="122"/>
      <c r="C83" s="124">
        <f t="shared" si="18"/>
        <v>11150193.540262066</v>
      </c>
      <c r="D83" s="123">
        <f t="shared" si="19"/>
        <v>232295.69875545971</v>
      </c>
      <c r="E83" s="122">
        <f t="shared" si="20"/>
        <v>-4878209.6738646552</v>
      </c>
      <c r="F83" s="122">
        <f t="shared" si="16"/>
        <v>48782.096738646542</v>
      </c>
      <c r="G83" s="122">
        <f t="shared" si="21"/>
        <v>-1213063.7873950566</v>
      </c>
      <c r="H83" s="121">
        <f t="shared" si="17"/>
        <v>5058920.0790023543</v>
      </c>
      <c r="I83" s="120">
        <f t="shared" si="11"/>
        <v>11150193.540262068</v>
      </c>
      <c r="J83" s="119">
        <f t="shared" si="12"/>
        <v>-3484435.481331896</v>
      </c>
      <c r="K83" s="119">
        <f t="shared" si="13"/>
        <v>7665758.0589301717</v>
      </c>
      <c r="L83" s="119">
        <f t="shared" si="14"/>
        <v>-1505756.3678269356</v>
      </c>
      <c r="M83" s="119">
        <f t="shared" si="15"/>
        <v>6160001.6911032358</v>
      </c>
    </row>
    <row r="84" spans="1:13" s="109" customFormat="1" x14ac:dyDescent="0.25">
      <c r="A84" s="125">
        <v>45596</v>
      </c>
      <c r="B84" s="122"/>
      <c r="C84" s="124">
        <f t="shared" si="18"/>
        <v>11150193.540262066</v>
      </c>
      <c r="D84" s="123">
        <f t="shared" si="19"/>
        <v>232295.69875545971</v>
      </c>
      <c r="E84" s="122">
        <f t="shared" si="20"/>
        <v>-5110505.3726201151</v>
      </c>
      <c r="F84" s="122">
        <f t="shared" si="16"/>
        <v>48782.096738646542</v>
      </c>
      <c r="G84" s="122">
        <f t="shared" si="21"/>
        <v>-1164281.6906564101</v>
      </c>
      <c r="H84" s="121">
        <f t="shared" si="17"/>
        <v>4875406.4769855402</v>
      </c>
      <c r="I84" s="120">
        <f t="shared" si="11"/>
        <v>11150193.540262068</v>
      </c>
      <c r="J84" s="119">
        <f t="shared" si="12"/>
        <v>-3716731.1800873559</v>
      </c>
      <c r="K84" s="119">
        <f t="shared" si="13"/>
        <v>7433462.3601747118</v>
      </c>
      <c r="L84" s="119">
        <f t="shared" si="14"/>
        <v>-1456974.2710882891</v>
      </c>
      <c r="M84" s="119">
        <f t="shared" si="15"/>
        <v>5976488.0890864227</v>
      </c>
    </row>
    <row r="85" spans="1:13" s="109" customFormat="1" x14ac:dyDescent="0.25">
      <c r="A85" s="125">
        <v>45626</v>
      </c>
      <c r="B85" s="122"/>
      <c r="C85" s="124">
        <f t="shared" si="18"/>
        <v>11150193.540262066</v>
      </c>
      <c r="D85" s="123">
        <f t="shared" si="19"/>
        <v>232295.69875545971</v>
      </c>
      <c r="E85" s="122">
        <f t="shared" si="20"/>
        <v>-5342801.0713755749</v>
      </c>
      <c r="F85" s="122">
        <f t="shared" si="16"/>
        <v>48782.096738646542</v>
      </c>
      <c r="G85" s="122">
        <f t="shared" si="21"/>
        <v>-1115499.5939177636</v>
      </c>
      <c r="H85" s="121">
        <f t="shared" si="17"/>
        <v>4691892.8749687271</v>
      </c>
      <c r="I85" s="120">
        <f t="shared" si="11"/>
        <v>11150193.540262068</v>
      </c>
      <c r="J85" s="119">
        <f t="shared" si="12"/>
        <v>-3949026.8788428153</v>
      </c>
      <c r="K85" s="119">
        <f t="shared" si="13"/>
        <v>7201166.6614192519</v>
      </c>
      <c r="L85" s="119">
        <f t="shared" si="14"/>
        <v>-1408192.1743496424</v>
      </c>
      <c r="M85" s="119">
        <f t="shared" si="15"/>
        <v>5792974.4870696096</v>
      </c>
    </row>
    <row r="86" spans="1:13" s="109" customFormat="1" x14ac:dyDescent="0.25">
      <c r="A86" s="125">
        <v>45657</v>
      </c>
      <c r="B86" s="122"/>
      <c r="C86" s="124">
        <f t="shared" si="18"/>
        <v>11150193.540262066</v>
      </c>
      <c r="D86" s="123">
        <f t="shared" si="19"/>
        <v>232295.69875545971</v>
      </c>
      <c r="E86" s="122">
        <f t="shared" si="20"/>
        <v>-5575096.7701310348</v>
      </c>
      <c r="F86" s="122">
        <f t="shared" si="16"/>
        <v>48782.096738646542</v>
      </c>
      <c r="G86" s="122">
        <f t="shared" si="21"/>
        <v>-1066717.4971791171</v>
      </c>
      <c r="H86" s="121">
        <f t="shared" si="17"/>
        <v>4508379.272951914</v>
      </c>
      <c r="I86" s="120">
        <f t="shared" si="11"/>
        <v>11150193.540262068</v>
      </c>
      <c r="J86" s="119">
        <f t="shared" si="12"/>
        <v>-4181322.5775982752</v>
      </c>
      <c r="K86" s="119">
        <f t="shared" si="13"/>
        <v>6968870.9626637921</v>
      </c>
      <c r="L86" s="119">
        <f t="shared" si="14"/>
        <v>-1359410.0776109959</v>
      </c>
      <c r="M86" s="119">
        <f t="shared" si="15"/>
        <v>5609460.8850527965</v>
      </c>
    </row>
    <row r="87" spans="1:13" s="109" customFormat="1" x14ac:dyDescent="0.25">
      <c r="A87" s="118">
        <v>45688</v>
      </c>
      <c r="B87" s="114"/>
      <c r="C87" s="117">
        <f t="shared" si="18"/>
        <v>11150193.540262066</v>
      </c>
      <c r="D87" s="116">
        <f t="shared" si="19"/>
        <v>232295.69875545971</v>
      </c>
      <c r="E87" s="114">
        <f t="shared" si="20"/>
        <v>-5807392.4688864946</v>
      </c>
      <c r="F87" s="114">
        <f t="shared" si="16"/>
        <v>48782.096738646542</v>
      </c>
      <c r="G87" s="114">
        <f t="shared" si="21"/>
        <v>-1017935.4004404705</v>
      </c>
      <c r="H87" s="115">
        <f t="shared" si="17"/>
        <v>4324865.6709351009</v>
      </c>
      <c r="I87" s="114">
        <f t="shared" ref="I87:I118" si="22">(C75+C87+SUM(C76:C86)*2)/24</f>
        <v>11150193.540262068</v>
      </c>
      <c r="J87" s="114">
        <f t="shared" ref="J87:J118" si="23">(E75+E87+SUM(E76:E86)*2)/24</f>
        <v>-4413618.2763537355</v>
      </c>
      <c r="K87" s="114">
        <f t="shared" ref="K87:K118" si="24">I87+J87</f>
        <v>6736575.2639083322</v>
      </c>
      <c r="L87" s="114">
        <f t="shared" ref="L87:L118" si="25">(G75+G87+SUM(G76:G86)*2)/24</f>
        <v>-1310627.9808723496</v>
      </c>
      <c r="M87" s="114">
        <f t="shared" ref="M87:M118" si="26">K87+L87</f>
        <v>5425947.2830359824</v>
      </c>
    </row>
    <row r="88" spans="1:13" s="109" customFormat="1" x14ac:dyDescent="0.25">
      <c r="A88" s="118">
        <v>45716</v>
      </c>
      <c r="B88" s="114"/>
      <c r="C88" s="117">
        <f t="shared" si="18"/>
        <v>11150193.540262066</v>
      </c>
      <c r="D88" s="116">
        <f t="shared" si="19"/>
        <v>232295.69875545971</v>
      </c>
      <c r="E88" s="114">
        <f t="shared" si="20"/>
        <v>-6039688.1676419545</v>
      </c>
      <c r="F88" s="114">
        <f t="shared" si="16"/>
        <v>48782.096738646542</v>
      </c>
      <c r="G88" s="114">
        <f t="shared" si="21"/>
        <v>-969153.30370182404</v>
      </c>
      <c r="H88" s="115">
        <f t="shared" si="17"/>
        <v>4141352.0689182873</v>
      </c>
      <c r="I88" s="114">
        <f t="shared" si="22"/>
        <v>11150193.540262068</v>
      </c>
      <c r="J88" s="114">
        <f t="shared" si="23"/>
        <v>-4645913.9751091953</v>
      </c>
      <c r="K88" s="114">
        <f t="shared" si="24"/>
        <v>6504279.5651528724</v>
      </c>
      <c r="L88" s="114">
        <f t="shared" si="25"/>
        <v>-1261845.8841337031</v>
      </c>
      <c r="M88" s="114">
        <f t="shared" si="26"/>
        <v>5242433.6810191693</v>
      </c>
    </row>
    <row r="89" spans="1:13" s="109" customFormat="1" x14ac:dyDescent="0.25">
      <c r="A89" s="118">
        <v>45747</v>
      </c>
      <c r="B89" s="114"/>
      <c r="C89" s="117">
        <f t="shared" si="18"/>
        <v>11150193.540262066</v>
      </c>
      <c r="D89" s="116">
        <f t="shared" si="19"/>
        <v>232295.69875545971</v>
      </c>
      <c r="E89" s="114">
        <f t="shared" si="20"/>
        <v>-6271983.8663974144</v>
      </c>
      <c r="F89" s="114">
        <f t="shared" si="16"/>
        <v>48782.096738646542</v>
      </c>
      <c r="G89" s="114">
        <f t="shared" si="21"/>
        <v>-920371.20696317754</v>
      </c>
      <c r="H89" s="115">
        <f t="shared" si="17"/>
        <v>3957838.4669014737</v>
      </c>
      <c r="I89" s="114">
        <f t="shared" si="22"/>
        <v>11150193.540262068</v>
      </c>
      <c r="J89" s="114">
        <f t="shared" si="23"/>
        <v>-4878209.6738646543</v>
      </c>
      <c r="K89" s="114">
        <f t="shared" si="24"/>
        <v>6271983.8663974134</v>
      </c>
      <c r="L89" s="114">
        <f t="shared" si="25"/>
        <v>-1213063.7873950566</v>
      </c>
      <c r="M89" s="114">
        <f t="shared" si="26"/>
        <v>5058920.0790023571</v>
      </c>
    </row>
    <row r="90" spans="1:13" s="109" customFormat="1" x14ac:dyDescent="0.25">
      <c r="A90" s="118">
        <v>45777</v>
      </c>
      <c r="B90" s="114"/>
      <c r="C90" s="117">
        <f t="shared" si="18"/>
        <v>11150193.540262066</v>
      </c>
      <c r="D90" s="116">
        <f t="shared" si="19"/>
        <v>232295.69875545971</v>
      </c>
      <c r="E90" s="114">
        <f t="shared" si="20"/>
        <v>-6504279.5651528742</v>
      </c>
      <c r="F90" s="114">
        <f t="shared" si="16"/>
        <v>48782.096738646542</v>
      </c>
      <c r="G90" s="114">
        <f t="shared" si="21"/>
        <v>-871589.11022453103</v>
      </c>
      <c r="H90" s="115">
        <f t="shared" si="17"/>
        <v>3774324.8648846606</v>
      </c>
      <c r="I90" s="114">
        <f t="shared" si="22"/>
        <v>11150193.540262068</v>
      </c>
      <c r="J90" s="114">
        <f t="shared" si="23"/>
        <v>-5110505.3726201151</v>
      </c>
      <c r="K90" s="114">
        <f t="shared" si="24"/>
        <v>6039688.1676419526</v>
      </c>
      <c r="L90" s="114">
        <f t="shared" si="25"/>
        <v>-1164281.6906564101</v>
      </c>
      <c r="M90" s="114">
        <f t="shared" si="26"/>
        <v>4875406.4769855421</v>
      </c>
    </row>
    <row r="91" spans="1:13" s="109" customFormat="1" x14ac:dyDescent="0.25">
      <c r="A91" s="118">
        <v>45808</v>
      </c>
      <c r="B91" s="114"/>
      <c r="C91" s="117">
        <f t="shared" si="18"/>
        <v>11150193.540262066</v>
      </c>
      <c r="D91" s="116">
        <f t="shared" si="19"/>
        <v>232295.69875545971</v>
      </c>
      <c r="E91" s="114">
        <f t="shared" si="20"/>
        <v>-6736575.2639083341</v>
      </c>
      <c r="F91" s="114">
        <f t="shared" ref="F91:F122" si="27">-(B91*$F$9)+(D91*$F$9)</f>
        <v>48782.096738646542</v>
      </c>
      <c r="G91" s="114">
        <f t="shared" si="21"/>
        <v>-822807.01348588453</v>
      </c>
      <c r="H91" s="115">
        <f t="shared" ref="H91:H122" si="28">C91+E91+G91</f>
        <v>3590811.2628678475</v>
      </c>
      <c r="I91" s="114">
        <f t="shared" si="22"/>
        <v>11150193.540262068</v>
      </c>
      <c r="J91" s="114">
        <f t="shared" si="23"/>
        <v>-5342801.0713755749</v>
      </c>
      <c r="K91" s="114">
        <f t="shared" si="24"/>
        <v>5807392.4688864928</v>
      </c>
      <c r="L91" s="114">
        <f t="shared" si="25"/>
        <v>-1115499.5939177633</v>
      </c>
      <c r="M91" s="114">
        <f t="shared" si="26"/>
        <v>4691892.8749687299</v>
      </c>
    </row>
    <row r="92" spans="1:13" s="109" customFormat="1" x14ac:dyDescent="0.25">
      <c r="A92" s="118">
        <v>45838</v>
      </c>
      <c r="B92" s="114"/>
      <c r="C92" s="117">
        <f t="shared" ref="C92:C123" si="29">+B92+C91</f>
        <v>11150193.540262066</v>
      </c>
      <c r="D92" s="116">
        <f t="shared" si="19"/>
        <v>232295.69875545971</v>
      </c>
      <c r="E92" s="114">
        <f t="shared" si="20"/>
        <v>-6968870.9626637939</v>
      </c>
      <c r="F92" s="114">
        <f t="shared" si="27"/>
        <v>48782.096738646542</v>
      </c>
      <c r="G92" s="114">
        <f t="shared" si="21"/>
        <v>-774024.91674723802</v>
      </c>
      <c r="H92" s="115">
        <f t="shared" si="28"/>
        <v>3407297.6608510339</v>
      </c>
      <c r="I92" s="114">
        <f t="shared" si="22"/>
        <v>11150193.540262068</v>
      </c>
      <c r="J92" s="114">
        <f t="shared" si="23"/>
        <v>-5575096.7701310357</v>
      </c>
      <c r="K92" s="114">
        <f t="shared" si="24"/>
        <v>5575096.770131032</v>
      </c>
      <c r="L92" s="114">
        <f t="shared" si="25"/>
        <v>-1066717.4971791168</v>
      </c>
      <c r="M92" s="114">
        <f t="shared" si="26"/>
        <v>4508379.2729519149</v>
      </c>
    </row>
    <row r="93" spans="1:13" s="109" customFormat="1" x14ac:dyDescent="0.25">
      <c r="A93" s="118">
        <v>45869</v>
      </c>
      <c r="B93" s="114"/>
      <c r="C93" s="117">
        <f t="shared" si="29"/>
        <v>11150193.540262066</v>
      </c>
      <c r="D93" s="116">
        <f t="shared" si="19"/>
        <v>232295.69875545971</v>
      </c>
      <c r="E93" s="114">
        <f t="shared" si="20"/>
        <v>-7201166.6614192538</v>
      </c>
      <c r="F93" s="114">
        <f t="shared" si="27"/>
        <v>48782.096738646542</v>
      </c>
      <c r="G93" s="114">
        <f t="shared" si="21"/>
        <v>-725242.82000859152</v>
      </c>
      <c r="H93" s="115">
        <f t="shared" si="28"/>
        <v>3223784.0588342203</v>
      </c>
      <c r="I93" s="114">
        <f t="shared" si="22"/>
        <v>11150193.540262068</v>
      </c>
      <c r="J93" s="114">
        <f t="shared" si="23"/>
        <v>-5807392.4688864946</v>
      </c>
      <c r="K93" s="114">
        <f t="shared" si="24"/>
        <v>5342801.0713755731</v>
      </c>
      <c r="L93" s="114">
        <f t="shared" si="25"/>
        <v>-1017935.4004404707</v>
      </c>
      <c r="M93" s="114">
        <f t="shared" si="26"/>
        <v>4324865.6709351027</v>
      </c>
    </row>
    <row r="94" spans="1:13" s="109" customFormat="1" x14ac:dyDescent="0.25">
      <c r="A94" s="118">
        <v>45900</v>
      </c>
      <c r="B94" s="114"/>
      <c r="C94" s="117">
        <f t="shared" si="29"/>
        <v>11150193.540262066</v>
      </c>
      <c r="D94" s="116">
        <f t="shared" si="19"/>
        <v>232295.69875545971</v>
      </c>
      <c r="E94" s="114">
        <f t="shared" si="20"/>
        <v>-7433462.3601747137</v>
      </c>
      <c r="F94" s="114">
        <f t="shared" si="27"/>
        <v>48782.096738646542</v>
      </c>
      <c r="G94" s="114">
        <f t="shared" si="21"/>
        <v>-676460.72326994501</v>
      </c>
      <c r="H94" s="115">
        <f t="shared" si="28"/>
        <v>3040270.4568174072</v>
      </c>
      <c r="I94" s="114">
        <f t="shared" si="22"/>
        <v>11150193.540262068</v>
      </c>
      <c r="J94" s="114">
        <f t="shared" si="23"/>
        <v>-6039688.1676419536</v>
      </c>
      <c r="K94" s="114">
        <f t="shared" si="24"/>
        <v>5110505.3726201141</v>
      </c>
      <c r="L94" s="114">
        <f t="shared" si="25"/>
        <v>-969153.30370182404</v>
      </c>
      <c r="M94" s="114">
        <f t="shared" si="26"/>
        <v>4141352.0689182901</v>
      </c>
    </row>
    <row r="95" spans="1:13" s="109" customFormat="1" x14ac:dyDescent="0.25">
      <c r="A95" s="118">
        <v>45930</v>
      </c>
      <c r="B95" s="114"/>
      <c r="C95" s="117">
        <f t="shared" si="29"/>
        <v>11150193.540262066</v>
      </c>
      <c r="D95" s="116">
        <f t="shared" si="19"/>
        <v>232295.69875545971</v>
      </c>
      <c r="E95" s="114">
        <f t="shared" si="20"/>
        <v>-7665758.0589301735</v>
      </c>
      <c r="F95" s="114">
        <f t="shared" si="27"/>
        <v>48782.096738646542</v>
      </c>
      <c r="G95" s="114">
        <f t="shared" si="21"/>
        <v>-627678.62653129851</v>
      </c>
      <c r="H95" s="115">
        <f t="shared" si="28"/>
        <v>2856756.854800594</v>
      </c>
      <c r="I95" s="114">
        <f t="shared" si="22"/>
        <v>11150193.540262068</v>
      </c>
      <c r="J95" s="114">
        <f t="shared" si="23"/>
        <v>-6271983.8663974144</v>
      </c>
      <c r="K95" s="114">
        <f t="shared" si="24"/>
        <v>4878209.6738646533</v>
      </c>
      <c r="L95" s="114">
        <f t="shared" si="25"/>
        <v>-920371.20696317742</v>
      </c>
      <c r="M95" s="114">
        <f t="shared" si="26"/>
        <v>3957838.466901476</v>
      </c>
    </row>
    <row r="96" spans="1:13" s="109" customFormat="1" x14ac:dyDescent="0.25">
      <c r="A96" s="118">
        <v>45961</v>
      </c>
      <c r="B96" s="114"/>
      <c r="C96" s="117">
        <f t="shared" si="29"/>
        <v>11150193.540262066</v>
      </c>
      <c r="D96" s="116">
        <f t="shared" si="19"/>
        <v>232295.69875545971</v>
      </c>
      <c r="E96" s="114">
        <f t="shared" si="20"/>
        <v>-7898053.7576856334</v>
      </c>
      <c r="F96" s="114">
        <f t="shared" si="27"/>
        <v>48782.096738646542</v>
      </c>
      <c r="G96" s="114">
        <f t="shared" si="21"/>
        <v>-578896.529792652</v>
      </c>
      <c r="H96" s="115">
        <f t="shared" si="28"/>
        <v>2673243.2527837805</v>
      </c>
      <c r="I96" s="114">
        <f t="shared" si="22"/>
        <v>11150193.540262068</v>
      </c>
      <c r="J96" s="114">
        <f t="shared" si="23"/>
        <v>-6504279.5651528733</v>
      </c>
      <c r="K96" s="114">
        <f t="shared" si="24"/>
        <v>4645913.9751091944</v>
      </c>
      <c r="L96" s="114">
        <f t="shared" si="25"/>
        <v>-871589.11022453103</v>
      </c>
      <c r="M96" s="114">
        <f t="shared" si="26"/>
        <v>3774324.8648846634</v>
      </c>
    </row>
    <row r="97" spans="1:13" s="109" customFormat="1" x14ac:dyDescent="0.25">
      <c r="A97" s="118">
        <v>45991</v>
      </c>
      <c r="B97" s="114"/>
      <c r="C97" s="117">
        <f t="shared" si="29"/>
        <v>11150193.540262066</v>
      </c>
      <c r="D97" s="116">
        <f t="shared" si="19"/>
        <v>232295.69875545971</v>
      </c>
      <c r="E97" s="114">
        <f t="shared" si="20"/>
        <v>-8130349.4564410932</v>
      </c>
      <c r="F97" s="114">
        <f t="shared" si="27"/>
        <v>48782.096738646542</v>
      </c>
      <c r="G97" s="114">
        <f t="shared" si="21"/>
        <v>-530114.43305400549</v>
      </c>
      <c r="H97" s="115">
        <f t="shared" si="28"/>
        <v>2489729.6507669669</v>
      </c>
      <c r="I97" s="114">
        <f t="shared" si="22"/>
        <v>11150193.540262068</v>
      </c>
      <c r="J97" s="114">
        <f t="shared" si="23"/>
        <v>-6736575.2639083341</v>
      </c>
      <c r="K97" s="114">
        <f t="shared" si="24"/>
        <v>4413618.2763537336</v>
      </c>
      <c r="L97" s="114">
        <f t="shared" si="25"/>
        <v>-822807.01348588441</v>
      </c>
      <c r="M97" s="114">
        <f t="shared" si="26"/>
        <v>3590811.2628678493</v>
      </c>
    </row>
    <row r="98" spans="1:13" s="109" customFormat="1" x14ac:dyDescent="0.25">
      <c r="A98" s="118">
        <v>46022</v>
      </c>
      <c r="B98" s="114"/>
      <c r="C98" s="117">
        <f t="shared" si="29"/>
        <v>11150193.540262066</v>
      </c>
      <c r="D98" s="116">
        <f t="shared" si="19"/>
        <v>232295.69875545971</v>
      </c>
      <c r="E98" s="114">
        <f t="shared" si="20"/>
        <v>-8362645.1551965531</v>
      </c>
      <c r="F98" s="114">
        <f t="shared" si="27"/>
        <v>48782.096738646542</v>
      </c>
      <c r="G98" s="114">
        <f t="shared" si="21"/>
        <v>-481332.33631535893</v>
      </c>
      <c r="H98" s="115">
        <f t="shared" si="28"/>
        <v>2306216.0487501537</v>
      </c>
      <c r="I98" s="114">
        <f t="shared" si="22"/>
        <v>11150193.540262068</v>
      </c>
      <c r="J98" s="114">
        <f t="shared" si="23"/>
        <v>-6968870.9626637949</v>
      </c>
      <c r="K98" s="114">
        <f t="shared" si="24"/>
        <v>4181322.5775982728</v>
      </c>
      <c r="L98" s="114">
        <f t="shared" si="25"/>
        <v>-774024.91674723802</v>
      </c>
      <c r="M98" s="114">
        <f t="shared" si="26"/>
        <v>3407297.6608510348</v>
      </c>
    </row>
    <row r="99" spans="1:13" s="109" customFormat="1" x14ac:dyDescent="0.25">
      <c r="A99" s="125">
        <v>46053</v>
      </c>
      <c r="B99" s="122"/>
      <c r="C99" s="124">
        <f t="shared" si="29"/>
        <v>11150193.540262066</v>
      </c>
      <c r="D99" s="123">
        <f t="shared" si="19"/>
        <v>232295.69875545971</v>
      </c>
      <c r="E99" s="122">
        <f t="shared" si="20"/>
        <v>-8594940.853952013</v>
      </c>
      <c r="F99" s="122">
        <f t="shared" si="27"/>
        <v>48782.096738646542</v>
      </c>
      <c r="G99" s="122">
        <f t="shared" si="21"/>
        <v>-432550.23957671237</v>
      </c>
      <c r="H99" s="121">
        <f t="shared" si="28"/>
        <v>2122702.4467333406</v>
      </c>
      <c r="I99" s="120">
        <f t="shared" si="22"/>
        <v>11150193.540262068</v>
      </c>
      <c r="J99" s="119">
        <f t="shared" si="23"/>
        <v>-7201166.6614192538</v>
      </c>
      <c r="K99" s="119">
        <f t="shared" si="24"/>
        <v>3949026.8788428139</v>
      </c>
      <c r="L99" s="119">
        <f t="shared" si="25"/>
        <v>-725242.8200085914</v>
      </c>
      <c r="M99" s="119">
        <f t="shared" si="26"/>
        <v>3223784.0588342226</v>
      </c>
    </row>
    <row r="100" spans="1:13" s="109" customFormat="1" x14ac:dyDescent="0.25">
      <c r="A100" s="125">
        <v>46081</v>
      </c>
      <c r="B100" s="122"/>
      <c r="C100" s="124">
        <f t="shared" si="29"/>
        <v>11150193.540262066</v>
      </c>
      <c r="D100" s="123">
        <f t="shared" si="19"/>
        <v>232295.69875545971</v>
      </c>
      <c r="E100" s="122">
        <f t="shared" ref="E100:E131" si="30">E99-D100</f>
        <v>-8827236.5527074728</v>
      </c>
      <c r="F100" s="122">
        <f t="shared" si="27"/>
        <v>48782.096738646542</v>
      </c>
      <c r="G100" s="122">
        <f t="shared" si="21"/>
        <v>-383768.1428380658</v>
      </c>
      <c r="H100" s="121">
        <f t="shared" si="28"/>
        <v>1939188.8447165273</v>
      </c>
      <c r="I100" s="120">
        <f t="shared" si="22"/>
        <v>11150193.540262068</v>
      </c>
      <c r="J100" s="119">
        <f t="shared" si="23"/>
        <v>-7433462.3601747127</v>
      </c>
      <c r="K100" s="119">
        <f t="shared" si="24"/>
        <v>3716731.180087355</v>
      </c>
      <c r="L100" s="119">
        <f t="shared" si="25"/>
        <v>-676460.72326994489</v>
      </c>
      <c r="M100" s="119">
        <f t="shared" si="26"/>
        <v>3040270.45681741</v>
      </c>
    </row>
    <row r="101" spans="1:13" x14ac:dyDescent="0.25">
      <c r="A101" s="125">
        <v>46112</v>
      </c>
      <c r="B101" s="122"/>
      <c r="C101" s="124">
        <f t="shared" si="29"/>
        <v>11150193.540262066</v>
      </c>
      <c r="D101" s="123">
        <f t="shared" si="19"/>
        <v>232295.69875545971</v>
      </c>
      <c r="E101" s="122">
        <f t="shared" si="30"/>
        <v>-9059532.2514629327</v>
      </c>
      <c r="F101" s="122">
        <f t="shared" si="27"/>
        <v>48782.096738646542</v>
      </c>
      <c r="G101" s="122">
        <f t="shared" ref="G101:G132" si="31">G100+F101</f>
        <v>-334986.04609941924</v>
      </c>
      <c r="H101" s="121">
        <f t="shared" si="28"/>
        <v>1755675.2426997139</v>
      </c>
      <c r="I101" s="120">
        <f t="shared" si="22"/>
        <v>11150193.540262068</v>
      </c>
      <c r="J101" s="119">
        <f t="shared" si="23"/>
        <v>-7665758.0589301735</v>
      </c>
      <c r="K101" s="119">
        <f t="shared" si="24"/>
        <v>3484435.4813318942</v>
      </c>
      <c r="L101" s="119">
        <f t="shared" si="25"/>
        <v>-627678.62653129851</v>
      </c>
      <c r="M101" s="119">
        <f t="shared" si="26"/>
        <v>2856756.8548005959</v>
      </c>
    </row>
    <row r="102" spans="1:13" x14ac:dyDescent="0.25">
      <c r="A102" s="125">
        <v>46142</v>
      </c>
      <c r="B102" s="122"/>
      <c r="C102" s="124">
        <f t="shared" si="29"/>
        <v>11150193.540262066</v>
      </c>
      <c r="D102" s="123">
        <f t="shared" si="19"/>
        <v>232295.69875545971</v>
      </c>
      <c r="E102" s="122">
        <f t="shared" si="30"/>
        <v>-9291827.9502183925</v>
      </c>
      <c r="F102" s="122">
        <f t="shared" si="27"/>
        <v>48782.096738646542</v>
      </c>
      <c r="G102" s="122">
        <f t="shared" si="31"/>
        <v>-286203.94936077268</v>
      </c>
      <c r="H102" s="121">
        <f t="shared" si="28"/>
        <v>1572161.6406829006</v>
      </c>
      <c r="I102" s="120">
        <f t="shared" si="22"/>
        <v>11150193.540262068</v>
      </c>
      <c r="J102" s="119">
        <f t="shared" si="23"/>
        <v>-7898053.7576856343</v>
      </c>
      <c r="K102" s="119">
        <f t="shared" si="24"/>
        <v>3252139.7825764334</v>
      </c>
      <c r="L102" s="119">
        <f t="shared" si="25"/>
        <v>-578896.52979265188</v>
      </c>
      <c r="M102" s="119">
        <f t="shared" si="26"/>
        <v>2673243.2527837814</v>
      </c>
    </row>
    <row r="103" spans="1:13" x14ac:dyDescent="0.25">
      <c r="A103" s="125">
        <v>46173</v>
      </c>
      <c r="B103" s="122"/>
      <c r="C103" s="124">
        <f t="shared" si="29"/>
        <v>11150193.540262066</v>
      </c>
      <c r="D103" s="123">
        <f t="shared" si="19"/>
        <v>232295.69875545971</v>
      </c>
      <c r="E103" s="122">
        <f t="shared" si="30"/>
        <v>-9524123.6489738524</v>
      </c>
      <c r="F103" s="122">
        <f t="shared" si="27"/>
        <v>48782.096738646542</v>
      </c>
      <c r="G103" s="122">
        <f t="shared" si="31"/>
        <v>-237421.85262212614</v>
      </c>
      <c r="H103" s="121">
        <f t="shared" si="28"/>
        <v>1388648.0386660872</v>
      </c>
      <c r="I103" s="120">
        <f t="shared" si="22"/>
        <v>11150193.540262068</v>
      </c>
      <c r="J103" s="119">
        <f t="shared" si="23"/>
        <v>-8130349.4564410942</v>
      </c>
      <c r="K103" s="119">
        <f t="shared" si="24"/>
        <v>3019844.0838209735</v>
      </c>
      <c r="L103" s="119">
        <f t="shared" si="25"/>
        <v>-530114.43305400538</v>
      </c>
      <c r="M103" s="119">
        <f t="shared" si="26"/>
        <v>2489729.6507669683</v>
      </c>
    </row>
    <row r="104" spans="1:13" x14ac:dyDescent="0.25">
      <c r="A104" s="125">
        <v>46203</v>
      </c>
      <c r="B104" s="122"/>
      <c r="C104" s="124">
        <f t="shared" si="29"/>
        <v>11150193.540262066</v>
      </c>
      <c r="D104" s="123">
        <f t="shared" si="19"/>
        <v>232295.69875545971</v>
      </c>
      <c r="E104" s="122">
        <f t="shared" si="30"/>
        <v>-9756419.3477293123</v>
      </c>
      <c r="F104" s="122">
        <f t="shared" si="27"/>
        <v>48782.096738646542</v>
      </c>
      <c r="G104" s="122">
        <f t="shared" si="31"/>
        <v>-188639.75588347961</v>
      </c>
      <c r="H104" s="121">
        <f t="shared" si="28"/>
        <v>1205134.4366492741</v>
      </c>
      <c r="I104" s="120">
        <f t="shared" si="22"/>
        <v>11150193.540262068</v>
      </c>
      <c r="J104" s="119">
        <f t="shared" si="23"/>
        <v>-8362645.1551965522</v>
      </c>
      <c r="K104" s="119">
        <f t="shared" si="24"/>
        <v>2787548.3850655155</v>
      </c>
      <c r="L104" s="119">
        <f t="shared" si="25"/>
        <v>-481332.33631535881</v>
      </c>
      <c r="M104" s="119">
        <f t="shared" si="26"/>
        <v>2306216.0487501565</v>
      </c>
    </row>
    <row r="105" spans="1:13" x14ac:dyDescent="0.25">
      <c r="A105" s="125">
        <v>46234</v>
      </c>
      <c r="B105" s="122"/>
      <c r="C105" s="124">
        <f t="shared" si="29"/>
        <v>11150193.540262066</v>
      </c>
      <c r="D105" s="123">
        <f t="shared" si="19"/>
        <v>232295.69875545971</v>
      </c>
      <c r="E105" s="122">
        <f t="shared" si="30"/>
        <v>-9988715.0464847721</v>
      </c>
      <c r="F105" s="122">
        <f t="shared" si="27"/>
        <v>48782.096738646542</v>
      </c>
      <c r="G105" s="122">
        <f t="shared" si="31"/>
        <v>-139857.65914483307</v>
      </c>
      <c r="H105" s="121">
        <f t="shared" si="28"/>
        <v>1021620.8346324606</v>
      </c>
      <c r="I105" s="120">
        <f t="shared" si="22"/>
        <v>11150193.540262068</v>
      </c>
      <c r="J105" s="119">
        <f t="shared" si="23"/>
        <v>-8594940.853952013</v>
      </c>
      <c r="K105" s="119">
        <f t="shared" si="24"/>
        <v>2555252.6863100547</v>
      </c>
      <c r="L105" s="119">
        <f t="shared" si="25"/>
        <v>-432550.23957671231</v>
      </c>
      <c r="M105" s="119">
        <f t="shared" si="26"/>
        <v>2122702.4467333425</v>
      </c>
    </row>
    <row r="106" spans="1:13" x14ac:dyDescent="0.25">
      <c r="A106" s="125">
        <v>46265</v>
      </c>
      <c r="B106" s="122"/>
      <c r="C106" s="124">
        <f t="shared" si="29"/>
        <v>11150193.540262066</v>
      </c>
      <c r="D106" s="123">
        <f t="shared" si="19"/>
        <v>232295.69875545971</v>
      </c>
      <c r="E106" s="122">
        <f t="shared" si="30"/>
        <v>-10221010.745240232</v>
      </c>
      <c r="F106" s="122">
        <f t="shared" si="27"/>
        <v>48782.096738646542</v>
      </c>
      <c r="G106" s="122">
        <f t="shared" si="31"/>
        <v>-91075.562406186538</v>
      </c>
      <c r="H106" s="121">
        <f t="shared" si="28"/>
        <v>838107.23261564737</v>
      </c>
      <c r="I106" s="120">
        <f t="shared" si="22"/>
        <v>11150193.540262068</v>
      </c>
      <c r="J106" s="119">
        <f t="shared" si="23"/>
        <v>-8827236.5527074728</v>
      </c>
      <c r="K106" s="119">
        <f t="shared" si="24"/>
        <v>2322956.9875545949</v>
      </c>
      <c r="L106" s="119">
        <f t="shared" si="25"/>
        <v>-383768.14283806575</v>
      </c>
      <c r="M106" s="119">
        <f t="shared" si="26"/>
        <v>1939188.8447165291</v>
      </c>
    </row>
    <row r="107" spans="1:13" x14ac:dyDescent="0.25">
      <c r="A107" s="125">
        <v>46295</v>
      </c>
      <c r="B107" s="122"/>
      <c r="C107" s="124">
        <f t="shared" si="29"/>
        <v>11150193.540262066</v>
      </c>
      <c r="D107" s="123">
        <f t="shared" si="19"/>
        <v>232295.69875545971</v>
      </c>
      <c r="E107" s="122">
        <f t="shared" si="30"/>
        <v>-10453306.443995692</v>
      </c>
      <c r="F107" s="122">
        <f t="shared" si="27"/>
        <v>48782.096738646542</v>
      </c>
      <c r="G107" s="122">
        <f t="shared" si="31"/>
        <v>-42293.465667539997</v>
      </c>
      <c r="H107" s="121">
        <f t="shared" si="28"/>
        <v>654593.63059883402</v>
      </c>
      <c r="I107" s="120">
        <f t="shared" si="22"/>
        <v>11150193.540262068</v>
      </c>
      <c r="J107" s="119">
        <f t="shared" si="23"/>
        <v>-9059532.2514629327</v>
      </c>
      <c r="K107" s="119">
        <f t="shared" si="24"/>
        <v>2090661.288799135</v>
      </c>
      <c r="L107" s="119">
        <f t="shared" si="25"/>
        <v>-334986.0460994193</v>
      </c>
      <c r="M107" s="119">
        <f t="shared" si="26"/>
        <v>1755675.2426997158</v>
      </c>
    </row>
    <row r="108" spans="1:13" x14ac:dyDescent="0.25">
      <c r="A108" s="125">
        <v>46326</v>
      </c>
      <c r="B108" s="122"/>
      <c r="C108" s="124">
        <f t="shared" si="29"/>
        <v>11150193.540262066</v>
      </c>
      <c r="D108" s="123">
        <f t="shared" si="19"/>
        <v>232295.69875545971</v>
      </c>
      <c r="E108" s="122">
        <f t="shared" si="30"/>
        <v>-10685602.142751152</v>
      </c>
      <c r="F108" s="122">
        <f t="shared" si="27"/>
        <v>48782.096738646542</v>
      </c>
      <c r="G108" s="122">
        <f t="shared" si="31"/>
        <v>6488.6310711065453</v>
      </c>
      <c r="H108" s="121">
        <f t="shared" si="28"/>
        <v>471080.02858202066</v>
      </c>
      <c r="I108" s="120">
        <f t="shared" si="22"/>
        <v>11150193.540262068</v>
      </c>
      <c r="J108" s="119">
        <f t="shared" si="23"/>
        <v>-9291827.9502183907</v>
      </c>
      <c r="K108" s="119">
        <f t="shared" si="24"/>
        <v>1858365.590043677</v>
      </c>
      <c r="L108" s="119">
        <f t="shared" si="25"/>
        <v>-286203.94936077273</v>
      </c>
      <c r="M108" s="119">
        <f t="shared" si="26"/>
        <v>1572161.6406829043</v>
      </c>
    </row>
    <row r="109" spans="1:13" x14ac:dyDescent="0.25">
      <c r="A109" s="125">
        <v>46356</v>
      </c>
      <c r="B109" s="122"/>
      <c r="C109" s="124">
        <f t="shared" si="29"/>
        <v>11150193.540262066</v>
      </c>
      <c r="D109" s="123">
        <f t="shared" si="19"/>
        <v>232295.69875545971</v>
      </c>
      <c r="E109" s="122">
        <f t="shared" si="30"/>
        <v>-10917897.841506612</v>
      </c>
      <c r="F109" s="122">
        <f t="shared" si="27"/>
        <v>48782.096738646542</v>
      </c>
      <c r="G109" s="122">
        <f t="shared" si="31"/>
        <v>55270.727809753087</v>
      </c>
      <c r="H109" s="121">
        <f t="shared" si="28"/>
        <v>287566.42656520737</v>
      </c>
      <c r="I109" s="120">
        <f t="shared" si="22"/>
        <v>11150193.540262068</v>
      </c>
      <c r="J109" s="119">
        <f t="shared" si="23"/>
        <v>-9524123.6489738524</v>
      </c>
      <c r="K109" s="119">
        <f t="shared" si="24"/>
        <v>1626069.8912882153</v>
      </c>
      <c r="L109" s="119">
        <f t="shared" si="25"/>
        <v>-237421.8526221262</v>
      </c>
      <c r="M109" s="119">
        <f t="shared" si="26"/>
        <v>1388648.0386660891</v>
      </c>
    </row>
    <row r="110" spans="1:13" x14ac:dyDescent="0.25">
      <c r="A110" s="125">
        <v>46387</v>
      </c>
      <c r="B110" s="122"/>
      <c r="C110" s="124">
        <f t="shared" si="29"/>
        <v>11150193.540262066</v>
      </c>
      <c r="D110" s="123">
        <f t="shared" si="19"/>
        <v>232295.69875545971</v>
      </c>
      <c r="E110" s="122">
        <f t="shared" si="30"/>
        <v>-11150193.540262071</v>
      </c>
      <c r="F110" s="122">
        <f t="shared" si="27"/>
        <v>48782.096738646542</v>
      </c>
      <c r="G110" s="122">
        <f t="shared" si="31"/>
        <v>104052.82454839963</v>
      </c>
      <c r="H110" s="121">
        <f t="shared" si="28"/>
        <v>104052.82454839404</v>
      </c>
      <c r="I110" s="120">
        <f t="shared" si="22"/>
        <v>11150193.540262068</v>
      </c>
      <c r="J110" s="119">
        <f t="shared" si="23"/>
        <v>-9756419.3477293123</v>
      </c>
      <c r="K110" s="119">
        <f t="shared" si="24"/>
        <v>1393774.1925327554</v>
      </c>
      <c r="L110" s="119">
        <f t="shared" si="25"/>
        <v>-188639.75588347964</v>
      </c>
      <c r="M110" s="119">
        <f t="shared" si="26"/>
        <v>1205134.4366492757</v>
      </c>
    </row>
    <row r="111" spans="1:13" x14ac:dyDescent="0.25">
      <c r="A111" s="118">
        <v>46418</v>
      </c>
      <c r="B111" s="114"/>
      <c r="C111" s="117">
        <f t="shared" si="29"/>
        <v>11150193.540262066</v>
      </c>
      <c r="D111" s="116"/>
      <c r="E111" s="114">
        <f t="shared" si="30"/>
        <v>-11150193.540262071</v>
      </c>
      <c r="F111" s="114">
        <f t="shared" si="27"/>
        <v>0</v>
      </c>
      <c r="G111" s="114">
        <f t="shared" si="31"/>
        <v>104052.82454839963</v>
      </c>
      <c r="H111" s="115">
        <f t="shared" si="28"/>
        <v>104052.82454839404</v>
      </c>
      <c r="I111" s="114">
        <f t="shared" si="22"/>
        <v>11150193.540262068</v>
      </c>
      <c r="J111" s="114">
        <f t="shared" si="23"/>
        <v>-9979036.0590366293</v>
      </c>
      <c r="K111" s="114">
        <f t="shared" si="24"/>
        <v>1171157.4812254384</v>
      </c>
      <c r="L111" s="114">
        <f t="shared" si="25"/>
        <v>-141890.24650894335</v>
      </c>
      <c r="M111" s="114">
        <f t="shared" si="26"/>
        <v>1029267.234716495</v>
      </c>
    </row>
    <row r="112" spans="1:13" x14ac:dyDescent="0.25">
      <c r="A112" s="118">
        <v>46446</v>
      </c>
      <c r="B112" s="114"/>
      <c r="C112" s="117">
        <f t="shared" si="29"/>
        <v>11150193.540262066</v>
      </c>
      <c r="D112" s="116"/>
      <c r="E112" s="114">
        <f t="shared" si="30"/>
        <v>-11150193.540262071</v>
      </c>
      <c r="F112" s="114">
        <f t="shared" si="27"/>
        <v>0</v>
      </c>
      <c r="G112" s="114">
        <f t="shared" si="31"/>
        <v>104052.82454839963</v>
      </c>
      <c r="H112" s="115">
        <f t="shared" si="28"/>
        <v>104052.82454839404</v>
      </c>
      <c r="I112" s="114">
        <f t="shared" si="22"/>
        <v>11150193.540262068</v>
      </c>
      <c r="J112" s="114">
        <f t="shared" si="23"/>
        <v>-10182294.795447657</v>
      </c>
      <c r="K112" s="114">
        <f t="shared" si="24"/>
        <v>967898.74481441081</v>
      </c>
      <c r="L112" s="114">
        <f t="shared" si="25"/>
        <v>-99205.911862627647</v>
      </c>
      <c r="M112" s="114">
        <f t="shared" si="26"/>
        <v>868692.8329517832</v>
      </c>
    </row>
    <row r="113" spans="1:13" x14ac:dyDescent="0.25">
      <c r="A113" s="118">
        <v>46477</v>
      </c>
      <c r="B113" s="114"/>
      <c r="C113" s="117">
        <f t="shared" si="29"/>
        <v>11150193.540262066</v>
      </c>
      <c r="D113" s="116"/>
      <c r="E113" s="114">
        <f t="shared" si="30"/>
        <v>-11150193.540262071</v>
      </c>
      <c r="F113" s="114">
        <f t="shared" si="27"/>
        <v>0</v>
      </c>
      <c r="G113" s="114">
        <f t="shared" si="31"/>
        <v>104052.82454839963</v>
      </c>
      <c r="H113" s="115">
        <f t="shared" si="28"/>
        <v>104052.82454839404</v>
      </c>
      <c r="I113" s="114">
        <f t="shared" si="22"/>
        <v>11150193.540262068</v>
      </c>
      <c r="J113" s="114">
        <f t="shared" si="23"/>
        <v>-10366195.556962395</v>
      </c>
      <c r="K113" s="114">
        <f t="shared" si="24"/>
        <v>783997.9832996726</v>
      </c>
      <c r="L113" s="114">
        <f t="shared" si="25"/>
        <v>-60586.751944532451</v>
      </c>
      <c r="M113" s="114">
        <f t="shared" si="26"/>
        <v>723411.2313551401</v>
      </c>
    </row>
    <row r="114" spans="1:13" x14ac:dyDescent="0.25">
      <c r="A114" s="118">
        <v>46507</v>
      </c>
      <c r="B114" s="114"/>
      <c r="C114" s="117">
        <f t="shared" si="29"/>
        <v>11150193.540262066</v>
      </c>
      <c r="D114" s="116"/>
      <c r="E114" s="114">
        <f t="shared" si="30"/>
        <v>-11150193.540262071</v>
      </c>
      <c r="F114" s="114">
        <f t="shared" si="27"/>
        <v>0</v>
      </c>
      <c r="G114" s="114">
        <f t="shared" si="31"/>
        <v>104052.82454839963</v>
      </c>
      <c r="H114" s="115">
        <f t="shared" si="28"/>
        <v>104052.82454839404</v>
      </c>
      <c r="I114" s="114">
        <f t="shared" si="22"/>
        <v>11150193.540262068</v>
      </c>
      <c r="J114" s="114">
        <f t="shared" si="23"/>
        <v>-10530738.343580844</v>
      </c>
      <c r="K114" s="114">
        <f t="shared" si="24"/>
        <v>619455.19668122381</v>
      </c>
      <c r="L114" s="114">
        <f t="shared" si="25"/>
        <v>-26032.766754657812</v>
      </c>
      <c r="M114" s="114">
        <f t="shared" si="26"/>
        <v>593422.42992656596</v>
      </c>
    </row>
    <row r="115" spans="1:13" x14ac:dyDescent="0.25">
      <c r="A115" s="118">
        <v>46538</v>
      </c>
      <c r="B115" s="114"/>
      <c r="C115" s="117">
        <f t="shared" si="29"/>
        <v>11150193.540262066</v>
      </c>
      <c r="D115" s="116"/>
      <c r="E115" s="114">
        <f t="shared" si="30"/>
        <v>-11150193.540262071</v>
      </c>
      <c r="F115" s="114">
        <f t="shared" si="27"/>
        <v>0</v>
      </c>
      <c r="G115" s="114">
        <f t="shared" si="31"/>
        <v>104052.82454839963</v>
      </c>
      <c r="H115" s="115">
        <f t="shared" si="28"/>
        <v>104052.82454839404</v>
      </c>
      <c r="I115" s="114">
        <f t="shared" si="22"/>
        <v>11150193.540262068</v>
      </c>
      <c r="J115" s="114">
        <f t="shared" si="23"/>
        <v>-10675923.155303009</v>
      </c>
      <c r="K115" s="114">
        <f t="shared" si="24"/>
        <v>474270.38495905884</v>
      </c>
      <c r="L115" s="114">
        <f t="shared" si="25"/>
        <v>4456.0437069962763</v>
      </c>
      <c r="M115" s="114">
        <f t="shared" si="26"/>
        <v>478726.42866605509</v>
      </c>
    </row>
    <row r="116" spans="1:13" x14ac:dyDescent="0.25">
      <c r="A116" s="118">
        <v>46568</v>
      </c>
      <c r="B116" s="114"/>
      <c r="C116" s="117">
        <f t="shared" si="29"/>
        <v>11150193.540262066</v>
      </c>
      <c r="D116" s="116"/>
      <c r="E116" s="114">
        <f t="shared" si="30"/>
        <v>-11150193.540262071</v>
      </c>
      <c r="F116" s="114">
        <f t="shared" si="27"/>
        <v>0</v>
      </c>
      <c r="G116" s="114">
        <f t="shared" si="31"/>
        <v>104052.82454839963</v>
      </c>
      <c r="H116" s="115">
        <f t="shared" si="28"/>
        <v>104052.82454839404</v>
      </c>
      <c r="I116" s="114">
        <f t="shared" si="22"/>
        <v>11150193.540262068</v>
      </c>
      <c r="J116" s="114">
        <f t="shared" si="23"/>
        <v>-10801749.992128881</v>
      </c>
      <c r="K116" s="114">
        <f t="shared" si="24"/>
        <v>348443.548133187</v>
      </c>
      <c r="L116" s="114">
        <f t="shared" si="25"/>
        <v>30879.679440429823</v>
      </c>
      <c r="M116" s="114">
        <f t="shared" si="26"/>
        <v>379323.22757361684</v>
      </c>
    </row>
    <row r="117" spans="1:13" x14ac:dyDescent="0.25">
      <c r="A117" s="118">
        <v>46599</v>
      </c>
      <c r="B117" s="114"/>
      <c r="C117" s="117">
        <f t="shared" si="29"/>
        <v>11150193.540262066</v>
      </c>
      <c r="D117" s="116"/>
      <c r="E117" s="114">
        <f t="shared" si="30"/>
        <v>-11150193.540262071</v>
      </c>
      <c r="F117" s="114">
        <f t="shared" si="27"/>
        <v>0</v>
      </c>
      <c r="G117" s="114">
        <f t="shared" si="31"/>
        <v>104052.82454839963</v>
      </c>
      <c r="H117" s="115">
        <f t="shared" si="28"/>
        <v>104052.82454839404</v>
      </c>
      <c r="I117" s="114">
        <f t="shared" si="22"/>
        <v>11150193.540262068</v>
      </c>
      <c r="J117" s="114">
        <f t="shared" si="23"/>
        <v>-10908218.854058469</v>
      </c>
      <c r="K117" s="114">
        <f t="shared" si="24"/>
        <v>241974.68620359898</v>
      </c>
      <c r="L117" s="114">
        <f t="shared" si="25"/>
        <v>53238.140445642821</v>
      </c>
      <c r="M117" s="114">
        <f t="shared" si="26"/>
        <v>295212.82664924179</v>
      </c>
    </row>
    <row r="118" spans="1:13" x14ac:dyDescent="0.25">
      <c r="A118" s="118">
        <v>46630</v>
      </c>
      <c r="B118" s="114"/>
      <c r="C118" s="117">
        <f t="shared" si="29"/>
        <v>11150193.540262066</v>
      </c>
      <c r="D118" s="116"/>
      <c r="E118" s="114">
        <f t="shared" si="30"/>
        <v>-11150193.540262071</v>
      </c>
      <c r="F118" s="114">
        <f t="shared" si="27"/>
        <v>0</v>
      </c>
      <c r="G118" s="114">
        <f t="shared" si="31"/>
        <v>104052.82454839963</v>
      </c>
      <c r="H118" s="115">
        <f t="shared" si="28"/>
        <v>104052.82454839404</v>
      </c>
      <c r="I118" s="114">
        <f t="shared" si="22"/>
        <v>11150193.540262068</v>
      </c>
      <c r="J118" s="114">
        <f t="shared" si="23"/>
        <v>-10995329.741091765</v>
      </c>
      <c r="K118" s="114">
        <f t="shared" si="24"/>
        <v>154863.79917030223</v>
      </c>
      <c r="L118" s="114">
        <f t="shared" si="25"/>
        <v>71531.426722635282</v>
      </c>
      <c r="M118" s="114">
        <f t="shared" si="26"/>
        <v>226395.22589293751</v>
      </c>
    </row>
    <row r="119" spans="1:13" x14ac:dyDescent="0.25">
      <c r="A119" s="118">
        <v>46660</v>
      </c>
      <c r="B119" s="114"/>
      <c r="C119" s="117">
        <f t="shared" si="29"/>
        <v>11150193.540262066</v>
      </c>
      <c r="D119" s="116"/>
      <c r="E119" s="114">
        <f t="shared" si="30"/>
        <v>-11150193.540262071</v>
      </c>
      <c r="F119" s="114">
        <f t="shared" si="27"/>
        <v>0</v>
      </c>
      <c r="G119" s="114">
        <f t="shared" si="31"/>
        <v>104052.82454839963</v>
      </c>
      <c r="H119" s="115">
        <f t="shared" si="28"/>
        <v>104052.82454839404</v>
      </c>
      <c r="I119" s="114">
        <f t="shared" ref="I119:I150" si="32">(C107+C119+SUM(C108:C118)*2)/24</f>
        <v>11150193.540262068</v>
      </c>
      <c r="J119" s="114">
        <f t="shared" ref="J119:J150" si="33">(E107+E119+SUM(E108:E118)*2)/24</f>
        <v>-11063082.653228775</v>
      </c>
      <c r="K119" s="114">
        <f t="shared" ref="K119:K150" si="34">I119+J119</f>
        <v>87110.887033293024</v>
      </c>
      <c r="L119" s="114">
        <f t="shared" ref="L119:L150" si="35">(G107+G119+SUM(G108:G118)*2)/24</f>
        <v>85759.538271407189</v>
      </c>
      <c r="M119" s="114">
        <f t="shared" ref="M119:M150" si="36">K119+L119</f>
        <v>172870.42530470021</v>
      </c>
    </row>
    <row r="120" spans="1:13" x14ac:dyDescent="0.25">
      <c r="A120" s="118">
        <v>46691</v>
      </c>
      <c r="B120" s="114"/>
      <c r="C120" s="117">
        <f t="shared" si="29"/>
        <v>11150193.540262066</v>
      </c>
      <c r="D120" s="116"/>
      <c r="E120" s="114">
        <f t="shared" si="30"/>
        <v>-11150193.540262071</v>
      </c>
      <c r="F120" s="114">
        <f t="shared" si="27"/>
        <v>0</v>
      </c>
      <c r="G120" s="114">
        <f t="shared" si="31"/>
        <v>104052.82454839963</v>
      </c>
      <c r="H120" s="115">
        <f t="shared" si="28"/>
        <v>104052.82454839404</v>
      </c>
      <c r="I120" s="114">
        <f t="shared" si="32"/>
        <v>11150193.540262068</v>
      </c>
      <c r="J120" s="114">
        <f t="shared" si="33"/>
        <v>-11111477.590469496</v>
      </c>
      <c r="K120" s="114">
        <f t="shared" si="34"/>
        <v>38715.949792571366</v>
      </c>
      <c r="L120" s="114">
        <f t="shared" si="35"/>
        <v>95922.475091958549</v>
      </c>
      <c r="M120" s="114">
        <f t="shared" si="36"/>
        <v>134638.4248845299</v>
      </c>
    </row>
    <row r="121" spans="1:13" x14ac:dyDescent="0.25">
      <c r="A121" s="118">
        <v>46721</v>
      </c>
      <c r="B121" s="114"/>
      <c r="C121" s="117">
        <f t="shared" si="29"/>
        <v>11150193.540262066</v>
      </c>
      <c r="D121" s="116"/>
      <c r="E121" s="114">
        <f t="shared" si="30"/>
        <v>-11150193.540262071</v>
      </c>
      <c r="F121" s="114">
        <f t="shared" si="27"/>
        <v>0</v>
      </c>
      <c r="G121" s="114">
        <f t="shared" si="31"/>
        <v>104052.82454839963</v>
      </c>
      <c r="H121" s="115">
        <f t="shared" si="28"/>
        <v>104052.82454839404</v>
      </c>
      <c r="I121" s="114">
        <f t="shared" si="32"/>
        <v>11150193.540262068</v>
      </c>
      <c r="J121" s="114">
        <f t="shared" si="33"/>
        <v>-11140514.552813927</v>
      </c>
      <c r="K121" s="114">
        <f t="shared" si="34"/>
        <v>9678.9874481409788</v>
      </c>
      <c r="L121" s="114">
        <f t="shared" si="35"/>
        <v>102020.23718428938</v>
      </c>
      <c r="M121" s="114">
        <f t="shared" si="36"/>
        <v>111699.22463243036</v>
      </c>
    </row>
    <row r="122" spans="1:13" x14ac:dyDescent="0.25">
      <c r="A122" s="118">
        <v>46752</v>
      </c>
      <c r="B122" s="114"/>
      <c r="C122" s="117">
        <f t="shared" si="29"/>
        <v>11150193.540262066</v>
      </c>
      <c r="D122" s="116"/>
      <c r="E122" s="114">
        <f t="shared" si="30"/>
        <v>-11150193.540262071</v>
      </c>
      <c r="F122" s="114">
        <f t="shared" si="27"/>
        <v>0</v>
      </c>
      <c r="G122" s="114">
        <f t="shared" si="31"/>
        <v>104052.82454839963</v>
      </c>
      <c r="H122" s="115">
        <f t="shared" si="28"/>
        <v>104052.82454839404</v>
      </c>
      <c r="I122" s="114">
        <f t="shared" si="32"/>
        <v>11150193.540262068</v>
      </c>
      <c r="J122" s="114">
        <f t="shared" si="33"/>
        <v>-11150193.540262071</v>
      </c>
      <c r="K122" s="114">
        <f t="shared" si="34"/>
        <v>0</v>
      </c>
      <c r="L122" s="114">
        <f t="shared" si="35"/>
        <v>104052.82454839964</v>
      </c>
      <c r="M122" s="114">
        <f t="shared" si="36"/>
        <v>104052.82454839964</v>
      </c>
    </row>
    <row r="123" spans="1:13" x14ac:dyDescent="0.25">
      <c r="B123" s="113" t="s">
        <v>104</v>
      </c>
      <c r="C123" s="112">
        <v>0</v>
      </c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zoomScale="85" zoomScaleNormal="85" workbookViewId="0">
      <pane xSplit="1" ySplit="25" topLeftCell="B50" activePane="bottomRight" state="frozen"/>
      <selection activeCell="E80" sqref="E80"/>
      <selection pane="topRight" activeCell="E80" sqref="E80"/>
      <selection pane="bottomLeft" activeCell="E80" sqref="E80"/>
      <selection pane="bottomRight" activeCell="D63" sqref="D63:D74"/>
    </sheetView>
  </sheetViews>
  <sheetFormatPr defaultRowHeight="15" outlineLevelRow="1" x14ac:dyDescent="0.25"/>
  <cols>
    <col min="1" max="1" width="17.7109375" customWidth="1"/>
    <col min="2" max="2" width="14.42578125" customWidth="1"/>
    <col min="3" max="3" width="15.7109375" customWidth="1"/>
    <col min="4" max="4" width="14.140625" customWidth="1"/>
    <col min="5" max="5" width="13.85546875" customWidth="1"/>
    <col min="6" max="6" width="14.85546875" customWidth="1"/>
    <col min="7" max="7" width="13.85546875" customWidth="1"/>
    <col min="8" max="8" width="13" customWidth="1"/>
    <col min="9" max="9" width="12.85546875" bestFit="1" customWidth="1"/>
    <col min="10" max="10" width="13.28515625" customWidth="1"/>
    <col min="11" max="11" width="14.140625" customWidth="1"/>
    <col min="12" max="12" width="12.85546875" customWidth="1"/>
    <col min="13" max="13" width="14" customWidth="1"/>
    <col min="14" max="14" width="14.28515625" customWidth="1"/>
    <col min="15" max="15" width="12.7109375" customWidth="1"/>
    <col min="16" max="16" width="14" customWidth="1"/>
    <col min="17" max="17" width="11.140625" bestFit="1" customWidth="1"/>
    <col min="18" max="18" width="12.42578125" bestFit="1" customWidth="1"/>
  </cols>
  <sheetData>
    <row r="1" spans="1:18" x14ac:dyDescent="0.25">
      <c r="A1" s="168" t="s">
        <v>136</v>
      </c>
      <c r="B1" s="173"/>
      <c r="C1" s="173"/>
      <c r="D1" s="261" t="s">
        <v>175</v>
      </c>
      <c r="E1" s="173"/>
      <c r="F1" s="173"/>
      <c r="G1" s="173"/>
      <c r="H1" s="173"/>
      <c r="I1" s="173"/>
      <c r="J1" s="173"/>
      <c r="K1" s="173"/>
      <c r="L1" s="173"/>
      <c r="M1" s="173"/>
    </row>
    <row r="2" spans="1:18" x14ac:dyDescent="0.25">
      <c r="A2" s="232" t="s">
        <v>171</v>
      </c>
      <c r="B2" s="173"/>
      <c r="C2" s="173"/>
      <c r="D2" s="262" t="s">
        <v>176</v>
      </c>
      <c r="E2" s="173"/>
      <c r="F2" s="173"/>
      <c r="G2" s="173"/>
      <c r="H2" s="173"/>
      <c r="I2" s="173"/>
      <c r="J2" s="173"/>
      <c r="K2" s="173"/>
      <c r="L2" s="173"/>
      <c r="M2" s="173"/>
    </row>
    <row r="3" spans="1:18" x14ac:dyDescent="0.25">
      <c r="A3" s="232" t="s">
        <v>170</v>
      </c>
      <c r="B3" s="173"/>
      <c r="C3" s="173"/>
      <c r="D3" s="263" t="s">
        <v>177</v>
      </c>
      <c r="E3" s="173"/>
      <c r="F3" s="173"/>
      <c r="G3" s="173"/>
      <c r="H3" s="173"/>
      <c r="I3" s="173"/>
      <c r="J3" s="173"/>
      <c r="K3" s="173"/>
      <c r="L3" s="173"/>
      <c r="M3" s="173"/>
    </row>
    <row r="4" spans="1:18" x14ac:dyDescent="0.25">
      <c r="C4" s="172"/>
      <c r="D4" s="262" t="s">
        <v>178</v>
      </c>
    </row>
    <row r="5" spans="1:18" x14ac:dyDescent="0.25">
      <c r="C5" s="170"/>
      <c r="D5" s="262" t="s">
        <v>179</v>
      </c>
    </row>
    <row r="6" spans="1:18" ht="15.75" thickBot="1" x14ac:dyDescent="0.3">
      <c r="A6" s="168"/>
      <c r="B6" s="169">
        <v>40740602</v>
      </c>
      <c r="C6" s="169">
        <v>18603053</v>
      </c>
      <c r="D6" s="264" t="s">
        <v>180</v>
      </c>
    </row>
    <row r="7" spans="1:18" ht="15.75" thickBot="1" x14ac:dyDescent="0.3">
      <c r="A7" s="168"/>
      <c r="B7" s="167" t="s">
        <v>134</v>
      </c>
      <c r="C7" s="166"/>
      <c r="D7" s="260"/>
      <c r="E7" s="165"/>
      <c r="F7" s="165"/>
      <c r="G7" s="164"/>
      <c r="H7" s="163"/>
      <c r="I7" s="162" t="s">
        <v>133</v>
      </c>
      <c r="J7" s="161"/>
      <c r="K7" s="161"/>
      <c r="L7" s="160"/>
      <c r="M7" s="159"/>
    </row>
    <row r="8" spans="1:18" x14ac:dyDescent="0.25">
      <c r="A8" s="158" t="s">
        <v>132</v>
      </c>
      <c r="B8" s="157" t="s">
        <v>131</v>
      </c>
      <c r="C8" s="157" t="s">
        <v>130</v>
      </c>
      <c r="D8" s="156" t="s">
        <v>129</v>
      </c>
      <c r="E8" s="156" t="s">
        <v>127</v>
      </c>
      <c r="F8" s="156" t="s">
        <v>128</v>
      </c>
      <c r="G8" s="156" t="s">
        <v>127</v>
      </c>
      <c r="H8" s="156" t="s">
        <v>126</v>
      </c>
      <c r="I8" s="155" t="s">
        <v>125</v>
      </c>
      <c r="J8" s="154" t="s">
        <v>124</v>
      </c>
      <c r="K8" s="154" t="s">
        <v>99</v>
      </c>
      <c r="L8" s="154" t="s">
        <v>99</v>
      </c>
      <c r="M8" s="154" t="s">
        <v>123</v>
      </c>
    </row>
    <row r="9" spans="1:18" x14ac:dyDescent="0.25">
      <c r="A9" s="153"/>
      <c r="B9" s="152" t="s">
        <v>122</v>
      </c>
      <c r="C9" s="152"/>
      <c r="D9" s="150" t="s">
        <v>120</v>
      </c>
      <c r="E9" s="150" t="s">
        <v>120</v>
      </c>
      <c r="F9" s="151">
        <v>0.21</v>
      </c>
      <c r="G9" s="150" t="s">
        <v>121</v>
      </c>
      <c r="H9" s="150" t="s">
        <v>117</v>
      </c>
      <c r="I9" s="149" t="s">
        <v>117</v>
      </c>
      <c r="J9" s="148" t="s">
        <v>120</v>
      </c>
      <c r="K9" s="148" t="s">
        <v>119</v>
      </c>
      <c r="L9" s="148" t="s">
        <v>118</v>
      </c>
      <c r="M9" s="148" t="s">
        <v>117</v>
      </c>
    </row>
    <row r="10" spans="1:18" ht="15.75" thickBot="1" x14ac:dyDescent="0.3">
      <c r="A10" s="142"/>
      <c r="B10" s="145" t="s">
        <v>116</v>
      </c>
      <c r="C10" s="147" t="s">
        <v>115</v>
      </c>
      <c r="D10" s="145" t="s">
        <v>114</v>
      </c>
      <c r="E10" s="145" t="s">
        <v>113</v>
      </c>
      <c r="F10" s="146" t="s">
        <v>112</v>
      </c>
      <c r="G10" s="145" t="s">
        <v>111</v>
      </c>
      <c r="H10" s="144" t="s">
        <v>110</v>
      </c>
      <c r="I10" s="143" t="s">
        <v>109</v>
      </c>
      <c r="J10" s="142" t="s">
        <v>108</v>
      </c>
      <c r="K10" s="142" t="s">
        <v>107</v>
      </c>
      <c r="L10" s="142" t="s">
        <v>106</v>
      </c>
      <c r="M10" s="142" t="s">
        <v>105</v>
      </c>
      <c r="N10" s="141"/>
      <c r="O10" s="141"/>
      <c r="P10" s="141"/>
      <c r="Q10" s="141"/>
      <c r="R10" s="141"/>
    </row>
    <row r="11" spans="1:18" s="109" customFormat="1" hidden="1" outlineLevel="1" x14ac:dyDescent="0.25">
      <c r="A11" s="131">
        <v>43373</v>
      </c>
      <c r="B11" s="140"/>
      <c r="C11" s="139"/>
      <c r="D11" s="138"/>
      <c r="E11" s="137"/>
      <c r="F11" s="137"/>
      <c r="G11" s="137"/>
      <c r="H11" s="136">
        <f>C11+E11+G11</f>
        <v>0</v>
      </c>
      <c r="I11" s="135"/>
      <c r="J11" s="134"/>
      <c r="K11" s="134"/>
      <c r="L11" s="134"/>
      <c r="M11" s="134"/>
      <c r="N11" s="130"/>
      <c r="O11" s="130"/>
      <c r="P11" s="130"/>
      <c r="Q11" s="130"/>
      <c r="R11" s="130"/>
    </row>
    <row r="12" spans="1:18" s="109" customFormat="1" hidden="1" outlineLevel="1" x14ac:dyDescent="0.25">
      <c r="A12" s="131">
        <v>43404</v>
      </c>
      <c r="B12" s="140"/>
      <c r="C12" s="139"/>
      <c r="D12" s="138"/>
      <c r="E12" s="137"/>
      <c r="F12" s="137"/>
      <c r="G12" s="137"/>
      <c r="H12" s="136"/>
      <c r="I12" s="135"/>
      <c r="J12" s="134"/>
      <c r="K12" s="134"/>
      <c r="L12" s="134"/>
      <c r="M12" s="134"/>
      <c r="N12" s="130"/>
      <c r="O12" s="130"/>
      <c r="P12" s="130"/>
      <c r="Q12" s="130"/>
      <c r="R12" s="130"/>
    </row>
    <row r="13" spans="1:18" s="109" customFormat="1" hidden="1" outlineLevel="1" x14ac:dyDescent="0.25">
      <c r="A13" s="131">
        <v>43434</v>
      </c>
      <c r="B13" s="140"/>
      <c r="C13" s="139"/>
      <c r="D13" s="138"/>
      <c r="E13" s="137"/>
      <c r="F13" s="137"/>
      <c r="G13" s="137"/>
      <c r="H13" s="136"/>
      <c r="I13" s="135"/>
      <c r="J13" s="134"/>
      <c r="K13" s="134"/>
      <c r="L13" s="134"/>
      <c r="M13" s="134"/>
      <c r="N13" s="130"/>
      <c r="O13" s="130"/>
      <c r="P13" s="130"/>
      <c r="Q13" s="130"/>
      <c r="R13" s="130"/>
    </row>
    <row r="14" spans="1:18" s="109" customFormat="1" hidden="1" outlineLevel="1" x14ac:dyDescent="0.25">
      <c r="A14" s="131">
        <v>43465</v>
      </c>
      <c r="B14" s="140"/>
      <c r="C14" s="139"/>
      <c r="D14" s="138"/>
      <c r="E14" s="137"/>
      <c r="F14" s="137"/>
      <c r="G14" s="137"/>
      <c r="H14" s="136"/>
      <c r="I14" s="135"/>
      <c r="J14" s="134"/>
      <c r="K14" s="134"/>
      <c r="L14" s="134"/>
      <c r="M14" s="134"/>
      <c r="N14" s="130"/>
      <c r="O14" s="130"/>
      <c r="P14" s="130"/>
      <c r="Q14" s="130"/>
      <c r="R14" s="130"/>
    </row>
    <row r="15" spans="1:18" s="109" customFormat="1" hidden="1" outlineLevel="1" x14ac:dyDescent="0.25">
      <c r="A15" s="131">
        <v>43496</v>
      </c>
      <c r="B15" s="140"/>
      <c r="C15" s="139"/>
      <c r="D15" s="138"/>
      <c r="E15" s="137"/>
      <c r="F15" s="137"/>
      <c r="G15" s="137"/>
      <c r="H15" s="136"/>
      <c r="I15" s="135"/>
      <c r="J15" s="134"/>
      <c r="K15" s="134"/>
      <c r="L15" s="134"/>
      <c r="M15" s="134"/>
      <c r="N15" s="130"/>
      <c r="O15" s="130"/>
      <c r="P15" s="130"/>
      <c r="Q15" s="130"/>
      <c r="R15" s="130"/>
    </row>
    <row r="16" spans="1:18" s="109" customFormat="1" hidden="1" outlineLevel="1" x14ac:dyDescent="0.25">
      <c r="A16" s="131">
        <v>43524</v>
      </c>
      <c r="B16" s="140"/>
      <c r="C16" s="139"/>
      <c r="D16" s="138"/>
      <c r="E16" s="137"/>
      <c r="F16" s="137"/>
      <c r="G16" s="137"/>
      <c r="H16" s="136"/>
      <c r="I16" s="135"/>
      <c r="J16" s="134"/>
      <c r="K16" s="134"/>
      <c r="L16" s="134"/>
      <c r="M16" s="134"/>
      <c r="N16" s="130"/>
      <c r="O16" s="130"/>
      <c r="P16" s="130"/>
      <c r="Q16" s="130"/>
      <c r="R16" s="130"/>
    </row>
    <row r="17" spans="1:18" s="109" customFormat="1" hidden="1" outlineLevel="1" x14ac:dyDescent="0.25">
      <c r="A17" s="131">
        <v>43555</v>
      </c>
      <c r="B17" s="140"/>
      <c r="C17" s="139"/>
      <c r="D17" s="138"/>
      <c r="E17" s="137"/>
      <c r="F17" s="137"/>
      <c r="G17" s="137"/>
      <c r="H17" s="136"/>
      <c r="I17" s="135"/>
      <c r="J17" s="134"/>
      <c r="K17" s="134"/>
      <c r="L17" s="134"/>
      <c r="M17" s="134"/>
      <c r="N17" s="130"/>
      <c r="O17" s="130"/>
      <c r="P17" s="130"/>
      <c r="Q17" s="130"/>
      <c r="R17" s="130"/>
    </row>
    <row r="18" spans="1:18" s="109" customFormat="1" hidden="1" outlineLevel="1" x14ac:dyDescent="0.25">
      <c r="A18" s="131">
        <v>43585</v>
      </c>
      <c r="B18" s="140"/>
      <c r="C18" s="139"/>
      <c r="D18" s="138"/>
      <c r="E18" s="137"/>
      <c r="F18" s="137"/>
      <c r="G18" s="137"/>
      <c r="H18" s="136"/>
      <c r="I18" s="135"/>
      <c r="J18" s="134"/>
      <c r="K18" s="134"/>
      <c r="L18" s="134"/>
      <c r="M18" s="134"/>
      <c r="N18" s="130"/>
      <c r="O18" s="130"/>
      <c r="P18" s="130"/>
      <c r="Q18" s="130"/>
      <c r="R18" s="130"/>
    </row>
    <row r="19" spans="1:18" s="109" customFormat="1" hidden="1" outlineLevel="1" x14ac:dyDescent="0.25">
      <c r="A19" s="131">
        <v>43616</v>
      </c>
      <c r="B19" s="140"/>
      <c r="C19" s="139"/>
      <c r="D19" s="138"/>
      <c r="E19" s="137"/>
      <c r="F19" s="137"/>
      <c r="G19" s="137"/>
      <c r="H19" s="136"/>
      <c r="I19" s="135"/>
      <c r="J19" s="134"/>
      <c r="K19" s="134"/>
      <c r="L19" s="134"/>
      <c r="M19" s="134"/>
      <c r="N19" s="130"/>
      <c r="O19" s="130"/>
      <c r="P19" s="130"/>
      <c r="Q19" s="130"/>
      <c r="R19" s="130"/>
    </row>
    <row r="20" spans="1:18" s="109" customFormat="1" hidden="1" outlineLevel="1" x14ac:dyDescent="0.25">
      <c r="A20" s="131">
        <v>43646</v>
      </c>
      <c r="B20" s="140"/>
      <c r="C20" s="139"/>
      <c r="D20" s="138"/>
      <c r="E20" s="137"/>
      <c r="F20" s="137"/>
      <c r="G20" s="137"/>
      <c r="H20" s="136"/>
      <c r="I20" s="135"/>
      <c r="J20" s="134"/>
      <c r="K20" s="134"/>
      <c r="L20" s="134"/>
      <c r="M20" s="134"/>
      <c r="N20" s="130"/>
      <c r="O20" s="130"/>
      <c r="P20" s="130"/>
      <c r="Q20" s="130"/>
      <c r="R20" s="130"/>
    </row>
    <row r="21" spans="1:18" s="109" customFormat="1" hidden="1" outlineLevel="1" x14ac:dyDescent="0.25">
      <c r="A21" s="131">
        <v>43677</v>
      </c>
      <c r="B21" s="140"/>
      <c r="C21" s="139"/>
      <c r="D21" s="138"/>
      <c r="E21" s="137"/>
      <c r="F21" s="137"/>
      <c r="G21" s="137"/>
      <c r="H21" s="136"/>
      <c r="I21" s="135"/>
      <c r="J21" s="134"/>
      <c r="K21" s="134"/>
      <c r="L21" s="134"/>
      <c r="M21" s="134"/>
      <c r="N21" s="130"/>
      <c r="O21" s="130"/>
      <c r="P21" s="130"/>
      <c r="Q21" s="130"/>
      <c r="R21" s="130"/>
    </row>
    <row r="22" spans="1:18" s="109" customFormat="1" hidden="1" outlineLevel="1" x14ac:dyDescent="0.25">
      <c r="A22" s="131">
        <v>43708</v>
      </c>
      <c r="B22" s="140"/>
      <c r="C22" s="139"/>
      <c r="D22" s="138"/>
      <c r="E22" s="137"/>
      <c r="F22" s="137"/>
      <c r="G22" s="137"/>
      <c r="H22" s="136"/>
      <c r="I22" s="135"/>
      <c r="J22" s="134"/>
      <c r="K22" s="134"/>
      <c r="L22" s="134"/>
      <c r="M22" s="134"/>
      <c r="N22" s="130"/>
      <c r="O22" s="130"/>
      <c r="P22" s="130"/>
      <c r="Q22" s="130"/>
      <c r="R22" s="130"/>
    </row>
    <row r="23" spans="1:18" s="109" customFormat="1" hidden="1" outlineLevel="1" x14ac:dyDescent="0.25">
      <c r="A23" s="131">
        <v>43738</v>
      </c>
      <c r="B23" s="140"/>
      <c r="C23" s="139"/>
      <c r="D23" s="138"/>
      <c r="E23" s="137"/>
      <c r="F23" s="137"/>
      <c r="G23" s="137"/>
      <c r="H23" s="136"/>
      <c r="I23" s="135">
        <f t="shared" ref="I23:I54" si="0">(C11+C23+SUM(C12:C22)*2)/24</f>
        <v>0</v>
      </c>
      <c r="J23" s="134">
        <f t="shared" ref="J23:J54" si="1">(E11+E23+SUM(E12:E22)*2)/24</f>
        <v>0</v>
      </c>
      <c r="K23" s="134">
        <f t="shared" ref="K23:K54" si="2">I23+J23</f>
        <v>0</v>
      </c>
      <c r="L23" s="134">
        <f t="shared" ref="L23:L54" si="3">(G11+G23+SUM(G12:G22)*2)/24</f>
        <v>0</v>
      </c>
      <c r="M23" s="134">
        <f t="shared" ref="M23:M54" si="4">K23+L23</f>
        <v>0</v>
      </c>
      <c r="N23" s="130"/>
      <c r="O23" s="130"/>
      <c r="P23" s="130"/>
      <c r="Q23" s="130"/>
      <c r="R23" s="130"/>
    </row>
    <row r="24" spans="1:18" s="109" customFormat="1" hidden="1" outlineLevel="1" x14ac:dyDescent="0.25">
      <c r="A24" s="131">
        <v>43769</v>
      </c>
      <c r="B24" s="140"/>
      <c r="C24" s="139"/>
      <c r="D24" s="138"/>
      <c r="E24" s="137"/>
      <c r="F24" s="137"/>
      <c r="G24" s="137"/>
      <c r="H24" s="136"/>
      <c r="I24" s="135">
        <f t="shared" si="0"/>
        <v>0</v>
      </c>
      <c r="J24" s="134">
        <f t="shared" si="1"/>
        <v>0</v>
      </c>
      <c r="K24" s="134">
        <f t="shared" si="2"/>
        <v>0</v>
      </c>
      <c r="L24" s="134">
        <f t="shared" si="3"/>
        <v>0</v>
      </c>
      <c r="M24" s="134">
        <f t="shared" si="4"/>
        <v>0</v>
      </c>
      <c r="N24" s="130"/>
      <c r="O24" s="130"/>
      <c r="P24" s="130"/>
      <c r="Q24" s="130"/>
      <c r="R24" s="130"/>
    </row>
    <row r="25" spans="1:18" s="109" customFormat="1" hidden="1" outlineLevel="1" x14ac:dyDescent="0.25">
      <c r="A25" s="131">
        <v>43799</v>
      </c>
      <c r="B25" s="140"/>
      <c r="C25" s="139"/>
      <c r="D25" s="138"/>
      <c r="E25" s="137"/>
      <c r="F25" s="137"/>
      <c r="G25" s="137"/>
      <c r="H25" s="136"/>
      <c r="I25" s="135">
        <f t="shared" si="0"/>
        <v>0</v>
      </c>
      <c r="J25" s="134">
        <f t="shared" si="1"/>
        <v>0</v>
      </c>
      <c r="K25" s="134">
        <f t="shared" si="2"/>
        <v>0</v>
      </c>
      <c r="L25" s="134">
        <f t="shared" si="3"/>
        <v>0</v>
      </c>
      <c r="M25" s="134">
        <f t="shared" si="4"/>
        <v>0</v>
      </c>
      <c r="N25" s="130"/>
      <c r="O25" s="130"/>
      <c r="P25" s="130"/>
      <c r="Q25" s="130"/>
      <c r="R25" s="130"/>
    </row>
    <row r="26" spans="1:18" s="109" customFormat="1" collapsed="1" x14ac:dyDescent="0.25">
      <c r="A26" s="131">
        <v>43830</v>
      </c>
      <c r="B26" s="140"/>
      <c r="C26" s="139"/>
      <c r="D26" s="138"/>
      <c r="E26" s="137"/>
      <c r="F26" s="137"/>
      <c r="G26" s="137"/>
      <c r="H26" s="136"/>
      <c r="I26" s="135">
        <f t="shared" si="0"/>
        <v>0</v>
      </c>
      <c r="J26" s="134">
        <f t="shared" si="1"/>
        <v>0</v>
      </c>
      <c r="K26" s="134">
        <f t="shared" si="2"/>
        <v>0</v>
      </c>
      <c r="L26" s="134">
        <f t="shared" si="3"/>
        <v>0</v>
      </c>
      <c r="M26" s="134">
        <f t="shared" si="4"/>
        <v>0</v>
      </c>
      <c r="N26" s="130"/>
      <c r="O26" s="130"/>
      <c r="P26" s="130"/>
      <c r="Q26" s="130"/>
      <c r="R26" s="130"/>
    </row>
    <row r="27" spans="1:18" s="109" customFormat="1" x14ac:dyDescent="0.25">
      <c r="A27" s="131">
        <v>43861</v>
      </c>
      <c r="B27" s="122">
        <v>965.01635636475226</v>
      </c>
      <c r="C27" s="124">
        <f>B27</f>
        <v>965.01635636475226</v>
      </c>
      <c r="D27" s="132"/>
      <c r="E27" s="122"/>
      <c r="F27" s="122">
        <f t="shared" ref="F27:F58" si="5">-(B27*$F$9)+(D27*$F$9)</f>
        <v>-202.65343483659797</v>
      </c>
      <c r="G27" s="122">
        <f t="shared" ref="G27:G36" si="6">F27</f>
        <v>-202.65343483659797</v>
      </c>
      <c r="H27" s="121">
        <f t="shared" ref="H27:H58" si="7">C27+E27+G27</f>
        <v>762.36292152815429</v>
      </c>
      <c r="I27" s="120">
        <f t="shared" si="0"/>
        <v>40.209014848531346</v>
      </c>
      <c r="J27" s="119">
        <f t="shared" si="1"/>
        <v>0</v>
      </c>
      <c r="K27" s="119">
        <f t="shared" si="2"/>
        <v>40.209014848531346</v>
      </c>
      <c r="L27" s="119">
        <f t="shared" si="3"/>
        <v>-8.4438931181915819</v>
      </c>
      <c r="M27" s="119">
        <f t="shared" si="4"/>
        <v>31.765121730339764</v>
      </c>
      <c r="N27" s="130"/>
      <c r="O27" s="130"/>
      <c r="P27" s="130"/>
      <c r="Q27" s="130"/>
      <c r="R27" s="130"/>
    </row>
    <row r="28" spans="1:18" s="109" customFormat="1" x14ac:dyDescent="0.25">
      <c r="A28" s="131">
        <v>43890</v>
      </c>
      <c r="B28" s="122">
        <v>1930.5208</v>
      </c>
      <c r="C28" s="124">
        <f t="shared" ref="C28:C59" si="8">+B28+C27</f>
        <v>2895.5371563647523</v>
      </c>
      <c r="D28" s="132"/>
      <c r="E28" s="122"/>
      <c r="F28" s="122">
        <f t="shared" si="5"/>
        <v>-405.40936799999997</v>
      </c>
      <c r="G28" s="122">
        <f t="shared" si="6"/>
        <v>-405.40936799999997</v>
      </c>
      <c r="H28" s="121">
        <f t="shared" si="7"/>
        <v>2490.1277883647522</v>
      </c>
      <c r="I28" s="120">
        <f t="shared" si="0"/>
        <v>201.06541121226073</v>
      </c>
      <c r="J28" s="119">
        <f t="shared" si="1"/>
        <v>0</v>
      </c>
      <c r="K28" s="119">
        <f t="shared" si="2"/>
        <v>201.06541121226073</v>
      </c>
      <c r="L28" s="119">
        <f t="shared" si="3"/>
        <v>-33.779843236383165</v>
      </c>
      <c r="M28" s="119">
        <f t="shared" si="4"/>
        <v>167.28556797587757</v>
      </c>
      <c r="N28" s="130"/>
      <c r="O28" s="130"/>
      <c r="P28" s="130"/>
      <c r="Q28" s="130"/>
      <c r="R28" s="130"/>
    </row>
    <row r="29" spans="1:18" s="109" customFormat="1" x14ac:dyDescent="0.25">
      <c r="A29" s="131">
        <v>43921</v>
      </c>
      <c r="B29" s="122">
        <v>14935.201008</v>
      </c>
      <c r="C29" s="124">
        <f t="shared" si="8"/>
        <v>17830.738164364753</v>
      </c>
      <c r="D29" s="132"/>
      <c r="E29" s="122"/>
      <c r="F29" s="122">
        <f t="shared" si="5"/>
        <v>-3136.3922116799999</v>
      </c>
      <c r="G29" s="122">
        <f t="shared" si="6"/>
        <v>-3136.3922116799999</v>
      </c>
      <c r="H29" s="121">
        <f t="shared" si="7"/>
        <v>14694.345952684753</v>
      </c>
      <c r="I29" s="120">
        <f t="shared" si="0"/>
        <v>1064.6602162426568</v>
      </c>
      <c r="J29" s="119">
        <f t="shared" si="1"/>
        <v>0</v>
      </c>
      <c r="K29" s="119">
        <f t="shared" si="2"/>
        <v>1064.6602162426568</v>
      </c>
      <c r="L29" s="119">
        <f t="shared" si="3"/>
        <v>-181.35490905638315</v>
      </c>
      <c r="M29" s="119">
        <f t="shared" si="4"/>
        <v>883.30530718627369</v>
      </c>
      <c r="N29" s="130"/>
      <c r="O29" s="130"/>
      <c r="P29" s="130"/>
      <c r="Q29" s="130"/>
      <c r="R29" s="130"/>
    </row>
    <row r="30" spans="1:18" s="109" customFormat="1" x14ac:dyDescent="0.25">
      <c r="A30" s="131">
        <v>43951</v>
      </c>
      <c r="B30" s="122">
        <v>28974.31407</v>
      </c>
      <c r="C30" s="124">
        <f t="shared" si="8"/>
        <v>46805.052234364754</v>
      </c>
      <c r="D30" s="132"/>
      <c r="E30" s="122"/>
      <c r="F30" s="122">
        <f t="shared" si="5"/>
        <v>-6084.6059546999995</v>
      </c>
      <c r="G30" s="122">
        <f t="shared" si="6"/>
        <v>-6084.6059546999995</v>
      </c>
      <c r="H30" s="121">
        <f t="shared" si="7"/>
        <v>40720.446279664757</v>
      </c>
      <c r="I30" s="120">
        <f t="shared" si="0"/>
        <v>3757.8181495230529</v>
      </c>
      <c r="J30" s="119">
        <f t="shared" si="1"/>
        <v>0</v>
      </c>
      <c r="K30" s="119">
        <f t="shared" si="2"/>
        <v>3757.8181495230529</v>
      </c>
      <c r="L30" s="119">
        <f t="shared" si="3"/>
        <v>-565.56316598888316</v>
      </c>
      <c r="M30" s="119">
        <f t="shared" si="4"/>
        <v>3192.2549835341697</v>
      </c>
      <c r="N30" s="130"/>
      <c r="O30" s="130"/>
      <c r="P30" s="130"/>
      <c r="Q30" s="130"/>
      <c r="R30" s="130"/>
    </row>
    <row r="31" spans="1:18" s="109" customFormat="1" x14ac:dyDescent="0.25">
      <c r="A31" s="131">
        <v>43982</v>
      </c>
      <c r="B31" s="122">
        <v>30305.443584000001</v>
      </c>
      <c r="C31" s="124">
        <f t="shared" si="8"/>
        <v>77110.495818364754</v>
      </c>
      <c r="D31" s="132"/>
      <c r="E31" s="122"/>
      <c r="F31" s="122">
        <f t="shared" si="5"/>
        <v>-6364.1431526400002</v>
      </c>
      <c r="G31" s="122">
        <f t="shared" si="6"/>
        <v>-6364.1431526400002</v>
      </c>
      <c r="H31" s="121">
        <f t="shared" si="7"/>
        <v>70746.352665724757</v>
      </c>
      <c r="I31" s="120">
        <f t="shared" si="0"/>
        <v>8920.9659850534499</v>
      </c>
      <c r="J31" s="119">
        <f t="shared" si="1"/>
        <v>0</v>
      </c>
      <c r="K31" s="119">
        <f t="shared" si="2"/>
        <v>8920.9659850534499</v>
      </c>
      <c r="L31" s="119">
        <f t="shared" si="3"/>
        <v>-1084.261045461383</v>
      </c>
      <c r="M31" s="119">
        <f t="shared" si="4"/>
        <v>7836.7049395920667</v>
      </c>
      <c r="N31" s="130"/>
      <c r="O31" s="130"/>
      <c r="P31" s="130"/>
      <c r="Q31" s="130"/>
      <c r="R31" s="130"/>
    </row>
    <row r="32" spans="1:18" s="109" customFormat="1" x14ac:dyDescent="0.25">
      <c r="A32" s="131">
        <v>44012</v>
      </c>
      <c r="B32" s="122">
        <v>30970.693286000002</v>
      </c>
      <c r="C32" s="124">
        <f t="shared" si="8"/>
        <v>108081.18910436475</v>
      </c>
      <c r="D32" s="132"/>
      <c r="E32" s="122"/>
      <c r="F32" s="122">
        <f t="shared" si="5"/>
        <v>-6503.8455900600002</v>
      </c>
      <c r="G32" s="122">
        <f t="shared" si="6"/>
        <v>-6503.8455900600002</v>
      </c>
      <c r="H32" s="121">
        <f t="shared" si="7"/>
        <v>101577.34351430475</v>
      </c>
      <c r="I32" s="120">
        <f t="shared" si="0"/>
        <v>16637.286190167175</v>
      </c>
      <c r="J32" s="119">
        <f t="shared" si="1"/>
        <v>0</v>
      </c>
      <c r="K32" s="119">
        <f t="shared" si="2"/>
        <v>16637.286190167175</v>
      </c>
      <c r="L32" s="119">
        <f t="shared" si="3"/>
        <v>-1620.4272430738831</v>
      </c>
      <c r="M32" s="119">
        <f t="shared" si="4"/>
        <v>15016.858947093291</v>
      </c>
      <c r="N32" s="130"/>
      <c r="O32" s="130"/>
      <c r="P32" s="130"/>
      <c r="Q32" s="130"/>
      <c r="R32" s="130"/>
    </row>
    <row r="33" spans="1:19" s="109" customFormat="1" x14ac:dyDescent="0.25">
      <c r="A33" s="131">
        <v>44043</v>
      </c>
      <c r="B33" s="122">
        <v>132964.24857933333</v>
      </c>
      <c r="C33" s="124">
        <f t="shared" si="8"/>
        <v>241045.43768369808</v>
      </c>
      <c r="D33" s="132"/>
      <c r="E33" s="122"/>
      <c r="F33" s="122">
        <f t="shared" si="5"/>
        <v>-27922.492201659999</v>
      </c>
      <c r="G33" s="122">
        <f t="shared" si="6"/>
        <v>-27922.492201659999</v>
      </c>
      <c r="H33" s="121">
        <f t="shared" si="7"/>
        <v>213122.94548203808</v>
      </c>
      <c r="I33" s="120">
        <f t="shared" si="0"/>
        <v>31184.22897300313</v>
      </c>
      <c r="J33" s="119">
        <f t="shared" si="1"/>
        <v>0</v>
      </c>
      <c r="K33" s="119">
        <f t="shared" si="2"/>
        <v>31184.22897300313</v>
      </c>
      <c r="L33" s="119">
        <f t="shared" si="3"/>
        <v>-3054.8579843955499</v>
      </c>
      <c r="M33" s="119">
        <f t="shared" si="4"/>
        <v>28129.370988607581</v>
      </c>
      <c r="N33" s="130"/>
      <c r="O33" s="130"/>
      <c r="P33" s="130"/>
      <c r="Q33" s="130"/>
      <c r="R33" s="130"/>
    </row>
    <row r="34" spans="1:19" s="109" customFormat="1" x14ac:dyDescent="0.25">
      <c r="A34" s="131">
        <v>44074</v>
      </c>
      <c r="B34" s="122">
        <v>254141.29300866669</v>
      </c>
      <c r="C34" s="124">
        <f t="shared" si="8"/>
        <v>495186.73069236474</v>
      </c>
      <c r="D34" s="132"/>
      <c r="E34" s="122"/>
      <c r="F34" s="122">
        <f t="shared" si="5"/>
        <v>-53369.67153182</v>
      </c>
      <c r="G34" s="122">
        <f t="shared" si="6"/>
        <v>-53369.67153182</v>
      </c>
      <c r="H34" s="121">
        <f t="shared" si="7"/>
        <v>441817.05916054477</v>
      </c>
      <c r="I34" s="120">
        <f t="shared" si="0"/>
        <v>61860.569322005751</v>
      </c>
      <c r="J34" s="119">
        <f t="shared" si="1"/>
        <v>0</v>
      </c>
      <c r="K34" s="119">
        <f t="shared" si="2"/>
        <v>61860.569322005751</v>
      </c>
      <c r="L34" s="119">
        <f t="shared" si="3"/>
        <v>-6442.0314732905499</v>
      </c>
      <c r="M34" s="119">
        <f t="shared" si="4"/>
        <v>55418.537848715205</v>
      </c>
      <c r="N34" s="130"/>
      <c r="O34" s="130"/>
      <c r="P34" s="130"/>
      <c r="Q34" s="130"/>
      <c r="R34" s="130"/>
    </row>
    <row r="35" spans="1:19" s="109" customFormat="1" x14ac:dyDescent="0.25">
      <c r="A35" s="131">
        <v>44104</v>
      </c>
      <c r="B35" s="122">
        <v>277089.47750666668</v>
      </c>
      <c r="C35" s="124">
        <f t="shared" si="8"/>
        <v>772276.20819903142</v>
      </c>
      <c r="D35" s="132"/>
      <c r="E35" s="122"/>
      <c r="F35" s="122">
        <f t="shared" si="5"/>
        <v>-58188.790276400003</v>
      </c>
      <c r="G35" s="122">
        <f t="shared" si="6"/>
        <v>-58188.790276400003</v>
      </c>
      <c r="H35" s="121">
        <f t="shared" si="7"/>
        <v>714087.41792263137</v>
      </c>
      <c r="I35" s="120">
        <f t="shared" si="0"/>
        <v>114671.52510914726</v>
      </c>
      <c r="J35" s="119">
        <f t="shared" si="1"/>
        <v>0</v>
      </c>
      <c r="K35" s="119">
        <f t="shared" si="2"/>
        <v>114671.52510914726</v>
      </c>
      <c r="L35" s="119">
        <f t="shared" si="3"/>
        <v>-11090.300715299716</v>
      </c>
      <c r="M35" s="119">
        <f t="shared" si="4"/>
        <v>103581.22439384754</v>
      </c>
      <c r="N35" s="130"/>
      <c r="O35" s="130"/>
      <c r="P35" s="130"/>
      <c r="Q35" s="130"/>
      <c r="R35" s="130"/>
    </row>
    <row r="36" spans="1:19" s="109" customFormat="1" x14ac:dyDescent="0.25">
      <c r="A36" s="131">
        <v>44135</v>
      </c>
      <c r="B36" s="122">
        <v>287048.56037666666</v>
      </c>
      <c r="C36" s="124">
        <f t="shared" si="8"/>
        <v>1059324.7685756981</v>
      </c>
      <c r="D36" s="123"/>
      <c r="E36" s="122">
        <f t="shared" ref="E36:E67" si="9">E35-D36</f>
        <v>0</v>
      </c>
      <c r="F36" s="122">
        <f t="shared" si="5"/>
        <v>-60280.197679099998</v>
      </c>
      <c r="G36" s="122">
        <f t="shared" si="6"/>
        <v>-60280.197679099998</v>
      </c>
      <c r="H36" s="121">
        <f t="shared" si="7"/>
        <v>999044.57089659816</v>
      </c>
      <c r="I36" s="120">
        <f t="shared" si="0"/>
        <v>190988.232474761</v>
      </c>
      <c r="J36" s="119">
        <f t="shared" si="1"/>
        <v>0</v>
      </c>
      <c r="K36" s="119">
        <f t="shared" si="2"/>
        <v>190988.232474761</v>
      </c>
      <c r="L36" s="119">
        <f t="shared" si="3"/>
        <v>-16026.508546778883</v>
      </c>
      <c r="M36" s="119">
        <f t="shared" si="4"/>
        <v>174961.72392798212</v>
      </c>
      <c r="N36" s="130"/>
      <c r="O36" s="130"/>
      <c r="P36" s="130"/>
      <c r="Q36" s="130"/>
      <c r="R36" s="130"/>
    </row>
    <row r="37" spans="1:19" s="109" customFormat="1" x14ac:dyDescent="0.25">
      <c r="A37" s="131">
        <v>44165</v>
      </c>
      <c r="B37" s="122">
        <v>312796.94213266671</v>
      </c>
      <c r="C37" s="124">
        <f t="shared" si="8"/>
        <v>1372121.7107083648</v>
      </c>
      <c r="D37" s="123"/>
      <c r="E37" s="122">
        <f t="shared" si="9"/>
        <v>0</v>
      </c>
      <c r="F37" s="122">
        <f t="shared" si="5"/>
        <v>-65687.35784786001</v>
      </c>
      <c r="G37" s="122">
        <f t="shared" ref="G37:G68" si="10">G36+F37</f>
        <v>-125967.55552696</v>
      </c>
      <c r="H37" s="121">
        <f t="shared" si="7"/>
        <v>1246154.1551814049</v>
      </c>
      <c r="I37" s="120">
        <f t="shared" si="0"/>
        <v>292298.50244493032</v>
      </c>
      <c r="J37" s="119">
        <f t="shared" si="1"/>
        <v>0</v>
      </c>
      <c r="K37" s="119">
        <f t="shared" si="2"/>
        <v>292298.50244493032</v>
      </c>
      <c r="L37" s="119">
        <f t="shared" si="3"/>
        <v>-23786.831597031385</v>
      </c>
      <c r="M37" s="119">
        <f t="shared" si="4"/>
        <v>268511.67084789893</v>
      </c>
      <c r="N37" s="130"/>
      <c r="O37" s="130"/>
      <c r="P37" s="130"/>
      <c r="Q37" s="130"/>
      <c r="R37" s="130"/>
    </row>
    <row r="38" spans="1:19" s="109" customFormat="1" x14ac:dyDescent="0.25">
      <c r="A38" s="131">
        <v>44196</v>
      </c>
      <c r="B38" s="122">
        <v>334049.22150029999</v>
      </c>
      <c r="C38" s="124">
        <f t="shared" si="8"/>
        <v>1706170.9322086647</v>
      </c>
      <c r="D38" s="123"/>
      <c r="E38" s="122">
        <f t="shared" si="9"/>
        <v>0</v>
      </c>
      <c r="F38" s="122">
        <f t="shared" si="5"/>
        <v>-70150.336515062998</v>
      </c>
      <c r="G38" s="122">
        <f t="shared" si="10"/>
        <v>-196117.89204202301</v>
      </c>
      <c r="H38" s="121">
        <f t="shared" si="7"/>
        <v>1510053.0401666416</v>
      </c>
      <c r="I38" s="120">
        <f t="shared" si="0"/>
        <v>420560.69589980651</v>
      </c>
      <c r="J38" s="119">
        <f t="shared" si="1"/>
        <v>0</v>
      </c>
      <c r="K38" s="119">
        <f t="shared" si="2"/>
        <v>420560.69589980651</v>
      </c>
      <c r="L38" s="119">
        <f t="shared" si="3"/>
        <v>-37207.058579072342</v>
      </c>
      <c r="M38" s="119">
        <f t="shared" si="4"/>
        <v>383353.63732073415</v>
      </c>
      <c r="N38" s="130"/>
      <c r="O38" s="130"/>
      <c r="P38" s="130"/>
      <c r="Q38" s="130"/>
      <c r="R38" s="130"/>
    </row>
    <row r="39" spans="1:19" s="109" customFormat="1" x14ac:dyDescent="0.25">
      <c r="A39" s="118">
        <v>44227</v>
      </c>
      <c r="B39" s="114">
        <v>349411.95526193333</v>
      </c>
      <c r="C39" s="117">
        <f t="shared" si="8"/>
        <v>2055582.8874705981</v>
      </c>
      <c r="D39" s="116"/>
      <c r="E39" s="114">
        <f t="shared" si="9"/>
        <v>0</v>
      </c>
      <c r="F39" s="114">
        <f t="shared" si="5"/>
        <v>-73376.510605005999</v>
      </c>
      <c r="G39" s="114">
        <f t="shared" si="10"/>
        <v>-269494.40264702903</v>
      </c>
      <c r="H39" s="115">
        <f t="shared" si="7"/>
        <v>1786088.4848235692</v>
      </c>
      <c r="I39" s="114">
        <f t="shared" si="0"/>
        <v>577260.22937159392</v>
      </c>
      <c r="J39" s="114">
        <f t="shared" si="1"/>
        <v>0</v>
      </c>
      <c r="K39" s="114">
        <f t="shared" si="2"/>
        <v>577260.22937159392</v>
      </c>
      <c r="L39" s="114">
        <f t="shared" si="3"/>
        <v>-56599.126964664662</v>
      </c>
      <c r="M39" s="114">
        <f t="shared" si="4"/>
        <v>520661.10240692925</v>
      </c>
      <c r="N39" s="129"/>
      <c r="O39" s="130"/>
      <c r="P39" s="130"/>
      <c r="Q39" s="130"/>
      <c r="R39" s="130"/>
    </row>
    <row r="40" spans="1:19" s="109" customFormat="1" x14ac:dyDescent="0.25">
      <c r="A40" s="118">
        <v>44255</v>
      </c>
      <c r="B40" s="114">
        <v>362673.88938593329</v>
      </c>
      <c r="C40" s="117">
        <f t="shared" si="8"/>
        <v>2418256.7768565314</v>
      </c>
      <c r="D40" s="116"/>
      <c r="E40" s="114">
        <f t="shared" si="9"/>
        <v>0</v>
      </c>
      <c r="F40" s="114">
        <f t="shared" si="5"/>
        <v>-76161.516771045994</v>
      </c>
      <c r="G40" s="114">
        <f t="shared" si="10"/>
        <v>-345655.91941807501</v>
      </c>
      <c r="H40" s="115">
        <f t="shared" si="7"/>
        <v>2072600.8574384563</v>
      </c>
      <c r="I40" s="114">
        <f t="shared" si="0"/>
        <v>763509.35898886062</v>
      </c>
      <c r="J40" s="114">
        <f t="shared" si="1"/>
        <v>0</v>
      </c>
      <c r="K40" s="114">
        <f t="shared" si="2"/>
        <v>763509.35898886062</v>
      </c>
      <c r="L40" s="114">
        <f t="shared" si="3"/>
        <v>-82205.05443392579</v>
      </c>
      <c r="M40" s="114">
        <f t="shared" si="4"/>
        <v>681304.30455493485</v>
      </c>
      <c r="N40" s="129"/>
      <c r="O40" s="126"/>
      <c r="P40" s="126"/>
      <c r="Q40" s="126"/>
      <c r="R40" s="126"/>
      <c r="S40" s="126"/>
    </row>
    <row r="41" spans="1:19" s="109" customFormat="1" x14ac:dyDescent="0.25">
      <c r="A41" s="118">
        <v>44286</v>
      </c>
      <c r="B41" s="114">
        <v>362811.4697899333</v>
      </c>
      <c r="C41" s="117">
        <f t="shared" si="8"/>
        <v>2781068.2466464648</v>
      </c>
      <c r="D41" s="116"/>
      <c r="E41" s="114">
        <f t="shared" si="9"/>
        <v>0</v>
      </c>
      <c r="F41" s="114">
        <f t="shared" si="5"/>
        <v>-76190.408655885985</v>
      </c>
      <c r="G41" s="114">
        <f t="shared" si="10"/>
        <v>-421846.32807396096</v>
      </c>
      <c r="H41" s="115">
        <f t="shared" si="7"/>
        <v>2359221.9185725041</v>
      </c>
      <c r="I41" s="114">
        <f t="shared" si="0"/>
        <v>979284.30682978837</v>
      </c>
      <c r="J41" s="114">
        <f t="shared" si="1"/>
        <v>0</v>
      </c>
      <c r="K41" s="114">
        <f t="shared" si="2"/>
        <v>979284.30682978837</v>
      </c>
      <c r="L41" s="114">
        <f t="shared" si="3"/>
        <v>-114036.73968027397</v>
      </c>
      <c r="M41" s="114">
        <f t="shared" si="4"/>
        <v>865247.56714951445</v>
      </c>
      <c r="N41" s="129"/>
      <c r="O41" s="126"/>
      <c r="P41" s="126"/>
      <c r="Q41" s="126"/>
      <c r="R41" s="126"/>
      <c r="S41" s="126"/>
    </row>
    <row r="42" spans="1:19" s="109" customFormat="1" x14ac:dyDescent="0.25">
      <c r="A42" s="118">
        <v>44316</v>
      </c>
      <c r="B42" s="114">
        <v>362896.18533593335</v>
      </c>
      <c r="C42" s="117">
        <f t="shared" si="8"/>
        <v>3143964.431982398</v>
      </c>
      <c r="D42" s="116"/>
      <c r="E42" s="114">
        <f t="shared" si="9"/>
        <v>0</v>
      </c>
      <c r="F42" s="114">
        <f t="shared" si="5"/>
        <v>-76208.198920545998</v>
      </c>
      <c r="G42" s="114">
        <f t="shared" si="10"/>
        <v>-498054.52699450694</v>
      </c>
      <c r="H42" s="115">
        <f t="shared" si="7"/>
        <v>2645909.9049878912</v>
      </c>
      <c r="I42" s="114">
        <f t="shared" si="0"/>
        <v>1223467.5105060441</v>
      </c>
      <c r="J42" s="114">
        <f t="shared" si="1"/>
        <v>0</v>
      </c>
      <c r="K42" s="114">
        <f t="shared" si="2"/>
        <v>1223467.5105060441</v>
      </c>
      <c r="L42" s="114">
        <f t="shared" si="3"/>
        <v>-151981.73371786095</v>
      </c>
      <c r="M42" s="114">
        <f t="shared" si="4"/>
        <v>1071485.7767881833</v>
      </c>
      <c r="N42" s="129"/>
    </row>
    <row r="43" spans="1:19" s="126" customFormat="1" x14ac:dyDescent="0.25">
      <c r="A43" s="118">
        <v>44347</v>
      </c>
      <c r="B43" s="114">
        <v>364500.50465993339</v>
      </c>
      <c r="C43" s="117">
        <f t="shared" si="8"/>
        <v>3508464.9366423315</v>
      </c>
      <c r="D43" s="116"/>
      <c r="E43" s="114">
        <f t="shared" si="9"/>
        <v>0</v>
      </c>
      <c r="F43" s="114">
        <f t="shared" si="5"/>
        <v>-76545.105978586012</v>
      </c>
      <c r="G43" s="114">
        <f t="shared" si="10"/>
        <v>-574599.63297309296</v>
      </c>
      <c r="H43" s="115">
        <f t="shared" si="7"/>
        <v>2933865.3036692385</v>
      </c>
      <c r="I43" s="114">
        <f t="shared" si="0"/>
        <v>1495488.9196965441</v>
      </c>
      <c r="J43" s="114">
        <f t="shared" si="1"/>
        <v>0</v>
      </c>
      <c r="K43" s="114">
        <f t="shared" si="2"/>
        <v>1495488.9196965441</v>
      </c>
      <c r="L43" s="114">
        <f t="shared" si="3"/>
        <v>-196156.95917037179</v>
      </c>
      <c r="M43" s="114">
        <f t="shared" si="4"/>
        <v>1299331.9605261723</v>
      </c>
      <c r="N43" s="127"/>
    </row>
    <row r="44" spans="1:19" s="109" customFormat="1" x14ac:dyDescent="0.25">
      <c r="A44" s="118">
        <v>44377</v>
      </c>
      <c r="B44" s="114">
        <v>368916.14241736667</v>
      </c>
      <c r="C44" s="117">
        <f t="shared" si="8"/>
        <v>3877381.0790596982</v>
      </c>
      <c r="D44" s="116"/>
      <c r="E44" s="114">
        <f t="shared" si="9"/>
        <v>0</v>
      </c>
      <c r="F44" s="114">
        <f t="shared" si="5"/>
        <v>-77472.389907646997</v>
      </c>
      <c r="G44" s="114">
        <f t="shared" si="10"/>
        <v>-652072.02288074</v>
      </c>
      <c r="H44" s="115">
        <f t="shared" si="7"/>
        <v>3225309.0561789582</v>
      </c>
      <c r="I44" s="114">
        <f t="shared" si="0"/>
        <v>1795516.1834790146</v>
      </c>
      <c r="J44" s="114">
        <f t="shared" si="1"/>
        <v>0</v>
      </c>
      <c r="K44" s="114">
        <f t="shared" si="2"/>
        <v>1795516.1834790146</v>
      </c>
      <c r="L44" s="114">
        <f t="shared" si="3"/>
        <v>-246732.11196666901</v>
      </c>
      <c r="M44" s="114">
        <f t="shared" si="4"/>
        <v>1548784.0715123455</v>
      </c>
      <c r="N44" s="127"/>
      <c r="O44" s="126"/>
      <c r="P44" s="126"/>
      <c r="Q44" s="126"/>
      <c r="R44" s="126"/>
    </row>
    <row r="45" spans="1:19" s="109" customFormat="1" x14ac:dyDescent="0.25">
      <c r="A45" s="118">
        <v>44408</v>
      </c>
      <c r="B45" s="114">
        <v>368934.26552536665</v>
      </c>
      <c r="C45" s="117">
        <f t="shared" si="8"/>
        <v>4246315.3445850648</v>
      </c>
      <c r="D45" s="116"/>
      <c r="E45" s="114">
        <f t="shared" si="9"/>
        <v>0</v>
      </c>
      <c r="F45" s="114">
        <f t="shared" si="5"/>
        <v>-77476.195760326998</v>
      </c>
      <c r="G45" s="114">
        <f t="shared" si="10"/>
        <v>-729548.21864106704</v>
      </c>
      <c r="H45" s="115">
        <f t="shared" si="7"/>
        <v>3516767.1259439979</v>
      </c>
      <c r="I45" s="114">
        <f t="shared" si="0"/>
        <v>2119456.591681377</v>
      </c>
      <c r="J45" s="114">
        <f t="shared" si="1"/>
        <v>0</v>
      </c>
      <c r="K45" s="114">
        <f t="shared" si="2"/>
        <v>2119456.591681377</v>
      </c>
      <c r="L45" s="114">
        <f t="shared" si="3"/>
        <v>-302865.19128875597</v>
      </c>
      <c r="M45" s="114">
        <f t="shared" si="4"/>
        <v>1816591.4003926211</v>
      </c>
      <c r="N45" s="127"/>
      <c r="O45" s="126"/>
      <c r="P45" s="126"/>
      <c r="Q45" s="126"/>
      <c r="R45" s="126"/>
    </row>
    <row r="46" spans="1:19" s="109" customFormat="1" x14ac:dyDescent="0.25">
      <c r="A46" s="118">
        <v>44439</v>
      </c>
      <c r="B46" s="114">
        <v>368934.36914936668</v>
      </c>
      <c r="C46" s="117">
        <f t="shared" si="8"/>
        <v>4615249.7137344312</v>
      </c>
      <c r="D46" s="116"/>
      <c r="E46" s="114">
        <f t="shared" si="9"/>
        <v>0</v>
      </c>
      <c r="F46" s="114">
        <f t="shared" si="5"/>
        <v>-77476.217521366998</v>
      </c>
      <c r="G46" s="114">
        <f t="shared" si="10"/>
        <v>-807024.43616243405</v>
      </c>
      <c r="H46" s="115">
        <f t="shared" si="7"/>
        <v>3808225.2775719971</v>
      </c>
      <c r="I46" s="114">
        <f t="shared" si="0"/>
        <v>2458012.1287623537</v>
      </c>
      <c r="J46" s="114">
        <f t="shared" si="1"/>
        <v>0</v>
      </c>
      <c r="K46" s="114">
        <f t="shared" si="2"/>
        <v>2458012.1287623537</v>
      </c>
      <c r="L46" s="114">
        <f t="shared" si="3"/>
        <v>-363501.87841667351</v>
      </c>
      <c r="M46" s="114">
        <f t="shared" si="4"/>
        <v>2094510.2503456802</v>
      </c>
      <c r="N46" s="127"/>
      <c r="O46" s="126"/>
      <c r="P46" s="126"/>
      <c r="Q46" s="126"/>
      <c r="R46" s="126"/>
    </row>
    <row r="47" spans="1:19" s="109" customFormat="1" x14ac:dyDescent="0.25">
      <c r="A47" s="118">
        <v>44469</v>
      </c>
      <c r="B47" s="114">
        <v>368934.22552536667</v>
      </c>
      <c r="C47" s="117">
        <f t="shared" si="8"/>
        <v>4984183.9392597983</v>
      </c>
      <c r="D47" s="116"/>
      <c r="E47" s="114">
        <f t="shared" si="9"/>
        <v>0</v>
      </c>
      <c r="F47" s="114">
        <f t="shared" si="5"/>
        <v>-77476.187360326992</v>
      </c>
      <c r="G47" s="114">
        <f t="shared" si="10"/>
        <v>-884500.62352276105</v>
      </c>
      <c r="H47" s="115">
        <f t="shared" si="7"/>
        <v>4099683.315737037</v>
      </c>
      <c r="I47" s="114">
        <f t="shared" si="0"/>
        <v>2805177.5751833054</v>
      </c>
      <c r="J47" s="114">
        <f t="shared" si="1"/>
        <v>0</v>
      </c>
      <c r="K47" s="114">
        <f t="shared" si="2"/>
        <v>2805177.5751833054</v>
      </c>
      <c r="L47" s="114">
        <f t="shared" si="3"/>
        <v>-429333.81999488076</v>
      </c>
      <c r="M47" s="114">
        <f t="shared" si="4"/>
        <v>2375843.7551884246</v>
      </c>
      <c r="N47" s="127"/>
      <c r="O47" s="126"/>
      <c r="P47" s="126"/>
      <c r="Q47" s="126"/>
      <c r="R47" s="126"/>
    </row>
    <row r="48" spans="1:19" s="109" customFormat="1" x14ac:dyDescent="0.25">
      <c r="A48" s="118">
        <v>44500</v>
      </c>
      <c r="B48" s="114">
        <v>368878.34490336664</v>
      </c>
      <c r="C48" s="117">
        <f t="shared" si="8"/>
        <v>5353062.2841631649</v>
      </c>
      <c r="D48" s="116"/>
      <c r="E48" s="114">
        <f t="shared" si="9"/>
        <v>0</v>
      </c>
      <c r="F48" s="114">
        <f t="shared" si="5"/>
        <v>-77464.452429706987</v>
      </c>
      <c r="G48" s="114">
        <f t="shared" si="10"/>
        <v>-961965.07595246797</v>
      </c>
      <c r="H48" s="115">
        <f t="shared" si="7"/>
        <v>4391097.2082106974</v>
      </c>
      <c r="I48" s="114">
        <f t="shared" si="0"/>
        <v>3159579.4604603145</v>
      </c>
      <c r="J48" s="114">
        <f t="shared" si="1"/>
        <v>0</v>
      </c>
      <c r="K48" s="114">
        <f t="shared" si="2"/>
        <v>3159579.4604603145</v>
      </c>
      <c r="L48" s="114">
        <f t="shared" si="3"/>
        <v>-501333.68297486944</v>
      </c>
      <c r="M48" s="114">
        <f t="shared" si="4"/>
        <v>2658245.7774854451</v>
      </c>
      <c r="N48" s="127"/>
      <c r="O48" s="126"/>
      <c r="P48" s="126"/>
      <c r="Q48" s="126"/>
      <c r="R48" s="126"/>
    </row>
    <row r="49" spans="1:18" s="109" customFormat="1" x14ac:dyDescent="0.25">
      <c r="A49" s="118">
        <v>44530</v>
      </c>
      <c r="B49" s="114">
        <v>368878.34490336664</v>
      </c>
      <c r="C49" s="117">
        <f t="shared" si="8"/>
        <v>5721940.6290665315</v>
      </c>
      <c r="D49" s="116"/>
      <c r="E49" s="114">
        <f t="shared" si="9"/>
        <v>0</v>
      </c>
      <c r="F49" s="114">
        <f t="shared" si="5"/>
        <v>-77464.452429706987</v>
      </c>
      <c r="G49" s="114">
        <f t="shared" si="10"/>
        <v>-1039429.5283821749</v>
      </c>
      <c r="H49" s="115">
        <f t="shared" si="7"/>
        <v>4682511.1006843569</v>
      </c>
      <c r="I49" s="114">
        <f t="shared" si="0"/>
        <v>3519727.6452080491</v>
      </c>
      <c r="J49" s="114">
        <f t="shared" si="1"/>
        <v>0</v>
      </c>
      <c r="K49" s="114">
        <f t="shared" si="2"/>
        <v>3519727.6452080491</v>
      </c>
      <c r="L49" s="114">
        <f t="shared" si="3"/>
        <v>-576964.80177189375</v>
      </c>
      <c r="M49" s="114">
        <f t="shared" si="4"/>
        <v>2942762.8434361555</v>
      </c>
      <c r="N49" s="127"/>
      <c r="O49" s="126"/>
      <c r="P49" s="126"/>
      <c r="Q49" s="126"/>
      <c r="R49" s="126"/>
    </row>
    <row r="50" spans="1:18" s="109" customFormat="1" x14ac:dyDescent="0.25">
      <c r="A50" s="118">
        <v>44561</v>
      </c>
      <c r="B50" s="114">
        <v>368878.34490336664</v>
      </c>
      <c r="C50" s="117">
        <f t="shared" si="8"/>
        <v>6090818.9739698982</v>
      </c>
      <c r="D50" s="116"/>
      <c r="E50" s="114">
        <f t="shared" si="9"/>
        <v>0</v>
      </c>
      <c r="F50" s="114">
        <f t="shared" si="5"/>
        <v>-77464.452429706987</v>
      </c>
      <c r="G50" s="114">
        <f t="shared" si="10"/>
        <v>-1116893.9808118818</v>
      </c>
      <c r="H50" s="115">
        <f t="shared" si="7"/>
        <v>4973924.9931580164</v>
      </c>
      <c r="I50" s="114">
        <f t="shared" si="0"/>
        <v>3883663.7685463578</v>
      </c>
      <c r="J50" s="114">
        <f t="shared" si="1"/>
        <v>0</v>
      </c>
      <c r="K50" s="114">
        <f t="shared" si="2"/>
        <v>3883663.7685463578</v>
      </c>
      <c r="L50" s="114">
        <f t="shared" si="3"/>
        <v>-653391.38767293852</v>
      </c>
      <c r="M50" s="114">
        <f t="shared" si="4"/>
        <v>3230272.3808734193</v>
      </c>
      <c r="N50" s="127"/>
      <c r="O50" s="126"/>
      <c r="P50" s="126"/>
      <c r="Q50" s="126"/>
      <c r="R50" s="126"/>
    </row>
    <row r="51" spans="1:18" s="109" customFormat="1" x14ac:dyDescent="0.25">
      <c r="A51" s="125">
        <v>44592</v>
      </c>
      <c r="B51" s="122">
        <v>368878.34490336664</v>
      </c>
      <c r="C51" s="124">
        <f t="shared" si="8"/>
        <v>6459697.3188732648</v>
      </c>
      <c r="D51" s="123"/>
      <c r="E51" s="122">
        <f t="shared" si="9"/>
        <v>0</v>
      </c>
      <c r="F51" s="122">
        <f t="shared" si="5"/>
        <v>-77464.452429706987</v>
      </c>
      <c r="G51" s="122">
        <f t="shared" si="10"/>
        <v>-1194358.4332415888</v>
      </c>
      <c r="H51" s="121">
        <f t="shared" si="7"/>
        <v>5265338.8856316758</v>
      </c>
      <c r="I51" s="120">
        <f t="shared" si="0"/>
        <v>4249862.2049281867</v>
      </c>
      <c r="J51" s="119">
        <f t="shared" si="1"/>
        <v>0</v>
      </c>
      <c r="K51" s="119">
        <f t="shared" si="2"/>
        <v>4249862.2049281867</v>
      </c>
      <c r="L51" s="119">
        <f t="shared" si="3"/>
        <v>-730293.05931312265</v>
      </c>
      <c r="M51" s="119">
        <f t="shared" si="4"/>
        <v>3519569.1456150641</v>
      </c>
      <c r="N51" s="127"/>
      <c r="O51" s="126"/>
      <c r="P51" s="126"/>
      <c r="Q51" s="126"/>
      <c r="R51" s="126"/>
    </row>
    <row r="52" spans="1:18" s="109" customFormat="1" x14ac:dyDescent="0.25">
      <c r="A52" s="125">
        <v>44620</v>
      </c>
      <c r="B52" s="122">
        <v>368878.34490336664</v>
      </c>
      <c r="C52" s="124">
        <f t="shared" si="8"/>
        <v>6828575.6637766315</v>
      </c>
      <c r="D52" s="123"/>
      <c r="E52" s="122">
        <f t="shared" si="9"/>
        <v>0</v>
      </c>
      <c r="F52" s="122">
        <f t="shared" si="5"/>
        <v>-77464.452429706987</v>
      </c>
      <c r="G52" s="122">
        <f t="shared" si="10"/>
        <v>-1271822.8856712957</v>
      </c>
      <c r="H52" s="121">
        <f t="shared" si="7"/>
        <v>5556752.7781053353</v>
      </c>
      <c r="I52" s="120">
        <f t="shared" si="0"/>
        <v>4617130.2598583018</v>
      </c>
      <c r="J52" s="119">
        <f t="shared" si="1"/>
        <v>0</v>
      </c>
      <c r="K52" s="119">
        <f t="shared" si="2"/>
        <v>4617130.2598583018</v>
      </c>
      <c r="L52" s="119">
        <f t="shared" si="3"/>
        <v>-807419.3508484466</v>
      </c>
      <c r="M52" s="119">
        <f t="shared" si="4"/>
        <v>3809710.9090098552</v>
      </c>
      <c r="N52" s="127"/>
      <c r="O52" s="126"/>
      <c r="P52" s="126"/>
      <c r="Q52" s="126"/>
      <c r="R52" s="126"/>
    </row>
    <row r="53" spans="1:18" s="109" customFormat="1" x14ac:dyDescent="0.25">
      <c r="A53" s="125">
        <v>44651</v>
      </c>
      <c r="B53" s="122">
        <v>368878.34490336664</v>
      </c>
      <c r="C53" s="124">
        <f t="shared" si="8"/>
        <v>7197454.0086799981</v>
      </c>
      <c r="D53" s="123"/>
      <c r="E53" s="122">
        <f t="shared" si="9"/>
        <v>0</v>
      </c>
      <c r="F53" s="122">
        <f t="shared" si="5"/>
        <v>-77464.452429706987</v>
      </c>
      <c r="G53" s="122">
        <f t="shared" si="10"/>
        <v>-1349287.3381010026</v>
      </c>
      <c r="H53" s="121">
        <f t="shared" si="7"/>
        <v>5848166.6705789957</v>
      </c>
      <c r="I53" s="120">
        <f t="shared" si="0"/>
        <v>4984909.6202313704</v>
      </c>
      <c r="J53" s="119">
        <f t="shared" si="1"/>
        <v>0</v>
      </c>
      <c r="K53" s="119">
        <f t="shared" si="2"/>
        <v>4984909.6202313704</v>
      </c>
      <c r="L53" s="119">
        <f t="shared" si="3"/>
        <v>-884653.01652679092</v>
      </c>
      <c r="M53" s="119">
        <f t="shared" si="4"/>
        <v>4100256.6037045796</v>
      </c>
      <c r="N53" s="127"/>
      <c r="O53" s="126"/>
      <c r="P53" s="126"/>
      <c r="Q53" s="126"/>
      <c r="R53" s="126"/>
    </row>
    <row r="54" spans="1:18" s="109" customFormat="1" x14ac:dyDescent="0.25">
      <c r="A54" s="125">
        <v>44681</v>
      </c>
      <c r="B54" s="122">
        <v>368878.34490336664</v>
      </c>
      <c r="C54" s="124">
        <f t="shared" si="8"/>
        <v>7566332.3535833647</v>
      </c>
      <c r="D54" s="123"/>
      <c r="E54" s="122">
        <f t="shared" si="9"/>
        <v>0</v>
      </c>
      <c r="F54" s="122">
        <f t="shared" si="5"/>
        <v>-77464.452429706987</v>
      </c>
      <c r="G54" s="122">
        <f t="shared" si="10"/>
        <v>-1426751.7905307095</v>
      </c>
      <c r="H54" s="121">
        <f t="shared" si="7"/>
        <v>6139580.5630526552</v>
      </c>
      <c r="I54" s="120">
        <f t="shared" si="0"/>
        <v>5353191.0237161415</v>
      </c>
      <c r="J54" s="119">
        <f t="shared" si="1"/>
        <v>0</v>
      </c>
      <c r="K54" s="119">
        <f t="shared" si="2"/>
        <v>5353191.0237161415</v>
      </c>
      <c r="L54" s="119">
        <f t="shared" si="3"/>
        <v>-961992.11125859292</v>
      </c>
      <c r="M54" s="119">
        <f t="shared" si="4"/>
        <v>4391198.9124575481</v>
      </c>
      <c r="N54" s="127"/>
      <c r="O54" s="126"/>
      <c r="P54" s="126"/>
      <c r="Q54" s="126"/>
      <c r="R54" s="126"/>
    </row>
    <row r="55" spans="1:18" s="109" customFormat="1" x14ac:dyDescent="0.25">
      <c r="A55" s="125">
        <v>44712</v>
      </c>
      <c r="B55" s="122">
        <v>368878.34490336664</v>
      </c>
      <c r="C55" s="124">
        <f t="shared" si="8"/>
        <v>7935210.6984867314</v>
      </c>
      <c r="D55" s="123"/>
      <c r="E55" s="122">
        <f t="shared" si="9"/>
        <v>0</v>
      </c>
      <c r="F55" s="122">
        <f t="shared" si="5"/>
        <v>-77464.452429706987</v>
      </c>
      <c r="G55" s="122">
        <f t="shared" si="10"/>
        <v>-1504216.2429604165</v>
      </c>
      <c r="H55" s="121">
        <f t="shared" si="7"/>
        <v>6430994.4555263147</v>
      </c>
      <c r="I55" s="120">
        <f t="shared" ref="I55:I86" si="11">(C43+C55+SUM(C44:C54)*2)/24</f>
        <v>5721904.0938596977</v>
      </c>
      <c r="J55" s="119">
        <f t="shared" ref="J55:J86" si="12">(E43+E55+SUM(E44:E54)*2)/24</f>
        <v>0</v>
      </c>
      <c r="K55" s="119">
        <f t="shared" ref="K55:K86" si="13">I55+J55</f>
        <v>5721904.0938596977</v>
      </c>
      <c r="L55" s="119">
        <f t="shared" ref="L55:L86" si="14">(G43+G55+SUM(G44:G54)*2)/24</f>
        <v>-1039421.85598874</v>
      </c>
      <c r="M55" s="119">
        <f t="shared" ref="M55:M86" si="15">K55+L55</f>
        <v>4682482.2378709577</v>
      </c>
      <c r="N55" s="127"/>
      <c r="O55" s="126"/>
      <c r="P55" s="126"/>
      <c r="Q55" s="126"/>
      <c r="R55" s="126"/>
    </row>
    <row r="56" spans="1:18" s="109" customFormat="1" x14ac:dyDescent="0.25">
      <c r="A56" s="125">
        <v>44742</v>
      </c>
      <c r="B56" s="122">
        <v>368878.34490336664</v>
      </c>
      <c r="C56" s="124">
        <f t="shared" si="8"/>
        <v>8304089.043390098</v>
      </c>
      <c r="D56" s="123"/>
      <c r="E56" s="122">
        <f t="shared" si="9"/>
        <v>0</v>
      </c>
      <c r="F56" s="122">
        <f t="shared" si="5"/>
        <v>-77464.452429706987</v>
      </c>
      <c r="G56" s="122">
        <f t="shared" si="10"/>
        <v>-1581680.6953901234</v>
      </c>
      <c r="H56" s="121">
        <f t="shared" si="7"/>
        <v>6722408.3479999751</v>
      </c>
      <c r="I56" s="120">
        <f t="shared" si="11"/>
        <v>6090797.9991169823</v>
      </c>
      <c r="J56" s="119">
        <f t="shared" si="12"/>
        <v>0</v>
      </c>
      <c r="K56" s="119">
        <f t="shared" si="13"/>
        <v>6090797.9991169823</v>
      </c>
      <c r="L56" s="119">
        <f t="shared" si="14"/>
        <v>-1116889.5760927694</v>
      </c>
      <c r="M56" s="119">
        <f t="shared" si="15"/>
        <v>4973908.4230242129</v>
      </c>
      <c r="N56" s="127"/>
      <c r="O56" s="126"/>
      <c r="P56" s="126"/>
      <c r="Q56" s="126"/>
      <c r="R56" s="126"/>
    </row>
    <row r="57" spans="1:18" s="109" customFormat="1" x14ac:dyDescent="0.25">
      <c r="A57" s="125">
        <v>44773</v>
      </c>
      <c r="B57" s="122">
        <v>368878.34490336664</v>
      </c>
      <c r="C57" s="124">
        <f t="shared" si="8"/>
        <v>8672967.3882934637</v>
      </c>
      <c r="D57" s="123"/>
      <c r="E57" s="122">
        <f t="shared" si="9"/>
        <v>0</v>
      </c>
      <c r="F57" s="122">
        <f t="shared" si="5"/>
        <v>-77464.452429706987</v>
      </c>
      <c r="G57" s="122">
        <f t="shared" si="10"/>
        <v>-1659145.1478198303</v>
      </c>
      <c r="H57" s="121">
        <f t="shared" si="7"/>
        <v>7013822.2404736336</v>
      </c>
      <c r="I57" s="120">
        <f t="shared" si="11"/>
        <v>6459687.9994519316</v>
      </c>
      <c r="J57" s="119">
        <f t="shared" si="12"/>
        <v>0</v>
      </c>
      <c r="K57" s="119">
        <f t="shared" si="13"/>
        <v>6459687.9994519316</v>
      </c>
      <c r="L57" s="119">
        <f t="shared" si="14"/>
        <v>-1194356.4761631088</v>
      </c>
      <c r="M57" s="119">
        <f t="shared" si="15"/>
        <v>5265331.5232888227</v>
      </c>
      <c r="N57" s="127"/>
      <c r="O57" s="126"/>
      <c r="P57" s="126"/>
      <c r="Q57" s="126"/>
      <c r="R57" s="126"/>
    </row>
    <row r="58" spans="1:18" s="109" customFormat="1" x14ac:dyDescent="0.25">
      <c r="A58" s="125">
        <v>44804</v>
      </c>
      <c r="B58" s="122">
        <v>368878.34490336664</v>
      </c>
      <c r="C58" s="124">
        <f t="shared" si="8"/>
        <v>9041845.7331968304</v>
      </c>
      <c r="D58" s="123"/>
      <c r="E58" s="122">
        <f t="shared" si="9"/>
        <v>0</v>
      </c>
      <c r="F58" s="122">
        <f t="shared" si="5"/>
        <v>-77464.452429706987</v>
      </c>
      <c r="G58" s="122">
        <f t="shared" si="10"/>
        <v>-1736609.6002495373</v>
      </c>
      <c r="H58" s="121">
        <f t="shared" si="7"/>
        <v>7305236.1329472931</v>
      </c>
      <c r="I58" s="120">
        <f t="shared" si="11"/>
        <v>6828573.3354173815</v>
      </c>
      <c r="J58" s="119">
        <f t="shared" si="12"/>
        <v>0</v>
      </c>
      <c r="K58" s="119">
        <f t="shared" si="13"/>
        <v>6828573.3354173815</v>
      </c>
      <c r="L58" s="119">
        <f t="shared" si="14"/>
        <v>-1271822.3967158531</v>
      </c>
      <c r="M58" s="119">
        <f t="shared" si="15"/>
        <v>5556750.9387015281</v>
      </c>
      <c r="N58" s="127"/>
      <c r="O58" s="126"/>
      <c r="P58" s="126"/>
      <c r="Q58" s="126"/>
      <c r="R58" s="126"/>
    </row>
    <row r="59" spans="1:18" s="109" customFormat="1" x14ac:dyDescent="0.25">
      <c r="A59" s="125">
        <v>44834</v>
      </c>
      <c r="B59" s="122">
        <v>368878.34490336664</v>
      </c>
      <c r="C59" s="124">
        <f t="shared" si="8"/>
        <v>9410724.078100197</v>
      </c>
      <c r="D59" s="123"/>
      <c r="E59" s="122">
        <f t="shared" si="9"/>
        <v>0</v>
      </c>
      <c r="F59" s="122">
        <f t="shared" ref="F59:F90" si="16">-(B59*$F$9)+(D59*$F$9)</f>
        <v>-77464.452429706987</v>
      </c>
      <c r="G59" s="122">
        <f t="shared" si="10"/>
        <v>-1814074.0526792442</v>
      </c>
      <c r="H59" s="121">
        <f t="shared" ref="H59:H90" si="17">C59+E59+G59</f>
        <v>7596650.0254209526</v>
      </c>
      <c r="I59" s="120">
        <f t="shared" si="11"/>
        <v>7197454.0086799972</v>
      </c>
      <c r="J59" s="119">
        <f t="shared" si="12"/>
        <v>0</v>
      </c>
      <c r="K59" s="119">
        <f t="shared" si="13"/>
        <v>7197454.0086799972</v>
      </c>
      <c r="L59" s="119">
        <f t="shared" si="14"/>
        <v>-1349287.3381010026</v>
      </c>
      <c r="M59" s="119">
        <f t="shared" si="15"/>
        <v>5848166.6705789948</v>
      </c>
      <c r="N59" s="127"/>
      <c r="O59" s="126"/>
      <c r="P59" s="126"/>
      <c r="Q59" s="126"/>
      <c r="R59" s="126"/>
    </row>
    <row r="60" spans="1:18" s="109" customFormat="1" x14ac:dyDescent="0.25">
      <c r="A60" s="125">
        <v>44865</v>
      </c>
      <c r="B60" s="122">
        <v>368878.34490336664</v>
      </c>
      <c r="C60" s="124">
        <f t="shared" ref="C60:C91" si="18">+B60+C59</f>
        <v>9779602.4230035637</v>
      </c>
      <c r="D60" s="123"/>
      <c r="E60" s="122">
        <f t="shared" si="9"/>
        <v>0</v>
      </c>
      <c r="F60" s="122">
        <f t="shared" si="16"/>
        <v>-77464.452429706987</v>
      </c>
      <c r="G60" s="122">
        <f t="shared" si="10"/>
        <v>-1891538.5051089511</v>
      </c>
      <c r="H60" s="121">
        <f t="shared" si="17"/>
        <v>7888063.917894613</v>
      </c>
      <c r="I60" s="120">
        <f t="shared" si="11"/>
        <v>7566332.3535833629</v>
      </c>
      <c r="J60" s="119">
        <f t="shared" si="12"/>
        <v>0</v>
      </c>
      <c r="K60" s="119">
        <f t="shared" si="13"/>
        <v>7566332.3535833629</v>
      </c>
      <c r="L60" s="119">
        <f t="shared" si="14"/>
        <v>-1426751.7905307095</v>
      </c>
      <c r="M60" s="119">
        <f t="shared" si="15"/>
        <v>6139580.5630526533</v>
      </c>
      <c r="N60" s="127"/>
      <c r="O60" s="126"/>
      <c r="P60" s="126"/>
      <c r="Q60" s="126"/>
      <c r="R60" s="126"/>
    </row>
    <row r="61" spans="1:18" s="109" customFormat="1" x14ac:dyDescent="0.25">
      <c r="A61" s="125">
        <v>44895</v>
      </c>
      <c r="B61" s="122">
        <v>368878.34490336664</v>
      </c>
      <c r="C61" s="124">
        <f t="shared" si="18"/>
        <v>10148480.76790693</v>
      </c>
      <c r="D61" s="123"/>
      <c r="E61" s="122">
        <f t="shared" si="9"/>
        <v>0</v>
      </c>
      <c r="F61" s="122">
        <f t="shared" si="16"/>
        <v>-77464.452429706987</v>
      </c>
      <c r="G61" s="122">
        <f t="shared" si="10"/>
        <v>-1969002.9575386581</v>
      </c>
      <c r="H61" s="121">
        <f t="shared" si="17"/>
        <v>8179477.8103682725</v>
      </c>
      <c r="I61" s="120">
        <f t="shared" si="11"/>
        <v>7935210.6984867305</v>
      </c>
      <c r="J61" s="119">
        <f t="shared" si="12"/>
        <v>0</v>
      </c>
      <c r="K61" s="119">
        <f t="shared" si="13"/>
        <v>7935210.6984867305</v>
      </c>
      <c r="L61" s="119">
        <f t="shared" si="14"/>
        <v>-1504216.2429604167</v>
      </c>
      <c r="M61" s="119">
        <f t="shared" si="15"/>
        <v>6430994.4555263137</v>
      </c>
      <c r="N61" s="127"/>
      <c r="O61" s="126"/>
      <c r="P61" s="126"/>
      <c r="Q61" s="126"/>
      <c r="R61" s="126"/>
    </row>
    <row r="62" spans="1:18" s="109" customFormat="1" x14ac:dyDescent="0.25">
      <c r="A62" s="125">
        <v>44926</v>
      </c>
      <c r="B62" s="122">
        <v>368878.34490336664</v>
      </c>
      <c r="C62" s="124">
        <f t="shared" si="18"/>
        <v>10517359.112810297</v>
      </c>
      <c r="D62" s="123"/>
      <c r="E62" s="122">
        <f t="shared" si="9"/>
        <v>0</v>
      </c>
      <c r="F62" s="122">
        <f t="shared" si="16"/>
        <v>-77464.452429706987</v>
      </c>
      <c r="G62" s="122">
        <f t="shared" si="10"/>
        <v>-2046467.409968365</v>
      </c>
      <c r="H62" s="121">
        <f t="shared" si="17"/>
        <v>8470891.702841932</v>
      </c>
      <c r="I62" s="120">
        <f t="shared" si="11"/>
        <v>8304089.043390098</v>
      </c>
      <c r="J62" s="119">
        <f t="shared" si="12"/>
        <v>0</v>
      </c>
      <c r="K62" s="119">
        <f t="shared" si="13"/>
        <v>8304089.043390098</v>
      </c>
      <c r="L62" s="119">
        <f t="shared" si="14"/>
        <v>-1581680.6953901236</v>
      </c>
      <c r="M62" s="119">
        <f t="shared" si="15"/>
        <v>6722408.3479999742</v>
      </c>
      <c r="N62" s="127"/>
      <c r="O62" s="126"/>
      <c r="P62" s="126"/>
      <c r="Q62" s="126"/>
      <c r="R62" s="126"/>
    </row>
    <row r="63" spans="1:18" s="109" customFormat="1" x14ac:dyDescent="0.25">
      <c r="A63" s="118">
        <v>44957</v>
      </c>
      <c r="B63" s="114"/>
      <c r="C63" s="117">
        <f t="shared" si="18"/>
        <v>10517359.112810297</v>
      </c>
      <c r="D63" s="116">
        <f t="shared" ref="D63:D110" si="19">+C63/48</f>
        <v>219111.64818354786</v>
      </c>
      <c r="E63" s="114">
        <f t="shared" si="9"/>
        <v>-219111.64818354786</v>
      </c>
      <c r="F63" s="114">
        <f t="shared" si="16"/>
        <v>46013.446118545049</v>
      </c>
      <c r="G63" s="114">
        <f t="shared" si="10"/>
        <v>-2000453.96384982</v>
      </c>
      <c r="H63" s="115">
        <f t="shared" si="17"/>
        <v>8297793.5007769298</v>
      </c>
      <c r="I63" s="114">
        <f t="shared" si="11"/>
        <v>8657597.4572558254</v>
      </c>
      <c r="J63" s="114">
        <f t="shared" si="12"/>
        <v>-9129.6520076478282</v>
      </c>
      <c r="K63" s="114">
        <f t="shared" si="13"/>
        <v>8648467.8052481767</v>
      </c>
      <c r="L63" s="114">
        <f t="shared" si="14"/>
        <v>-1654000.2353803199</v>
      </c>
      <c r="M63" s="114">
        <f t="shared" si="15"/>
        <v>6994467.5698678568</v>
      </c>
      <c r="N63" s="127"/>
      <c r="O63" s="126"/>
      <c r="P63" s="126"/>
      <c r="Q63" s="126"/>
      <c r="R63" s="126"/>
    </row>
    <row r="64" spans="1:18" s="109" customFormat="1" x14ac:dyDescent="0.25">
      <c r="A64" s="118">
        <v>44985</v>
      </c>
      <c r="B64" s="114"/>
      <c r="C64" s="117">
        <f t="shared" si="18"/>
        <v>10517359.112810297</v>
      </c>
      <c r="D64" s="116">
        <f t="shared" si="19"/>
        <v>219111.64818354786</v>
      </c>
      <c r="E64" s="114">
        <f t="shared" si="9"/>
        <v>-438223.29636709573</v>
      </c>
      <c r="F64" s="114">
        <f t="shared" si="16"/>
        <v>46013.446118545049</v>
      </c>
      <c r="G64" s="114">
        <f t="shared" si="10"/>
        <v>-1954440.5177312749</v>
      </c>
      <c r="H64" s="115">
        <f t="shared" si="17"/>
        <v>8124695.2987119257</v>
      </c>
      <c r="I64" s="114">
        <f t="shared" si="11"/>
        <v>8980366.0090462696</v>
      </c>
      <c r="J64" s="114">
        <f t="shared" si="12"/>
        <v>-36518.608030591313</v>
      </c>
      <c r="K64" s="114">
        <f t="shared" si="13"/>
        <v>8943847.4010156784</v>
      </c>
      <c r="L64" s="114">
        <f t="shared" si="14"/>
        <v>-1716029.9504914954</v>
      </c>
      <c r="M64" s="114">
        <f t="shared" si="15"/>
        <v>7227817.450524183</v>
      </c>
      <c r="N64" s="127"/>
      <c r="O64" s="126"/>
      <c r="P64" s="126"/>
      <c r="Q64" s="126"/>
      <c r="R64" s="126"/>
    </row>
    <row r="65" spans="1:18" s="109" customFormat="1" x14ac:dyDescent="0.25">
      <c r="A65" s="118">
        <v>45016</v>
      </c>
      <c r="B65" s="114"/>
      <c r="C65" s="117">
        <f t="shared" si="18"/>
        <v>10517359.112810297</v>
      </c>
      <c r="D65" s="116">
        <f t="shared" si="19"/>
        <v>219111.64818354786</v>
      </c>
      <c r="E65" s="114">
        <f t="shared" si="9"/>
        <v>-657334.94455064356</v>
      </c>
      <c r="F65" s="114">
        <f t="shared" si="16"/>
        <v>46013.446118545049</v>
      </c>
      <c r="G65" s="114">
        <f t="shared" si="10"/>
        <v>-1908427.0716127299</v>
      </c>
      <c r="H65" s="115">
        <f t="shared" si="17"/>
        <v>7951597.0966469245</v>
      </c>
      <c r="I65" s="114">
        <f t="shared" si="11"/>
        <v>9272394.6987614352</v>
      </c>
      <c r="J65" s="114">
        <f t="shared" si="12"/>
        <v>-82166.868068830445</v>
      </c>
      <c r="K65" s="114">
        <f t="shared" si="13"/>
        <v>9190227.8306926042</v>
      </c>
      <c r="L65" s="114">
        <f t="shared" si="14"/>
        <v>-1767769.8407236496</v>
      </c>
      <c r="M65" s="114">
        <f t="shared" si="15"/>
        <v>7422457.9899689546</v>
      </c>
      <c r="N65" s="127"/>
      <c r="O65" s="126"/>
      <c r="P65" s="126"/>
      <c r="Q65" s="126"/>
      <c r="R65" s="126"/>
    </row>
    <row r="66" spans="1:18" s="109" customFormat="1" x14ac:dyDescent="0.25">
      <c r="A66" s="118">
        <v>45046</v>
      </c>
      <c r="B66" s="114"/>
      <c r="C66" s="117">
        <f t="shared" si="18"/>
        <v>10517359.112810297</v>
      </c>
      <c r="D66" s="116">
        <f t="shared" si="19"/>
        <v>219111.64818354786</v>
      </c>
      <c r="E66" s="114">
        <f t="shared" si="9"/>
        <v>-876446.59273419145</v>
      </c>
      <c r="F66" s="114">
        <f t="shared" si="16"/>
        <v>46013.446118545049</v>
      </c>
      <c r="G66" s="114">
        <f t="shared" si="10"/>
        <v>-1862413.6254941849</v>
      </c>
      <c r="H66" s="115">
        <f t="shared" si="17"/>
        <v>7778498.8945819205</v>
      </c>
      <c r="I66" s="114">
        <f t="shared" si="11"/>
        <v>9533683.5264013205</v>
      </c>
      <c r="J66" s="114">
        <f t="shared" si="12"/>
        <v>-146074.43212236525</v>
      </c>
      <c r="K66" s="114">
        <f t="shared" si="13"/>
        <v>9387609.0942789558</v>
      </c>
      <c r="L66" s="114">
        <f t="shared" si="14"/>
        <v>-1809219.9060767833</v>
      </c>
      <c r="M66" s="114">
        <f t="shared" si="15"/>
        <v>7578389.1882021725</v>
      </c>
      <c r="N66" s="127"/>
      <c r="O66" s="126"/>
      <c r="P66" s="126"/>
      <c r="Q66" s="126"/>
      <c r="R66" s="126"/>
    </row>
    <row r="67" spans="1:18" s="109" customFormat="1" x14ac:dyDescent="0.25">
      <c r="A67" s="118">
        <v>45077</v>
      </c>
      <c r="B67" s="114"/>
      <c r="C67" s="117">
        <f t="shared" si="18"/>
        <v>10517359.112810297</v>
      </c>
      <c r="D67" s="116">
        <f t="shared" si="19"/>
        <v>219111.64818354786</v>
      </c>
      <c r="E67" s="114">
        <f t="shared" si="9"/>
        <v>-1095558.2409177392</v>
      </c>
      <c r="F67" s="114">
        <f t="shared" si="16"/>
        <v>46013.446118545049</v>
      </c>
      <c r="G67" s="114">
        <f t="shared" si="10"/>
        <v>-1816400.1793756399</v>
      </c>
      <c r="H67" s="115">
        <f t="shared" si="17"/>
        <v>7605400.6925169183</v>
      </c>
      <c r="I67" s="114">
        <f t="shared" si="11"/>
        <v>9764232.4919659253</v>
      </c>
      <c r="J67" s="114">
        <f t="shared" si="12"/>
        <v>-228241.30019119568</v>
      </c>
      <c r="K67" s="114">
        <f t="shared" si="13"/>
        <v>9535991.1917747296</v>
      </c>
      <c r="L67" s="114">
        <f t="shared" si="14"/>
        <v>-1840380.1465508959</v>
      </c>
      <c r="M67" s="114">
        <f t="shared" si="15"/>
        <v>7695611.045223834</v>
      </c>
      <c r="N67" s="127"/>
      <c r="O67" s="126"/>
      <c r="P67" s="126"/>
      <c r="Q67" s="126"/>
      <c r="R67" s="126"/>
    </row>
    <row r="68" spans="1:18" s="109" customFormat="1" x14ac:dyDescent="0.25">
      <c r="A68" s="118">
        <v>45107</v>
      </c>
      <c r="B68" s="114"/>
      <c r="C68" s="117">
        <f t="shared" si="18"/>
        <v>10517359.112810297</v>
      </c>
      <c r="D68" s="116">
        <f t="shared" si="19"/>
        <v>219111.64818354786</v>
      </c>
      <c r="E68" s="114">
        <f t="shared" ref="E68:E99" si="20">E67-D68</f>
        <v>-1314669.8891012871</v>
      </c>
      <c r="F68" s="114">
        <f t="shared" si="16"/>
        <v>46013.446118545049</v>
      </c>
      <c r="G68" s="114">
        <f t="shared" si="10"/>
        <v>-1770386.7332570949</v>
      </c>
      <c r="H68" s="115">
        <f t="shared" si="17"/>
        <v>7432302.4904519152</v>
      </c>
      <c r="I68" s="114">
        <f t="shared" si="11"/>
        <v>9964041.595455246</v>
      </c>
      <c r="J68" s="114">
        <f t="shared" si="12"/>
        <v>-328667.47227532178</v>
      </c>
      <c r="K68" s="114">
        <f t="shared" si="13"/>
        <v>9635374.1231799237</v>
      </c>
      <c r="L68" s="114">
        <f t="shared" si="14"/>
        <v>-1861250.5621459875</v>
      </c>
      <c r="M68" s="114">
        <f t="shared" si="15"/>
        <v>7774123.5610339362</v>
      </c>
      <c r="N68" s="127"/>
      <c r="O68" s="126"/>
      <c r="P68" s="126"/>
      <c r="Q68" s="126"/>
      <c r="R68" s="126"/>
    </row>
    <row r="69" spans="1:18" s="109" customFormat="1" x14ac:dyDescent="0.25">
      <c r="A69" s="118">
        <v>45138</v>
      </c>
      <c r="B69" s="114"/>
      <c r="C69" s="117">
        <f t="shared" si="18"/>
        <v>10517359.112810297</v>
      </c>
      <c r="D69" s="116">
        <f t="shared" si="19"/>
        <v>219111.64818354786</v>
      </c>
      <c r="E69" s="114">
        <f t="shared" si="20"/>
        <v>-1533781.537284835</v>
      </c>
      <c r="F69" s="114">
        <f t="shared" si="16"/>
        <v>46013.446118545049</v>
      </c>
      <c r="G69" s="114">
        <f t="shared" ref="G69:G100" si="21">G68+F69</f>
        <v>-1724373.2871385498</v>
      </c>
      <c r="H69" s="115">
        <f t="shared" si="17"/>
        <v>7259204.288386913</v>
      </c>
      <c r="I69" s="114">
        <f t="shared" si="11"/>
        <v>10133110.83686929</v>
      </c>
      <c r="J69" s="114">
        <f t="shared" si="12"/>
        <v>-447352.94837474352</v>
      </c>
      <c r="K69" s="114">
        <f t="shared" si="13"/>
        <v>9685757.8884945475</v>
      </c>
      <c r="L69" s="114">
        <f t="shared" si="14"/>
        <v>-1871831.152862058</v>
      </c>
      <c r="M69" s="114">
        <f t="shared" si="15"/>
        <v>7813926.7356324894</v>
      </c>
      <c r="N69" s="127"/>
      <c r="O69" s="126"/>
      <c r="P69" s="126"/>
      <c r="Q69" s="126"/>
      <c r="R69" s="126"/>
    </row>
    <row r="70" spans="1:18" s="109" customFormat="1" x14ac:dyDescent="0.25">
      <c r="A70" s="118">
        <v>45169</v>
      </c>
      <c r="B70" s="114"/>
      <c r="C70" s="117">
        <f t="shared" si="18"/>
        <v>10517359.112810297</v>
      </c>
      <c r="D70" s="116">
        <f t="shared" si="19"/>
        <v>219111.64818354786</v>
      </c>
      <c r="E70" s="114">
        <f t="shared" si="20"/>
        <v>-1752893.1854683829</v>
      </c>
      <c r="F70" s="114">
        <f t="shared" si="16"/>
        <v>46013.446118545049</v>
      </c>
      <c r="G70" s="114">
        <f t="shared" si="21"/>
        <v>-1678359.8410200048</v>
      </c>
      <c r="H70" s="115">
        <f t="shared" si="17"/>
        <v>7086106.086321909</v>
      </c>
      <c r="I70" s="114">
        <f t="shared" si="11"/>
        <v>10271440.216208054</v>
      </c>
      <c r="J70" s="114">
        <f t="shared" si="12"/>
        <v>-584297.72848946101</v>
      </c>
      <c r="K70" s="114">
        <f t="shared" si="13"/>
        <v>9687142.4877185933</v>
      </c>
      <c r="L70" s="114">
        <f t="shared" si="14"/>
        <v>-1872121.9186991071</v>
      </c>
      <c r="M70" s="114">
        <f t="shared" si="15"/>
        <v>7815020.5690194862</v>
      </c>
      <c r="N70" s="127"/>
      <c r="O70" s="126"/>
      <c r="P70" s="126"/>
      <c r="Q70" s="126"/>
      <c r="R70" s="126"/>
    </row>
    <row r="71" spans="1:18" s="109" customFormat="1" x14ac:dyDescent="0.25">
      <c r="A71" s="118">
        <v>45199</v>
      </c>
      <c r="B71" s="114"/>
      <c r="C71" s="117">
        <f t="shared" si="18"/>
        <v>10517359.112810297</v>
      </c>
      <c r="D71" s="116">
        <f t="shared" si="19"/>
        <v>219111.64818354786</v>
      </c>
      <c r="E71" s="114">
        <f t="shared" si="20"/>
        <v>-1972004.8336519308</v>
      </c>
      <c r="F71" s="114">
        <f t="shared" si="16"/>
        <v>46013.446118545049</v>
      </c>
      <c r="G71" s="114">
        <f t="shared" si="21"/>
        <v>-1632346.3949014598</v>
      </c>
      <c r="H71" s="115">
        <f t="shared" si="17"/>
        <v>6913007.8842569068</v>
      </c>
      <c r="I71" s="114">
        <f t="shared" si="11"/>
        <v>10379029.733471535</v>
      </c>
      <c r="J71" s="114">
        <f t="shared" si="12"/>
        <v>-739501.81261947413</v>
      </c>
      <c r="K71" s="114">
        <f t="shared" si="13"/>
        <v>9639527.9208520614</v>
      </c>
      <c r="L71" s="114">
        <f t="shared" si="14"/>
        <v>-1862122.8596571358</v>
      </c>
      <c r="M71" s="114">
        <f t="shared" si="15"/>
        <v>7777405.0611949256</v>
      </c>
      <c r="N71" s="127"/>
      <c r="O71" s="126"/>
      <c r="P71" s="126"/>
      <c r="Q71" s="126"/>
      <c r="R71" s="126"/>
    </row>
    <row r="72" spans="1:18" s="109" customFormat="1" x14ac:dyDescent="0.25">
      <c r="A72" s="118">
        <v>45230</v>
      </c>
      <c r="B72" s="114"/>
      <c r="C72" s="117">
        <f t="shared" si="18"/>
        <v>10517359.112810297</v>
      </c>
      <c r="D72" s="116">
        <f t="shared" si="19"/>
        <v>219111.64818354786</v>
      </c>
      <c r="E72" s="114">
        <f t="shared" si="20"/>
        <v>-2191116.4818354785</v>
      </c>
      <c r="F72" s="114">
        <f t="shared" si="16"/>
        <v>46013.446118545049</v>
      </c>
      <c r="G72" s="114">
        <f t="shared" si="21"/>
        <v>-1586332.9487829148</v>
      </c>
      <c r="H72" s="115">
        <f t="shared" si="17"/>
        <v>6739909.6821919028</v>
      </c>
      <c r="I72" s="114">
        <f t="shared" si="11"/>
        <v>10455879.388659736</v>
      </c>
      <c r="J72" s="114">
        <f t="shared" si="12"/>
        <v>-912965.20076478273</v>
      </c>
      <c r="K72" s="114">
        <f t="shared" si="13"/>
        <v>9542914.1878949534</v>
      </c>
      <c r="L72" s="114">
        <f t="shared" si="14"/>
        <v>-1841833.9757361431</v>
      </c>
      <c r="M72" s="114">
        <f t="shared" si="15"/>
        <v>7701080.2121588103</v>
      </c>
      <c r="N72" s="127"/>
      <c r="O72" s="126"/>
      <c r="P72" s="126"/>
      <c r="Q72" s="126"/>
      <c r="R72" s="126"/>
    </row>
    <row r="73" spans="1:18" s="109" customFormat="1" x14ac:dyDescent="0.25">
      <c r="A73" s="118">
        <v>45260</v>
      </c>
      <c r="B73" s="114"/>
      <c r="C73" s="117">
        <f t="shared" si="18"/>
        <v>10517359.112810297</v>
      </c>
      <c r="D73" s="116">
        <f t="shared" si="19"/>
        <v>219111.64818354786</v>
      </c>
      <c r="E73" s="114">
        <f t="shared" si="20"/>
        <v>-2410228.1300190263</v>
      </c>
      <c r="F73" s="114">
        <f t="shared" si="16"/>
        <v>46013.446118545049</v>
      </c>
      <c r="G73" s="114">
        <f t="shared" si="21"/>
        <v>-1540319.5026643698</v>
      </c>
      <c r="H73" s="115">
        <f t="shared" si="17"/>
        <v>6566811.4801269015</v>
      </c>
      <c r="I73" s="114">
        <f t="shared" si="11"/>
        <v>10501989.181772657</v>
      </c>
      <c r="J73" s="114">
        <f t="shared" si="12"/>
        <v>-1104687.8929253872</v>
      </c>
      <c r="K73" s="114">
        <f t="shared" si="13"/>
        <v>9397301.2888472695</v>
      </c>
      <c r="L73" s="114">
        <f t="shared" si="14"/>
        <v>-1811255.2669361292</v>
      </c>
      <c r="M73" s="114">
        <f t="shared" si="15"/>
        <v>7586046.0219111405</v>
      </c>
    </row>
    <row r="74" spans="1:18" s="109" customFormat="1" x14ac:dyDescent="0.25">
      <c r="A74" s="118">
        <v>45291</v>
      </c>
      <c r="B74" s="114"/>
      <c r="C74" s="117">
        <f t="shared" si="18"/>
        <v>10517359.112810297</v>
      </c>
      <c r="D74" s="116">
        <f t="shared" si="19"/>
        <v>219111.64818354786</v>
      </c>
      <c r="E74" s="114">
        <f t="shared" si="20"/>
        <v>-2629339.7782025742</v>
      </c>
      <c r="F74" s="114">
        <f t="shared" si="16"/>
        <v>46013.446118545049</v>
      </c>
      <c r="G74" s="114">
        <f t="shared" si="21"/>
        <v>-1494306.0565458247</v>
      </c>
      <c r="H74" s="115">
        <f t="shared" si="17"/>
        <v>6393713.2780618975</v>
      </c>
      <c r="I74" s="114">
        <f t="shared" si="11"/>
        <v>10517359.112810297</v>
      </c>
      <c r="J74" s="114">
        <f t="shared" si="12"/>
        <v>-1314669.8891012871</v>
      </c>
      <c r="K74" s="114">
        <f t="shared" si="13"/>
        <v>9202689.2237090096</v>
      </c>
      <c r="L74" s="114">
        <f t="shared" si="14"/>
        <v>-1770386.7332570946</v>
      </c>
      <c r="M74" s="114">
        <f t="shared" si="15"/>
        <v>7432302.4904519152</v>
      </c>
    </row>
    <row r="75" spans="1:18" s="109" customFormat="1" x14ac:dyDescent="0.25">
      <c r="A75" s="125">
        <v>45322</v>
      </c>
      <c r="B75" s="122"/>
      <c r="C75" s="124">
        <f t="shared" si="18"/>
        <v>10517359.112810297</v>
      </c>
      <c r="D75" s="123">
        <f t="shared" si="19"/>
        <v>219111.64818354786</v>
      </c>
      <c r="E75" s="122">
        <f t="shared" si="20"/>
        <v>-2848451.4263861221</v>
      </c>
      <c r="F75" s="122">
        <f t="shared" si="16"/>
        <v>46013.446118545049</v>
      </c>
      <c r="G75" s="122">
        <f t="shared" si="21"/>
        <v>-1448292.6104272797</v>
      </c>
      <c r="H75" s="121">
        <f t="shared" si="17"/>
        <v>6220615.0759968953</v>
      </c>
      <c r="I75" s="120">
        <f t="shared" si="11"/>
        <v>10517359.112810297</v>
      </c>
      <c r="J75" s="119">
        <f t="shared" si="12"/>
        <v>-1533781.537284835</v>
      </c>
      <c r="K75" s="119">
        <f t="shared" si="13"/>
        <v>8983577.5755254626</v>
      </c>
      <c r="L75" s="119">
        <f t="shared" si="14"/>
        <v>-1724373.2871385498</v>
      </c>
      <c r="M75" s="119">
        <f t="shared" si="15"/>
        <v>7259204.288386913</v>
      </c>
    </row>
    <row r="76" spans="1:18" s="109" customFormat="1" x14ac:dyDescent="0.25">
      <c r="A76" s="125">
        <v>45351</v>
      </c>
      <c r="B76" s="122"/>
      <c r="C76" s="124">
        <f t="shared" si="18"/>
        <v>10517359.112810297</v>
      </c>
      <c r="D76" s="123">
        <f t="shared" si="19"/>
        <v>219111.64818354786</v>
      </c>
      <c r="E76" s="122">
        <f t="shared" si="20"/>
        <v>-3067563.07456967</v>
      </c>
      <c r="F76" s="122">
        <f t="shared" si="16"/>
        <v>46013.446118545049</v>
      </c>
      <c r="G76" s="122">
        <f t="shared" si="21"/>
        <v>-1402279.1643087347</v>
      </c>
      <c r="H76" s="121">
        <f t="shared" si="17"/>
        <v>6047516.8739318922</v>
      </c>
      <c r="I76" s="120">
        <f t="shared" si="11"/>
        <v>10517359.112810297</v>
      </c>
      <c r="J76" s="119">
        <f t="shared" si="12"/>
        <v>-1752893.1854683829</v>
      </c>
      <c r="K76" s="119">
        <f t="shared" si="13"/>
        <v>8764465.9273419138</v>
      </c>
      <c r="L76" s="119">
        <f t="shared" si="14"/>
        <v>-1678359.8410200048</v>
      </c>
      <c r="M76" s="119">
        <f t="shared" si="15"/>
        <v>7086106.086321909</v>
      </c>
    </row>
    <row r="77" spans="1:18" s="109" customFormat="1" x14ac:dyDescent="0.25">
      <c r="A77" s="125">
        <v>45382</v>
      </c>
      <c r="B77" s="122"/>
      <c r="C77" s="124">
        <f t="shared" si="18"/>
        <v>10517359.112810297</v>
      </c>
      <c r="D77" s="123">
        <f t="shared" si="19"/>
        <v>219111.64818354786</v>
      </c>
      <c r="E77" s="122">
        <f t="shared" si="20"/>
        <v>-3286674.7227532179</v>
      </c>
      <c r="F77" s="122">
        <f t="shared" si="16"/>
        <v>46013.446118545049</v>
      </c>
      <c r="G77" s="122">
        <f t="shared" si="21"/>
        <v>-1356265.7181901897</v>
      </c>
      <c r="H77" s="121">
        <f t="shared" si="17"/>
        <v>5874418.67186689</v>
      </c>
      <c r="I77" s="120">
        <f t="shared" si="11"/>
        <v>10517359.112810297</v>
      </c>
      <c r="J77" s="119">
        <f t="shared" si="12"/>
        <v>-1972004.8336519308</v>
      </c>
      <c r="K77" s="119">
        <f t="shared" si="13"/>
        <v>8545354.2791583668</v>
      </c>
      <c r="L77" s="119">
        <f t="shared" si="14"/>
        <v>-1632346.3949014598</v>
      </c>
      <c r="M77" s="119">
        <f t="shared" si="15"/>
        <v>6913007.8842569068</v>
      </c>
    </row>
    <row r="78" spans="1:18" s="109" customFormat="1" x14ac:dyDescent="0.25">
      <c r="A78" s="125">
        <v>45412</v>
      </c>
      <c r="B78" s="122"/>
      <c r="C78" s="124">
        <f t="shared" si="18"/>
        <v>10517359.112810297</v>
      </c>
      <c r="D78" s="123">
        <f t="shared" si="19"/>
        <v>219111.64818354786</v>
      </c>
      <c r="E78" s="122">
        <f t="shared" si="20"/>
        <v>-3505786.3709367658</v>
      </c>
      <c r="F78" s="122">
        <f t="shared" si="16"/>
        <v>46013.446118545049</v>
      </c>
      <c r="G78" s="122">
        <f t="shared" si="21"/>
        <v>-1310252.2720716447</v>
      </c>
      <c r="H78" s="121">
        <f t="shared" si="17"/>
        <v>5701320.469801886</v>
      </c>
      <c r="I78" s="120">
        <f t="shared" si="11"/>
        <v>10517359.112810297</v>
      </c>
      <c r="J78" s="119">
        <f t="shared" si="12"/>
        <v>-2191116.4818354785</v>
      </c>
      <c r="K78" s="119">
        <f t="shared" si="13"/>
        <v>8326242.630974818</v>
      </c>
      <c r="L78" s="119">
        <f t="shared" si="14"/>
        <v>-1586332.9487829146</v>
      </c>
      <c r="M78" s="119">
        <f t="shared" si="15"/>
        <v>6739909.6821919037</v>
      </c>
    </row>
    <row r="79" spans="1:18" s="109" customFormat="1" x14ac:dyDescent="0.25">
      <c r="A79" s="125">
        <v>45443</v>
      </c>
      <c r="B79" s="122"/>
      <c r="C79" s="124">
        <f t="shared" si="18"/>
        <v>10517359.112810297</v>
      </c>
      <c r="D79" s="123">
        <f t="shared" si="19"/>
        <v>219111.64818354786</v>
      </c>
      <c r="E79" s="122">
        <f t="shared" si="20"/>
        <v>-3724898.0191203137</v>
      </c>
      <c r="F79" s="122">
        <f t="shared" si="16"/>
        <v>46013.446118545049</v>
      </c>
      <c r="G79" s="122">
        <f t="shared" si="21"/>
        <v>-1264238.8259530996</v>
      </c>
      <c r="H79" s="121">
        <f t="shared" si="17"/>
        <v>5528222.2677368838</v>
      </c>
      <c r="I79" s="120">
        <f t="shared" si="11"/>
        <v>10517359.112810297</v>
      </c>
      <c r="J79" s="119">
        <f t="shared" si="12"/>
        <v>-2410228.1300190263</v>
      </c>
      <c r="K79" s="119">
        <f t="shared" si="13"/>
        <v>8107130.9827912711</v>
      </c>
      <c r="L79" s="119">
        <f t="shared" si="14"/>
        <v>-1540319.5026643695</v>
      </c>
      <c r="M79" s="119">
        <f t="shared" si="15"/>
        <v>6566811.4801269015</v>
      </c>
    </row>
    <row r="80" spans="1:18" s="109" customFormat="1" x14ac:dyDescent="0.25">
      <c r="A80" s="125">
        <v>45473</v>
      </c>
      <c r="B80" s="122"/>
      <c r="C80" s="124">
        <f t="shared" si="18"/>
        <v>10517359.112810297</v>
      </c>
      <c r="D80" s="123">
        <f t="shared" si="19"/>
        <v>219111.64818354786</v>
      </c>
      <c r="E80" s="122">
        <f t="shared" si="20"/>
        <v>-3944009.6673038616</v>
      </c>
      <c r="F80" s="122">
        <f t="shared" si="16"/>
        <v>46013.446118545049</v>
      </c>
      <c r="G80" s="122">
        <f t="shared" si="21"/>
        <v>-1218225.3798345546</v>
      </c>
      <c r="H80" s="121">
        <f t="shared" si="17"/>
        <v>5355124.0656718798</v>
      </c>
      <c r="I80" s="120">
        <f t="shared" si="11"/>
        <v>10517359.112810297</v>
      </c>
      <c r="J80" s="119">
        <f t="shared" si="12"/>
        <v>-2629339.7782025742</v>
      </c>
      <c r="K80" s="119">
        <f t="shared" si="13"/>
        <v>7888019.3346077222</v>
      </c>
      <c r="L80" s="119">
        <f t="shared" si="14"/>
        <v>-1494306.0565458247</v>
      </c>
      <c r="M80" s="119">
        <f t="shared" si="15"/>
        <v>6393713.2780618975</v>
      </c>
    </row>
    <row r="81" spans="1:13" s="109" customFormat="1" x14ac:dyDescent="0.25">
      <c r="A81" s="125">
        <v>45504</v>
      </c>
      <c r="B81" s="122"/>
      <c r="C81" s="124">
        <f t="shared" si="18"/>
        <v>10517359.112810297</v>
      </c>
      <c r="D81" s="123">
        <f t="shared" si="19"/>
        <v>219111.64818354786</v>
      </c>
      <c r="E81" s="122">
        <f t="shared" si="20"/>
        <v>-4163121.3154874095</v>
      </c>
      <c r="F81" s="122">
        <f t="shared" si="16"/>
        <v>46013.446118545049</v>
      </c>
      <c r="G81" s="122">
        <f t="shared" si="21"/>
        <v>-1172211.9337160096</v>
      </c>
      <c r="H81" s="121">
        <f t="shared" si="17"/>
        <v>5182025.8636068786</v>
      </c>
      <c r="I81" s="120">
        <f t="shared" si="11"/>
        <v>10517359.112810297</v>
      </c>
      <c r="J81" s="119">
        <f t="shared" si="12"/>
        <v>-2848451.4263861221</v>
      </c>
      <c r="K81" s="119">
        <f t="shared" si="13"/>
        <v>7668907.6864241753</v>
      </c>
      <c r="L81" s="119">
        <f t="shared" si="14"/>
        <v>-1448292.6104272797</v>
      </c>
      <c r="M81" s="119">
        <f t="shared" si="15"/>
        <v>6220615.0759968953</v>
      </c>
    </row>
    <row r="82" spans="1:13" s="109" customFormat="1" x14ac:dyDescent="0.25">
      <c r="A82" s="125">
        <v>45535</v>
      </c>
      <c r="B82" s="122"/>
      <c r="C82" s="124">
        <f t="shared" si="18"/>
        <v>10517359.112810297</v>
      </c>
      <c r="D82" s="123">
        <f t="shared" si="19"/>
        <v>219111.64818354786</v>
      </c>
      <c r="E82" s="122">
        <f t="shared" si="20"/>
        <v>-4382232.9636709569</v>
      </c>
      <c r="F82" s="122">
        <f t="shared" si="16"/>
        <v>46013.446118545049</v>
      </c>
      <c r="G82" s="122">
        <f t="shared" si="21"/>
        <v>-1126198.4875974646</v>
      </c>
      <c r="H82" s="121">
        <f t="shared" si="17"/>
        <v>5008927.6615418755</v>
      </c>
      <c r="I82" s="120">
        <f t="shared" si="11"/>
        <v>10517359.112810297</v>
      </c>
      <c r="J82" s="119">
        <f t="shared" si="12"/>
        <v>-3067563.07456967</v>
      </c>
      <c r="K82" s="119">
        <f t="shared" si="13"/>
        <v>7449796.0382406265</v>
      </c>
      <c r="L82" s="119">
        <f t="shared" si="14"/>
        <v>-1402279.1643087349</v>
      </c>
      <c r="M82" s="119">
        <f t="shared" si="15"/>
        <v>6047516.8739318913</v>
      </c>
    </row>
    <row r="83" spans="1:13" s="109" customFormat="1" x14ac:dyDescent="0.25">
      <c r="A83" s="125">
        <v>45565</v>
      </c>
      <c r="B83" s="122"/>
      <c r="C83" s="124">
        <f t="shared" si="18"/>
        <v>10517359.112810297</v>
      </c>
      <c r="D83" s="123">
        <f t="shared" si="19"/>
        <v>219111.64818354786</v>
      </c>
      <c r="E83" s="122">
        <f t="shared" si="20"/>
        <v>-4601344.6118545048</v>
      </c>
      <c r="F83" s="122">
        <f t="shared" si="16"/>
        <v>46013.446118545049</v>
      </c>
      <c r="G83" s="122">
        <f t="shared" si="21"/>
        <v>-1080185.0414789196</v>
      </c>
      <c r="H83" s="121">
        <f t="shared" si="17"/>
        <v>4835829.4594768723</v>
      </c>
      <c r="I83" s="120">
        <f t="shared" si="11"/>
        <v>10517359.112810297</v>
      </c>
      <c r="J83" s="119">
        <f t="shared" si="12"/>
        <v>-3286674.7227532179</v>
      </c>
      <c r="K83" s="119">
        <f t="shared" si="13"/>
        <v>7230684.3900570795</v>
      </c>
      <c r="L83" s="119">
        <f t="shared" si="14"/>
        <v>-1356265.7181901897</v>
      </c>
      <c r="M83" s="119">
        <f t="shared" si="15"/>
        <v>5874418.67186689</v>
      </c>
    </row>
    <row r="84" spans="1:13" s="109" customFormat="1" x14ac:dyDescent="0.25">
      <c r="A84" s="125">
        <v>45596</v>
      </c>
      <c r="B84" s="122"/>
      <c r="C84" s="124">
        <f t="shared" si="18"/>
        <v>10517359.112810297</v>
      </c>
      <c r="D84" s="123">
        <f t="shared" si="19"/>
        <v>219111.64818354786</v>
      </c>
      <c r="E84" s="122">
        <f t="shared" si="20"/>
        <v>-4820456.2600380527</v>
      </c>
      <c r="F84" s="122">
        <f t="shared" si="16"/>
        <v>46013.446118545049</v>
      </c>
      <c r="G84" s="122">
        <f t="shared" si="21"/>
        <v>-1034171.5953603745</v>
      </c>
      <c r="H84" s="121">
        <f t="shared" si="17"/>
        <v>4662731.2574118692</v>
      </c>
      <c r="I84" s="120">
        <f t="shared" si="11"/>
        <v>10517359.112810297</v>
      </c>
      <c r="J84" s="119">
        <f t="shared" si="12"/>
        <v>-3505786.3709367649</v>
      </c>
      <c r="K84" s="119">
        <f t="shared" si="13"/>
        <v>7011572.7418735325</v>
      </c>
      <c r="L84" s="119">
        <f t="shared" si="14"/>
        <v>-1310252.2720716449</v>
      </c>
      <c r="M84" s="119">
        <f t="shared" si="15"/>
        <v>5701320.4698018879</v>
      </c>
    </row>
    <row r="85" spans="1:13" s="109" customFormat="1" x14ac:dyDescent="0.25">
      <c r="A85" s="125">
        <v>45626</v>
      </c>
      <c r="B85" s="122"/>
      <c r="C85" s="124">
        <f t="shared" si="18"/>
        <v>10517359.112810297</v>
      </c>
      <c r="D85" s="123">
        <f t="shared" si="19"/>
        <v>219111.64818354786</v>
      </c>
      <c r="E85" s="122">
        <f t="shared" si="20"/>
        <v>-5039567.9082216006</v>
      </c>
      <c r="F85" s="122">
        <f t="shared" si="16"/>
        <v>46013.446118545049</v>
      </c>
      <c r="G85" s="122">
        <f t="shared" si="21"/>
        <v>-988158.14924182952</v>
      </c>
      <c r="H85" s="121">
        <f t="shared" si="17"/>
        <v>4489633.0553468671</v>
      </c>
      <c r="I85" s="120">
        <f t="shared" si="11"/>
        <v>10517359.112810297</v>
      </c>
      <c r="J85" s="119">
        <f t="shared" si="12"/>
        <v>-3724898.0191203137</v>
      </c>
      <c r="K85" s="119">
        <f t="shared" si="13"/>
        <v>6792461.0936899837</v>
      </c>
      <c r="L85" s="119">
        <f t="shared" si="14"/>
        <v>-1264238.8259530996</v>
      </c>
      <c r="M85" s="119">
        <f t="shared" si="15"/>
        <v>5528222.2677368838</v>
      </c>
    </row>
    <row r="86" spans="1:13" s="109" customFormat="1" x14ac:dyDescent="0.25">
      <c r="A86" s="125">
        <v>45657</v>
      </c>
      <c r="B86" s="122"/>
      <c r="C86" s="124">
        <f t="shared" si="18"/>
        <v>10517359.112810297</v>
      </c>
      <c r="D86" s="123">
        <f t="shared" si="19"/>
        <v>219111.64818354786</v>
      </c>
      <c r="E86" s="122">
        <f t="shared" si="20"/>
        <v>-5258679.5564051485</v>
      </c>
      <c r="F86" s="122">
        <f t="shared" si="16"/>
        <v>46013.446118545049</v>
      </c>
      <c r="G86" s="122">
        <f t="shared" si="21"/>
        <v>-942144.7031232845</v>
      </c>
      <c r="H86" s="121">
        <f t="shared" si="17"/>
        <v>4316534.853281864</v>
      </c>
      <c r="I86" s="120">
        <f t="shared" si="11"/>
        <v>10517359.112810297</v>
      </c>
      <c r="J86" s="119">
        <f t="shared" si="12"/>
        <v>-3944009.6673038616</v>
      </c>
      <c r="K86" s="119">
        <f t="shared" si="13"/>
        <v>6573349.4455064349</v>
      </c>
      <c r="L86" s="119">
        <f t="shared" si="14"/>
        <v>-1218225.3798345546</v>
      </c>
      <c r="M86" s="119">
        <f t="shared" si="15"/>
        <v>5355124.0656718798</v>
      </c>
    </row>
    <row r="87" spans="1:13" s="109" customFormat="1" x14ac:dyDescent="0.25">
      <c r="A87" s="118">
        <v>45688</v>
      </c>
      <c r="B87" s="114"/>
      <c r="C87" s="117">
        <f t="shared" si="18"/>
        <v>10517359.112810297</v>
      </c>
      <c r="D87" s="116">
        <f t="shared" si="19"/>
        <v>219111.64818354786</v>
      </c>
      <c r="E87" s="114">
        <f t="shared" si="20"/>
        <v>-5477791.2045886964</v>
      </c>
      <c r="F87" s="114">
        <f t="shared" si="16"/>
        <v>46013.446118545049</v>
      </c>
      <c r="G87" s="114">
        <f t="shared" si="21"/>
        <v>-896131.25700473948</v>
      </c>
      <c r="H87" s="115">
        <f t="shared" si="17"/>
        <v>4143436.6512168609</v>
      </c>
      <c r="I87" s="114">
        <f t="shared" ref="I87:I118" si="22">(C75+C87+SUM(C76:C86)*2)/24</f>
        <v>10517359.112810297</v>
      </c>
      <c r="J87" s="114">
        <f t="shared" ref="J87:J118" si="23">(E75+E87+SUM(E76:E86)*2)/24</f>
        <v>-4163121.3154874095</v>
      </c>
      <c r="K87" s="114">
        <f t="shared" ref="K87:K118" si="24">I87+J87</f>
        <v>6354237.7973228879</v>
      </c>
      <c r="L87" s="114">
        <f t="shared" ref="L87:L118" si="25">(G75+G87+SUM(G76:G86)*2)/24</f>
        <v>-1172211.9337160096</v>
      </c>
      <c r="M87" s="114">
        <f t="shared" ref="M87:M118" si="26">K87+L87</f>
        <v>5182025.8636068786</v>
      </c>
    </row>
    <row r="88" spans="1:13" s="109" customFormat="1" x14ac:dyDescent="0.25">
      <c r="A88" s="118">
        <v>45716</v>
      </c>
      <c r="B88" s="114"/>
      <c r="C88" s="117">
        <f t="shared" si="18"/>
        <v>10517359.112810297</v>
      </c>
      <c r="D88" s="116">
        <f t="shared" si="19"/>
        <v>219111.64818354786</v>
      </c>
      <c r="E88" s="114">
        <f t="shared" si="20"/>
        <v>-5696902.8527722443</v>
      </c>
      <c r="F88" s="114">
        <f t="shared" si="16"/>
        <v>46013.446118545049</v>
      </c>
      <c r="G88" s="114">
        <f t="shared" si="21"/>
        <v>-850117.81088619446</v>
      </c>
      <c r="H88" s="115">
        <f t="shared" si="17"/>
        <v>3970338.4491518582</v>
      </c>
      <c r="I88" s="114">
        <f t="shared" si="22"/>
        <v>10517359.112810297</v>
      </c>
      <c r="J88" s="114">
        <f t="shared" si="23"/>
        <v>-4382232.9636709569</v>
      </c>
      <c r="K88" s="114">
        <f t="shared" si="24"/>
        <v>6135126.14913934</v>
      </c>
      <c r="L88" s="114">
        <f t="shared" si="25"/>
        <v>-1126198.4875974646</v>
      </c>
      <c r="M88" s="114">
        <f t="shared" si="26"/>
        <v>5008927.6615418755</v>
      </c>
    </row>
    <row r="89" spans="1:13" s="109" customFormat="1" x14ac:dyDescent="0.25">
      <c r="A89" s="118">
        <v>45747</v>
      </c>
      <c r="B89" s="114"/>
      <c r="C89" s="117">
        <f t="shared" si="18"/>
        <v>10517359.112810297</v>
      </c>
      <c r="D89" s="116">
        <f t="shared" si="19"/>
        <v>219111.64818354786</v>
      </c>
      <c r="E89" s="114">
        <f t="shared" si="20"/>
        <v>-5916014.5009557921</v>
      </c>
      <c r="F89" s="114">
        <f t="shared" si="16"/>
        <v>46013.446118545049</v>
      </c>
      <c r="G89" s="114">
        <f t="shared" si="21"/>
        <v>-804104.36476764944</v>
      </c>
      <c r="H89" s="115">
        <f t="shared" si="17"/>
        <v>3797240.2470868556</v>
      </c>
      <c r="I89" s="114">
        <f t="shared" si="22"/>
        <v>10517359.112810297</v>
      </c>
      <c r="J89" s="114">
        <f t="shared" si="23"/>
        <v>-4601344.6118545048</v>
      </c>
      <c r="K89" s="114">
        <f t="shared" si="24"/>
        <v>5916014.5009557921</v>
      </c>
      <c r="L89" s="114">
        <f t="shared" si="25"/>
        <v>-1080185.0414789196</v>
      </c>
      <c r="M89" s="114">
        <f t="shared" si="26"/>
        <v>4835829.4594768723</v>
      </c>
    </row>
    <row r="90" spans="1:13" s="109" customFormat="1" x14ac:dyDescent="0.25">
      <c r="A90" s="118">
        <v>45777</v>
      </c>
      <c r="B90" s="114"/>
      <c r="C90" s="117">
        <f t="shared" si="18"/>
        <v>10517359.112810297</v>
      </c>
      <c r="D90" s="116">
        <f t="shared" si="19"/>
        <v>219111.64818354786</v>
      </c>
      <c r="E90" s="114">
        <f t="shared" si="20"/>
        <v>-6135126.14913934</v>
      </c>
      <c r="F90" s="114">
        <f t="shared" si="16"/>
        <v>46013.446118545049</v>
      </c>
      <c r="G90" s="114">
        <f t="shared" si="21"/>
        <v>-758090.91864910442</v>
      </c>
      <c r="H90" s="115">
        <f t="shared" si="17"/>
        <v>3624142.0450218525</v>
      </c>
      <c r="I90" s="114">
        <f t="shared" si="22"/>
        <v>10517359.112810297</v>
      </c>
      <c r="J90" s="114">
        <f t="shared" si="23"/>
        <v>-4820456.2600380527</v>
      </c>
      <c r="K90" s="114">
        <f t="shared" si="24"/>
        <v>5696902.8527722443</v>
      </c>
      <c r="L90" s="114">
        <f t="shared" si="25"/>
        <v>-1034171.5953603745</v>
      </c>
      <c r="M90" s="114">
        <f t="shared" si="26"/>
        <v>4662731.2574118692</v>
      </c>
    </row>
    <row r="91" spans="1:13" s="109" customFormat="1" x14ac:dyDescent="0.25">
      <c r="A91" s="118">
        <v>45808</v>
      </c>
      <c r="B91" s="114"/>
      <c r="C91" s="117">
        <f t="shared" si="18"/>
        <v>10517359.112810297</v>
      </c>
      <c r="D91" s="116">
        <f t="shared" si="19"/>
        <v>219111.64818354786</v>
      </c>
      <c r="E91" s="114">
        <f t="shared" si="20"/>
        <v>-6354237.7973228879</v>
      </c>
      <c r="F91" s="114">
        <f t="shared" ref="F91:F122" si="27">-(B91*$F$9)+(D91*$F$9)</f>
        <v>46013.446118545049</v>
      </c>
      <c r="G91" s="114">
        <f t="shared" si="21"/>
        <v>-712077.4725305594</v>
      </c>
      <c r="H91" s="115">
        <f t="shared" ref="H91:H122" si="28">C91+E91+G91</f>
        <v>3451043.8429568494</v>
      </c>
      <c r="I91" s="114">
        <f t="shared" si="22"/>
        <v>10517359.112810297</v>
      </c>
      <c r="J91" s="114">
        <f t="shared" si="23"/>
        <v>-5039567.9082216006</v>
      </c>
      <c r="K91" s="114">
        <f t="shared" si="24"/>
        <v>5477791.2045886964</v>
      </c>
      <c r="L91" s="114">
        <f t="shared" si="25"/>
        <v>-988158.14924182976</v>
      </c>
      <c r="M91" s="114">
        <f t="shared" si="26"/>
        <v>4489633.0553468671</v>
      </c>
    </row>
    <row r="92" spans="1:13" s="109" customFormat="1" x14ac:dyDescent="0.25">
      <c r="A92" s="118">
        <v>45838</v>
      </c>
      <c r="B92" s="114"/>
      <c r="C92" s="117">
        <f t="shared" ref="C92:C123" si="29">+B92+C91</f>
        <v>10517359.112810297</v>
      </c>
      <c r="D92" s="116">
        <f t="shared" si="19"/>
        <v>219111.64818354786</v>
      </c>
      <c r="E92" s="114">
        <f t="shared" si="20"/>
        <v>-6573349.4455064358</v>
      </c>
      <c r="F92" s="114">
        <f t="shared" si="27"/>
        <v>46013.446118545049</v>
      </c>
      <c r="G92" s="114">
        <f t="shared" si="21"/>
        <v>-666064.02641201438</v>
      </c>
      <c r="H92" s="115">
        <f t="shared" si="28"/>
        <v>3277945.6408918467</v>
      </c>
      <c r="I92" s="114">
        <f t="shared" si="22"/>
        <v>10517359.112810297</v>
      </c>
      <c r="J92" s="114">
        <f t="shared" si="23"/>
        <v>-5258679.5564051485</v>
      </c>
      <c r="K92" s="114">
        <f t="shared" si="24"/>
        <v>5258679.5564051485</v>
      </c>
      <c r="L92" s="114">
        <f t="shared" si="25"/>
        <v>-942144.70312328462</v>
      </c>
      <c r="M92" s="114">
        <f t="shared" si="26"/>
        <v>4316534.853281864</v>
      </c>
    </row>
    <row r="93" spans="1:13" s="109" customFormat="1" x14ac:dyDescent="0.25">
      <c r="A93" s="118">
        <v>45869</v>
      </c>
      <c r="B93" s="114"/>
      <c r="C93" s="117">
        <f t="shared" si="29"/>
        <v>10517359.112810297</v>
      </c>
      <c r="D93" s="116">
        <f t="shared" si="19"/>
        <v>219111.64818354786</v>
      </c>
      <c r="E93" s="114">
        <f t="shared" si="20"/>
        <v>-6792461.0936899837</v>
      </c>
      <c r="F93" s="114">
        <f t="shared" si="27"/>
        <v>46013.446118545049</v>
      </c>
      <c r="G93" s="114">
        <f t="shared" si="21"/>
        <v>-620050.58029346936</v>
      </c>
      <c r="H93" s="115">
        <f t="shared" si="28"/>
        <v>3104847.4388268441</v>
      </c>
      <c r="I93" s="114">
        <f t="shared" si="22"/>
        <v>10517359.112810297</v>
      </c>
      <c r="J93" s="114">
        <f t="shared" si="23"/>
        <v>-5477791.2045886964</v>
      </c>
      <c r="K93" s="114">
        <f t="shared" si="24"/>
        <v>5039567.9082216006</v>
      </c>
      <c r="L93" s="114">
        <f t="shared" si="25"/>
        <v>-896131.25700473937</v>
      </c>
      <c r="M93" s="114">
        <f t="shared" si="26"/>
        <v>4143436.6512168613</v>
      </c>
    </row>
    <row r="94" spans="1:13" s="109" customFormat="1" x14ac:dyDescent="0.25">
      <c r="A94" s="118">
        <v>45900</v>
      </c>
      <c r="B94" s="114"/>
      <c r="C94" s="117">
        <f t="shared" si="29"/>
        <v>10517359.112810297</v>
      </c>
      <c r="D94" s="116">
        <f t="shared" si="19"/>
        <v>219111.64818354786</v>
      </c>
      <c r="E94" s="114">
        <f t="shared" si="20"/>
        <v>-7011572.7418735316</v>
      </c>
      <c r="F94" s="114">
        <f t="shared" si="27"/>
        <v>46013.446118545049</v>
      </c>
      <c r="G94" s="114">
        <f t="shared" si="21"/>
        <v>-574037.13417492434</v>
      </c>
      <c r="H94" s="115">
        <f t="shared" si="28"/>
        <v>2931749.236761841</v>
      </c>
      <c r="I94" s="114">
        <f t="shared" si="22"/>
        <v>10517359.112810297</v>
      </c>
      <c r="J94" s="114">
        <f t="shared" si="23"/>
        <v>-5696902.8527722443</v>
      </c>
      <c r="K94" s="114">
        <f t="shared" si="24"/>
        <v>4820456.2600380527</v>
      </c>
      <c r="L94" s="114">
        <f t="shared" si="25"/>
        <v>-850117.81088619446</v>
      </c>
      <c r="M94" s="114">
        <f t="shared" si="26"/>
        <v>3970338.4491518582</v>
      </c>
    </row>
    <row r="95" spans="1:13" s="109" customFormat="1" x14ac:dyDescent="0.25">
      <c r="A95" s="118">
        <v>45930</v>
      </c>
      <c r="B95" s="114"/>
      <c r="C95" s="117">
        <f t="shared" si="29"/>
        <v>10517359.112810297</v>
      </c>
      <c r="D95" s="116">
        <f t="shared" si="19"/>
        <v>219111.64818354786</v>
      </c>
      <c r="E95" s="114">
        <f t="shared" si="20"/>
        <v>-7230684.3900570795</v>
      </c>
      <c r="F95" s="114">
        <f t="shared" si="27"/>
        <v>46013.446118545049</v>
      </c>
      <c r="G95" s="114">
        <f t="shared" si="21"/>
        <v>-528023.68805637932</v>
      </c>
      <c r="H95" s="115">
        <f t="shared" si="28"/>
        <v>2758651.0346968379</v>
      </c>
      <c r="I95" s="114">
        <f t="shared" si="22"/>
        <v>10517359.112810297</v>
      </c>
      <c r="J95" s="114">
        <f t="shared" si="23"/>
        <v>-5916014.5009557931</v>
      </c>
      <c r="K95" s="114">
        <f t="shared" si="24"/>
        <v>4601344.6118545039</v>
      </c>
      <c r="L95" s="114">
        <f t="shared" si="25"/>
        <v>-804104.36476764956</v>
      </c>
      <c r="M95" s="114">
        <f t="shared" si="26"/>
        <v>3797240.2470868542</v>
      </c>
    </row>
    <row r="96" spans="1:13" s="109" customFormat="1" x14ac:dyDescent="0.25">
      <c r="A96" s="118">
        <v>45961</v>
      </c>
      <c r="B96" s="114"/>
      <c r="C96" s="117">
        <f t="shared" si="29"/>
        <v>10517359.112810297</v>
      </c>
      <c r="D96" s="116">
        <f t="shared" si="19"/>
        <v>219111.64818354786</v>
      </c>
      <c r="E96" s="114">
        <f t="shared" si="20"/>
        <v>-7449796.0382406274</v>
      </c>
      <c r="F96" s="114">
        <f t="shared" si="27"/>
        <v>46013.446118545049</v>
      </c>
      <c r="G96" s="114">
        <f t="shared" si="21"/>
        <v>-482010.2419378343</v>
      </c>
      <c r="H96" s="115">
        <f t="shared" si="28"/>
        <v>2585552.8326318352</v>
      </c>
      <c r="I96" s="114">
        <f t="shared" si="22"/>
        <v>10517359.112810297</v>
      </c>
      <c r="J96" s="114">
        <f t="shared" si="23"/>
        <v>-6135126.149139341</v>
      </c>
      <c r="K96" s="114">
        <f t="shared" si="24"/>
        <v>4382232.963670956</v>
      </c>
      <c r="L96" s="114">
        <f t="shared" si="25"/>
        <v>-758090.91864910442</v>
      </c>
      <c r="M96" s="114">
        <f t="shared" si="26"/>
        <v>3624142.0450218515</v>
      </c>
    </row>
    <row r="97" spans="1:13" s="109" customFormat="1" x14ac:dyDescent="0.25">
      <c r="A97" s="118">
        <v>45991</v>
      </c>
      <c r="B97" s="114"/>
      <c r="C97" s="117">
        <f t="shared" si="29"/>
        <v>10517359.112810297</v>
      </c>
      <c r="D97" s="116">
        <f t="shared" si="19"/>
        <v>219111.64818354786</v>
      </c>
      <c r="E97" s="114">
        <f t="shared" si="20"/>
        <v>-7668907.6864241753</v>
      </c>
      <c r="F97" s="114">
        <f t="shared" si="27"/>
        <v>46013.446118545049</v>
      </c>
      <c r="G97" s="114">
        <f t="shared" si="21"/>
        <v>-435996.79581928928</v>
      </c>
      <c r="H97" s="115">
        <f t="shared" si="28"/>
        <v>2412454.6305668326</v>
      </c>
      <c r="I97" s="114">
        <f t="shared" si="22"/>
        <v>10517359.112810297</v>
      </c>
      <c r="J97" s="114">
        <f t="shared" si="23"/>
        <v>-6354237.7973228879</v>
      </c>
      <c r="K97" s="114">
        <f t="shared" si="24"/>
        <v>4163121.315487409</v>
      </c>
      <c r="L97" s="114">
        <f t="shared" si="25"/>
        <v>-712077.47253055929</v>
      </c>
      <c r="M97" s="114">
        <f t="shared" si="26"/>
        <v>3451043.8429568498</v>
      </c>
    </row>
    <row r="98" spans="1:13" s="109" customFormat="1" x14ac:dyDescent="0.25">
      <c r="A98" s="118">
        <v>46022</v>
      </c>
      <c r="B98" s="114"/>
      <c r="C98" s="117">
        <f t="shared" si="29"/>
        <v>10517359.112810297</v>
      </c>
      <c r="D98" s="116">
        <f t="shared" si="19"/>
        <v>219111.64818354786</v>
      </c>
      <c r="E98" s="114">
        <f t="shared" si="20"/>
        <v>-7888019.3346077232</v>
      </c>
      <c r="F98" s="114">
        <f t="shared" si="27"/>
        <v>46013.446118545049</v>
      </c>
      <c r="G98" s="114">
        <f t="shared" si="21"/>
        <v>-389983.34970074426</v>
      </c>
      <c r="H98" s="115">
        <f t="shared" si="28"/>
        <v>2239356.4285018295</v>
      </c>
      <c r="I98" s="114">
        <f t="shared" si="22"/>
        <v>10517359.112810297</v>
      </c>
      <c r="J98" s="114">
        <f t="shared" si="23"/>
        <v>-6573349.4455064358</v>
      </c>
      <c r="K98" s="114">
        <f t="shared" si="24"/>
        <v>3944009.6673038611</v>
      </c>
      <c r="L98" s="114">
        <f t="shared" si="25"/>
        <v>-666064.02641201438</v>
      </c>
      <c r="M98" s="114">
        <f t="shared" si="26"/>
        <v>3277945.6408918467</v>
      </c>
    </row>
    <row r="99" spans="1:13" s="109" customFormat="1" x14ac:dyDescent="0.25">
      <c r="A99" s="125">
        <v>46053</v>
      </c>
      <c r="B99" s="122"/>
      <c r="C99" s="124">
        <f t="shared" si="29"/>
        <v>10517359.112810297</v>
      </c>
      <c r="D99" s="123">
        <f t="shared" si="19"/>
        <v>219111.64818354786</v>
      </c>
      <c r="E99" s="122">
        <f t="shared" si="20"/>
        <v>-8107130.9827912711</v>
      </c>
      <c r="F99" s="122">
        <f t="shared" si="27"/>
        <v>46013.446118545049</v>
      </c>
      <c r="G99" s="122">
        <f t="shared" si="21"/>
        <v>-343969.90358219924</v>
      </c>
      <c r="H99" s="121">
        <f t="shared" si="28"/>
        <v>2066258.2264368266</v>
      </c>
      <c r="I99" s="120">
        <f t="shared" si="22"/>
        <v>10517359.112810297</v>
      </c>
      <c r="J99" s="119">
        <f t="shared" si="23"/>
        <v>-6792461.0936899828</v>
      </c>
      <c r="K99" s="119">
        <f t="shared" si="24"/>
        <v>3724898.0191203142</v>
      </c>
      <c r="L99" s="119">
        <f t="shared" si="25"/>
        <v>-620050.58029346948</v>
      </c>
      <c r="M99" s="119">
        <f t="shared" si="26"/>
        <v>3104847.4388268446</v>
      </c>
    </row>
    <row r="100" spans="1:13" s="109" customFormat="1" x14ac:dyDescent="0.25">
      <c r="A100" s="125">
        <v>46081</v>
      </c>
      <c r="B100" s="122"/>
      <c r="C100" s="124">
        <f t="shared" si="29"/>
        <v>10517359.112810297</v>
      </c>
      <c r="D100" s="123">
        <f t="shared" si="19"/>
        <v>219111.64818354786</v>
      </c>
      <c r="E100" s="122">
        <f t="shared" ref="E100:E131" si="30">E99-D100</f>
        <v>-8326242.630974819</v>
      </c>
      <c r="F100" s="122">
        <f t="shared" si="27"/>
        <v>46013.446118545049</v>
      </c>
      <c r="G100" s="122">
        <f t="shared" si="21"/>
        <v>-297956.45746365422</v>
      </c>
      <c r="H100" s="121">
        <f t="shared" si="28"/>
        <v>1893160.0243718238</v>
      </c>
      <c r="I100" s="120">
        <f t="shared" si="22"/>
        <v>10517359.112810297</v>
      </c>
      <c r="J100" s="119">
        <f t="shared" si="23"/>
        <v>-7011572.7418735316</v>
      </c>
      <c r="K100" s="119">
        <f t="shared" si="24"/>
        <v>3505786.3709367653</v>
      </c>
      <c r="L100" s="119">
        <f t="shared" si="25"/>
        <v>-574037.13417492446</v>
      </c>
      <c r="M100" s="119">
        <f t="shared" si="26"/>
        <v>2931749.236761841</v>
      </c>
    </row>
    <row r="101" spans="1:13" x14ac:dyDescent="0.25">
      <c r="A101" s="125">
        <v>46112</v>
      </c>
      <c r="B101" s="122"/>
      <c r="C101" s="124">
        <f t="shared" si="29"/>
        <v>10517359.112810297</v>
      </c>
      <c r="D101" s="123">
        <f t="shared" si="19"/>
        <v>219111.64818354786</v>
      </c>
      <c r="E101" s="122">
        <f t="shared" si="30"/>
        <v>-8545354.2791583668</v>
      </c>
      <c r="F101" s="122">
        <f t="shared" si="27"/>
        <v>46013.446118545049</v>
      </c>
      <c r="G101" s="122">
        <f t="shared" ref="G101:G132" si="31">G100+F101</f>
        <v>-251943.01134510917</v>
      </c>
      <c r="H101" s="121">
        <f t="shared" si="28"/>
        <v>1720061.8223068209</v>
      </c>
      <c r="I101" s="120">
        <f t="shared" si="22"/>
        <v>10517359.112810297</v>
      </c>
      <c r="J101" s="119">
        <f t="shared" si="23"/>
        <v>-7230684.3900570795</v>
      </c>
      <c r="K101" s="119">
        <f t="shared" si="24"/>
        <v>3286674.7227532174</v>
      </c>
      <c r="L101" s="119">
        <f t="shared" si="25"/>
        <v>-528023.68805637944</v>
      </c>
      <c r="M101" s="119">
        <f t="shared" si="26"/>
        <v>2758651.0346968379</v>
      </c>
    </row>
    <row r="102" spans="1:13" x14ac:dyDescent="0.25">
      <c r="A102" s="125">
        <v>46142</v>
      </c>
      <c r="B102" s="122"/>
      <c r="C102" s="124">
        <f t="shared" si="29"/>
        <v>10517359.112810297</v>
      </c>
      <c r="D102" s="123">
        <f t="shared" si="19"/>
        <v>219111.64818354786</v>
      </c>
      <c r="E102" s="122">
        <f t="shared" si="30"/>
        <v>-8764465.9273419138</v>
      </c>
      <c r="F102" s="122">
        <f t="shared" si="27"/>
        <v>46013.446118545049</v>
      </c>
      <c r="G102" s="122">
        <f t="shared" si="31"/>
        <v>-205929.56522656413</v>
      </c>
      <c r="H102" s="121">
        <f t="shared" si="28"/>
        <v>1546963.6202418189</v>
      </c>
      <c r="I102" s="120">
        <f t="shared" si="22"/>
        <v>10517359.112810297</v>
      </c>
      <c r="J102" s="119">
        <f t="shared" si="23"/>
        <v>-7449796.0382406265</v>
      </c>
      <c r="K102" s="119">
        <f t="shared" si="24"/>
        <v>3067563.0745696705</v>
      </c>
      <c r="L102" s="119">
        <f t="shared" si="25"/>
        <v>-482010.2419378343</v>
      </c>
      <c r="M102" s="119">
        <f t="shared" si="26"/>
        <v>2585552.8326318362</v>
      </c>
    </row>
    <row r="103" spans="1:13" x14ac:dyDescent="0.25">
      <c r="A103" s="125">
        <v>46173</v>
      </c>
      <c r="B103" s="122"/>
      <c r="C103" s="124">
        <f t="shared" si="29"/>
        <v>10517359.112810297</v>
      </c>
      <c r="D103" s="123">
        <f t="shared" si="19"/>
        <v>219111.64818354786</v>
      </c>
      <c r="E103" s="122">
        <f t="shared" si="30"/>
        <v>-8983577.5755254608</v>
      </c>
      <c r="F103" s="122">
        <f t="shared" si="27"/>
        <v>46013.446118545049</v>
      </c>
      <c r="G103" s="122">
        <f t="shared" si="31"/>
        <v>-159916.11910801908</v>
      </c>
      <c r="H103" s="121">
        <f t="shared" si="28"/>
        <v>1373865.418176817</v>
      </c>
      <c r="I103" s="120">
        <f t="shared" si="22"/>
        <v>10517359.112810297</v>
      </c>
      <c r="J103" s="119">
        <f t="shared" si="23"/>
        <v>-7668907.6864241743</v>
      </c>
      <c r="K103" s="119">
        <f t="shared" si="24"/>
        <v>2848451.4263861226</v>
      </c>
      <c r="L103" s="119">
        <f t="shared" si="25"/>
        <v>-435996.79581928928</v>
      </c>
      <c r="M103" s="119">
        <f t="shared" si="26"/>
        <v>2412454.6305668335</v>
      </c>
    </row>
    <row r="104" spans="1:13" x14ac:dyDescent="0.25">
      <c r="A104" s="125">
        <v>46203</v>
      </c>
      <c r="B104" s="122"/>
      <c r="C104" s="124">
        <f t="shared" si="29"/>
        <v>10517359.112810297</v>
      </c>
      <c r="D104" s="123">
        <f t="shared" si="19"/>
        <v>219111.64818354786</v>
      </c>
      <c r="E104" s="122">
        <f t="shared" si="30"/>
        <v>-9202689.2237090077</v>
      </c>
      <c r="F104" s="122">
        <f t="shared" si="27"/>
        <v>46013.446118545049</v>
      </c>
      <c r="G104" s="122">
        <f t="shared" si="31"/>
        <v>-113902.67298947403</v>
      </c>
      <c r="H104" s="121">
        <f t="shared" si="28"/>
        <v>1200767.2161118151</v>
      </c>
      <c r="I104" s="120">
        <f t="shared" si="22"/>
        <v>10517359.112810297</v>
      </c>
      <c r="J104" s="119">
        <f t="shared" si="23"/>
        <v>-7888019.3346077213</v>
      </c>
      <c r="K104" s="119">
        <f t="shared" si="24"/>
        <v>2629339.7782025756</v>
      </c>
      <c r="L104" s="119">
        <f t="shared" si="25"/>
        <v>-389983.34970074426</v>
      </c>
      <c r="M104" s="119">
        <f t="shared" si="26"/>
        <v>2239356.4285018314</v>
      </c>
    </row>
    <row r="105" spans="1:13" x14ac:dyDescent="0.25">
      <c r="A105" s="125">
        <v>46234</v>
      </c>
      <c r="B105" s="122"/>
      <c r="C105" s="124">
        <f t="shared" si="29"/>
        <v>10517359.112810297</v>
      </c>
      <c r="D105" s="123">
        <f t="shared" si="19"/>
        <v>219111.64818354786</v>
      </c>
      <c r="E105" s="122">
        <f t="shared" si="30"/>
        <v>-9421800.8718925547</v>
      </c>
      <c r="F105" s="122">
        <f t="shared" si="27"/>
        <v>46013.446118545049</v>
      </c>
      <c r="G105" s="122">
        <f t="shared" si="31"/>
        <v>-67889.226870928978</v>
      </c>
      <c r="H105" s="121">
        <f t="shared" si="28"/>
        <v>1027669.0140468132</v>
      </c>
      <c r="I105" s="120">
        <f t="shared" si="22"/>
        <v>10517359.112810297</v>
      </c>
      <c r="J105" s="119">
        <f t="shared" si="23"/>
        <v>-8107130.9827912711</v>
      </c>
      <c r="K105" s="119">
        <f t="shared" si="24"/>
        <v>2410228.1300190259</v>
      </c>
      <c r="L105" s="119">
        <f t="shared" si="25"/>
        <v>-343969.90358219919</v>
      </c>
      <c r="M105" s="119">
        <f t="shared" si="26"/>
        <v>2066258.2264368266</v>
      </c>
    </row>
    <row r="106" spans="1:13" x14ac:dyDescent="0.25">
      <c r="A106" s="125">
        <v>46265</v>
      </c>
      <c r="B106" s="122"/>
      <c r="C106" s="124">
        <f t="shared" si="29"/>
        <v>10517359.112810297</v>
      </c>
      <c r="D106" s="123">
        <f t="shared" si="19"/>
        <v>219111.64818354786</v>
      </c>
      <c r="E106" s="122">
        <f t="shared" si="30"/>
        <v>-9640912.5200761016</v>
      </c>
      <c r="F106" s="122">
        <f t="shared" si="27"/>
        <v>46013.446118545049</v>
      </c>
      <c r="G106" s="122">
        <f t="shared" si="31"/>
        <v>-21875.780752383929</v>
      </c>
      <c r="H106" s="121">
        <f t="shared" si="28"/>
        <v>854570.81198181142</v>
      </c>
      <c r="I106" s="120">
        <f t="shared" si="22"/>
        <v>10517359.112810297</v>
      </c>
      <c r="J106" s="119">
        <f t="shared" si="23"/>
        <v>-8326242.630974818</v>
      </c>
      <c r="K106" s="119">
        <f t="shared" si="24"/>
        <v>2191116.4818354789</v>
      </c>
      <c r="L106" s="119">
        <f t="shared" si="25"/>
        <v>-297956.45746365417</v>
      </c>
      <c r="M106" s="119">
        <f t="shared" si="26"/>
        <v>1893160.0243718247</v>
      </c>
    </row>
    <row r="107" spans="1:13" x14ac:dyDescent="0.25">
      <c r="A107" s="125">
        <v>46295</v>
      </c>
      <c r="B107" s="122"/>
      <c r="C107" s="124">
        <f t="shared" si="29"/>
        <v>10517359.112810297</v>
      </c>
      <c r="D107" s="123">
        <f t="shared" si="19"/>
        <v>219111.64818354786</v>
      </c>
      <c r="E107" s="122">
        <f t="shared" si="30"/>
        <v>-9860024.1682596486</v>
      </c>
      <c r="F107" s="122">
        <f t="shared" si="27"/>
        <v>46013.446118545049</v>
      </c>
      <c r="G107" s="122">
        <f t="shared" si="31"/>
        <v>24137.66536616112</v>
      </c>
      <c r="H107" s="121">
        <f t="shared" si="28"/>
        <v>681472.60991680948</v>
      </c>
      <c r="I107" s="120">
        <f t="shared" si="22"/>
        <v>10517359.112810297</v>
      </c>
      <c r="J107" s="119">
        <f t="shared" si="23"/>
        <v>-8545354.2791583668</v>
      </c>
      <c r="K107" s="119">
        <f t="shared" si="24"/>
        <v>1972004.8336519301</v>
      </c>
      <c r="L107" s="119">
        <f t="shared" si="25"/>
        <v>-251943.01134510912</v>
      </c>
      <c r="M107" s="119">
        <f t="shared" si="26"/>
        <v>1720061.8223068209</v>
      </c>
    </row>
    <row r="108" spans="1:13" x14ac:dyDescent="0.25">
      <c r="A108" s="125">
        <v>46326</v>
      </c>
      <c r="B108" s="122"/>
      <c r="C108" s="124">
        <f t="shared" si="29"/>
        <v>10517359.112810297</v>
      </c>
      <c r="D108" s="123">
        <f t="shared" si="19"/>
        <v>219111.64818354786</v>
      </c>
      <c r="E108" s="122">
        <f t="shared" si="30"/>
        <v>-10079135.816443196</v>
      </c>
      <c r="F108" s="122">
        <f t="shared" si="27"/>
        <v>46013.446118545049</v>
      </c>
      <c r="G108" s="122">
        <f t="shared" si="31"/>
        <v>70151.111484706169</v>
      </c>
      <c r="H108" s="121">
        <f t="shared" si="28"/>
        <v>508374.40785180754</v>
      </c>
      <c r="I108" s="120">
        <f t="shared" si="22"/>
        <v>10517359.112810297</v>
      </c>
      <c r="J108" s="119">
        <f t="shared" si="23"/>
        <v>-8764465.9273419119</v>
      </c>
      <c r="K108" s="119">
        <f t="shared" si="24"/>
        <v>1752893.185468385</v>
      </c>
      <c r="L108" s="119">
        <f t="shared" si="25"/>
        <v>-205929.56522656415</v>
      </c>
      <c r="M108" s="119">
        <f t="shared" si="26"/>
        <v>1546963.6202418208</v>
      </c>
    </row>
    <row r="109" spans="1:13" x14ac:dyDescent="0.25">
      <c r="A109" s="125">
        <v>46356</v>
      </c>
      <c r="B109" s="122"/>
      <c r="C109" s="124">
        <f t="shared" si="29"/>
        <v>10517359.112810297</v>
      </c>
      <c r="D109" s="123">
        <f t="shared" si="19"/>
        <v>219111.64818354786</v>
      </c>
      <c r="E109" s="122">
        <f t="shared" si="30"/>
        <v>-10298247.464626743</v>
      </c>
      <c r="F109" s="122">
        <f t="shared" si="27"/>
        <v>46013.446118545049</v>
      </c>
      <c r="G109" s="122">
        <f t="shared" si="31"/>
        <v>116164.55760325122</v>
      </c>
      <c r="H109" s="121">
        <f t="shared" si="28"/>
        <v>335276.2057868056</v>
      </c>
      <c r="I109" s="120">
        <f t="shared" si="22"/>
        <v>10517359.112810297</v>
      </c>
      <c r="J109" s="119">
        <f t="shared" si="23"/>
        <v>-8983577.5755254608</v>
      </c>
      <c r="K109" s="119">
        <f t="shared" si="24"/>
        <v>1533781.5372848362</v>
      </c>
      <c r="L109" s="119">
        <f t="shared" si="25"/>
        <v>-159916.11910801905</v>
      </c>
      <c r="M109" s="119">
        <f t="shared" si="26"/>
        <v>1373865.4181768172</v>
      </c>
    </row>
    <row r="110" spans="1:13" x14ac:dyDescent="0.25">
      <c r="A110" s="125">
        <v>46387</v>
      </c>
      <c r="B110" s="122"/>
      <c r="C110" s="124">
        <f t="shared" si="29"/>
        <v>10517359.112810297</v>
      </c>
      <c r="D110" s="123">
        <f t="shared" si="19"/>
        <v>219111.64818354786</v>
      </c>
      <c r="E110" s="122">
        <f t="shared" si="30"/>
        <v>-10517359.112810289</v>
      </c>
      <c r="F110" s="122">
        <f t="shared" si="27"/>
        <v>46013.446118545049</v>
      </c>
      <c r="G110" s="122">
        <f t="shared" si="31"/>
        <v>162178.00372179627</v>
      </c>
      <c r="H110" s="121">
        <f t="shared" si="28"/>
        <v>162178.00372180372</v>
      </c>
      <c r="I110" s="120">
        <f t="shared" si="22"/>
        <v>10517359.112810297</v>
      </c>
      <c r="J110" s="119">
        <f t="shared" si="23"/>
        <v>-9202689.2237090077</v>
      </c>
      <c r="K110" s="119">
        <f t="shared" si="24"/>
        <v>1314669.8891012892</v>
      </c>
      <c r="L110" s="119">
        <f t="shared" si="25"/>
        <v>-113902.67298947401</v>
      </c>
      <c r="M110" s="119">
        <f t="shared" si="26"/>
        <v>1200767.2161118153</v>
      </c>
    </row>
    <row r="111" spans="1:13" x14ac:dyDescent="0.25">
      <c r="A111" s="118">
        <v>46418</v>
      </c>
      <c r="B111" s="114"/>
      <c r="C111" s="117">
        <f t="shared" si="29"/>
        <v>10517359.112810297</v>
      </c>
      <c r="D111" s="116"/>
      <c r="E111" s="114">
        <f t="shared" si="30"/>
        <v>-10517359.112810289</v>
      </c>
      <c r="F111" s="114">
        <f t="shared" si="27"/>
        <v>0</v>
      </c>
      <c r="G111" s="114">
        <f t="shared" si="31"/>
        <v>162178.00372179627</v>
      </c>
      <c r="H111" s="115">
        <f t="shared" si="28"/>
        <v>162178.00372180372</v>
      </c>
      <c r="I111" s="114">
        <f t="shared" si="22"/>
        <v>10517359.112810297</v>
      </c>
      <c r="J111" s="114">
        <f t="shared" si="23"/>
        <v>-9412671.219884906</v>
      </c>
      <c r="K111" s="114">
        <f t="shared" si="24"/>
        <v>1104687.892925391</v>
      </c>
      <c r="L111" s="114">
        <f t="shared" si="25"/>
        <v>-69806.453792535016</v>
      </c>
      <c r="M111" s="114">
        <f t="shared" si="26"/>
        <v>1034881.439132856</v>
      </c>
    </row>
    <row r="112" spans="1:13" x14ac:dyDescent="0.25">
      <c r="A112" s="118">
        <v>46446</v>
      </c>
      <c r="B112" s="114"/>
      <c r="C112" s="117">
        <f t="shared" si="29"/>
        <v>10517359.112810297</v>
      </c>
      <c r="D112" s="116"/>
      <c r="E112" s="114">
        <f t="shared" si="30"/>
        <v>-10517359.112810289</v>
      </c>
      <c r="F112" s="114">
        <f t="shared" si="27"/>
        <v>0</v>
      </c>
      <c r="G112" s="114">
        <f t="shared" si="31"/>
        <v>162178.00372179627</v>
      </c>
      <c r="H112" s="115">
        <f t="shared" si="28"/>
        <v>162178.00372180372</v>
      </c>
      <c r="I112" s="114">
        <f t="shared" si="22"/>
        <v>10517359.112810297</v>
      </c>
      <c r="J112" s="114">
        <f t="shared" si="23"/>
        <v>-9604393.9120455105</v>
      </c>
      <c r="K112" s="114">
        <f t="shared" si="24"/>
        <v>912965.20076478645</v>
      </c>
      <c r="L112" s="114">
        <f t="shared" si="25"/>
        <v>-29544.688438808098</v>
      </c>
      <c r="M112" s="114">
        <f t="shared" si="26"/>
        <v>883420.51232597837</v>
      </c>
    </row>
    <row r="113" spans="1:13" x14ac:dyDescent="0.25">
      <c r="A113" s="118">
        <v>46477</v>
      </c>
      <c r="B113" s="114"/>
      <c r="C113" s="117">
        <f t="shared" si="29"/>
        <v>10517359.112810297</v>
      </c>
      <c r="D113" s="116"/>
      <c r="E113" s="114">
        <f t="shared" si="30"/>
        <v>-10517359.112810289</v>
      </c>
      <c r="F113" s="114">
        <f t="shared" si="27"/>
        <v>0</v>
      </c>
      <c r="G113" s="114">
        <f t="shared" si="31"/>
        <v>162178.00372179627</v>
      </c>
      <c r="H113" s="115">
        <f t="shared" si="28"/>
        <v>162178.00372180372</v>
      </c>
      <c r="I113" s="114">
        <f t="shared" si="22"/>
        <v>10517359.112810297</v>
      </c>
      <c r="J113" s="114">
        <f t="shared" si="23"/>
        <v>-9777857.3001908176</v>
      </c>
      <c r="K113" s="114">
        <f t="shared" si="24"/>
        <v>739501.81261947937</v>
      </c>
      <c r="L113" s="114">
        <f t="shared" si="25"/>
        <v>6882.6230717067165</v>
      </c>
      <c r="M113" s="114">
        <f t="shared" si="26"/>
        <v>746384.43569118611</v>
      </c>
    </row>
    <row r="114" spans="1:13" x14ac:dyDescent="0.25">
      <c r="A114" s="118">
        <v>46507</v>
      </c>
      <c r="B114" s="114"/>
      <c r="C114" s="117">
        <f t="shared" si="29"/>
        <v>10517359.112810297</v>
      </c>
      <c r="D114" s="116"/>
      <c r="E114" s="114">
        <f t="shared" si="30"/>
        <v>-10517359.112810289</v>
      </c>
      <c r="F114" s="114">
        <f t="shared" si="27"/>
        <v>0</v>
      </c>
      <c r="G114" s="114">
        <f t="shared" si="31"/>
        <v>162178.00372179627</v>
      </c>
      <c r="H114" s="115">
        <f t="shared" si="28"/>
        <v>162178.00372180372</v>
      </c>
      <c r="I114" s="114">
        <f t="shared" si="22"/>
        <v>10517359.112810297</v>
      </c>
      <c r="J114" s="114">
        <f t="shared" si="23"/>
        <v>-9933061.3843208291</v>
      </c>
      <c r="K114" s="114">
        <f t="shared" si="24"/>
        <v>584297.72848946787</v>
      </c>
      <c r="L114" s="114">
        <f t="shared" si="25"/>
        <v>39475.480739009472</v>
      </c>
      <c r="M114" s="114">
        <f t="shared" si="26"/>
        <v>623773.20922847732</v>
      </c>
    </row>
    <row r="115" spans="1:13" x14ac:dyDescent="0.25">
      <c r="A115" s="118">
        <v>46538</v>
      </c>
      <c r="B115" s="114"/>
      <c r="C115" s="117">
        <f t="shared" si="29"/>
        <v>10517359.112810297</v>
      </c>
      <c r="D115" s="116"/>
      <c r="E115" s="114">
        <f t="shared" si="30"/>
        <v>-10517359.112810289</v>
      </c>
      <c r="F115" s="114">
        <f t="shared" si="27"/>
        <v>0</v>
      </c>
      <c r="G115" s="114">
        <f t="shared" si="31"/>
        <v>162178.00372179627</v>
      </c>
      <c r="H115" s="115">
        <f t="shared" si="28"/>
        <v>162178.00372180372</v>
      </c>
      <c r="I115" s="114">
        <f t="shared" si="22"/>
        <v>10517359.112810297</v>
      </c>
      <c r="J115" s="114">
        <f t="shared" si="23"/>
        <v>-10070006.164435545</v>
      </c>
      <c r="K115" s="114">
        <f t="shared" si="24"/>
        <v>447352.94837475196</v>
      </c>
      <c r="L115" s="114">
        <f t="shared" si="25"/>
        <v>68233.884563100131</v>
      </c>
      <c r="M115" s="114">
        <f t="shared" si="26"/>
        <v>515586.83293785207</v>
      </c>
    </row>
    <row r="116" spans="1:13" x14ac:dyDescent="0.25">
      <c r="A116" s="118">
        <v>46568</v>
      </c>
      <c r="B116" s="114"/>
      <c r="C116" s="117">
        <f t="shared" si="29"/>
        <v>10517359.112810297</v>
      </c>
      <c r="D116" s="116"/>
      <c r="E116" s="114">
        <f t="shared" si="30"/>
        <v>-10517359.112810289</v>
      </c>
      <c r="F116" s="114">
        <f t="shared" si="27"/>
        <v>0</v>
      </c>
      <c r="G116" s="114">
        <f t="shared" si="31"/>
        <v>162178.00372179627</v>
      </c>
      <c r="H116" s="115">
        <f t="shared" si="28"/>
        <v>162178.00372180372</v>
      </c>
      <c r="I116" s="114">
        <f t="shared" si="22"/>
        <v>10517359.112810297</v>
      </c>
      <c r="J116" s="114">
        <f t="shared" si="23"/>
        <v>-10188691.640534967</v>
      </c>
      <c r="K116" s="114">
        <f t="shared" si="24"/>
        <v>328667.47227532975</v>
      </c>
      <c r="L116" s="114">
        <f t="shared" si="25"/>
        <v>93157.834543978679</v>
      </c>
      <c r="M116" s="114">
        <f t="shared" si="26"/>
        <v>421825.30681930843</v>
      </c>
    </row>
    <row r="117" spans="1:13" x14ac:dyDescent="0.25">
      <c r="A117" s="118">
        <v>46599</v>
      </c>
      <c r="B117" s="114"/>
      <c r="C117" s="117">
        <f t="shared" si="29"/>
        <v>10517359.112810297</v>
      </c>
      <c r="D117" s="116"/>
      <c r="E117" s="114">
        <f t="shared" si="30"/>
        <v>-10517359.112810289</v>
      </c>
      <c r="F117" s="114">
        <f t="shared" si="27"/>
        <v>0</v>
      </c>
      <c r="G117" s="114">
        <f t="shared" si="31"/>
        <v>162178.00372179627</v>
      </c>
      <c r="H117" s="115">
        <f t="shared" si="28"/>
        <v>162178.00372180372</v>
      </c>
      <c r="I117" s="114">
        <f t="shared" si="22"/>
        <v>10517359.112810297</v>
      </c>
      <c r="J117" s="114">
        <f t="shared" si="23"/>
        <v>-10289117.812619094</v>
      </c>
      <c r="K117" s="114">
        <f t="shared" si="24"/>
        <v>228241.30019120313</v>
      </c>
      <c r="L117" s="114">
        <f t="shared" si="25"/>
        <v>114247.33068164515</v>
      </c>
      <c r="M117" s="114">
        <f t="shared" si="26"/>
        <v>342488.63087284827</v>
      </c>
    </row>
    <row r="118" spans="1:13" x14ac:dyDescent="0.25">
      <c r="A118" s="118">
        <v>46630</v>
      </c>
      <c r="B118" s="114"/>
      <c r="C118" s="117">
        <f t="shared" si="29"/>
        <v>10517359.112810297</v>
      </c>
      <c r="D118" s="116"/>
      <c r="E118" s="114">
        <f t="shared" si="30"/>
        <v>-10517359.112810289</v>
      </c>
      <c r="F118" s="114">
        <f t="shared" si="27"/>
        <v>0</v>
      </c>
      <c r="G118" s="114">
        <f t="shared" si="31"/>
        <v>162178.00372179627</v>
      </c>
      <c r="H118" s="115">
        <f t="shared" si="28"/>
        <v>162178.00372180372</v>
      </c>
      <c r="I118" s="114">
        <f t="shared" si="22"/>
        <v>10517359.112810297</v>
      </c>
      <c r="J118" s="114">
        <f t="shared" si="23"/>
        <v>-10371284.680687923</v>
      </c>
      <c r="K118" s="114">
        <f t="shared" si="24"/>
        <v>146074.43212237395</v>
      </c>
      <c r="L118" s="114">
        <f t="shared" si="25"/>
        <v>131502.37297609955</v>
      </c>
      <c r="M118" s="114">
        <f t="shared" si="26"/>
        <v>277576.8050984735</v>
      </c>
    </row>
    <row r="119" spans="1:13" x14ac:dyDescent="0.25">
      <c r="A119" s="118">
        <v>46660</v>
      </c>
      <c r="B119" s="114"/>
      <c r="C119" s="117">
        <f t="shared" si="29"/>
        <v>10517359.112810297</v>
      </c>
      <c r="D119" s="116"/>
      <c r="E119" s="114">
        <f t="shared" si="30"/>
        <v>-10517359.112810289</v>
      </c>
      <c r="F119" s="114">
        <f t="shared" si="27"/>
        <v>0</v>
      </c>
      <c r="G119" s="114">
        <f t="shared" si="31"/>
        <v>162178.00372179627</v>
      </c>
      <c r="H119" s="115">
        <f t="shared" si="28"/>
        <v>162178.00372180372</v>
      </c>
      <c r="I119" s="114">
        <f t="shared" ref="I119:I150" si="32">(C107+C119+SUM(C108:C118)*2)/24</f>
        <v>10517359.112810297</v>
      </c>
      <c r="J119" s="114">
        <f t="shared" ref="J119:J150" si="33">(E107+E119+SUM(E108:E118)*2)/24</f>
        <v>-10435192.244741457</v>
      </c>
      <c r="K119" s="114">
        <f t="shared" ref="K119:K150" si="34">I119+J119</f>
        <v>82166.868068840355</v>
      </c>
      <c r="L119" s="114">
        <f t="shared" ref="L119:L150" si="35">(G107+G119+SUM(G108:G118)*2)/24</f>
        <v>144922.96142734186</v>
      </c>
      <c r="M119" s="114">
        <f t="shared" ref="M119:M150" si="36">K119+L119</f>
        <v>227089.82949618221</v>
      </c>
    </row>
    <row r="120" spans="1:13" x14ac:dyDescent="0.25">
      <c r="A120" s="118">
        <v>46691</v>
      </c>
      <c r="B120" s="114"/>
      <c r="C120" s="117">
        <f t="shared" si="29"/>
        <v>10517359.112810297</v>
      </c>
      <c r="D120" s="116"/>
      <c r="E120" s="114">
        <f t="shared" si="30"/>
        <v>-10517359.112810289</v>
      </c>
      <c r="F120" s="114">
        <f t="shared" si="27"/>
        <v>0</v>
      </c>
      <c r="G120" s="114">
        <f t="shared" si="31"/>
        <v>162178.00372179627</v>
      </c>
      <c r="H120" s="115">
        <f t="shared" si="28"/>
        <v>162178.00372180372</v>
      </c>
      <c r="I120" s="114">
        <f t="shared" si="32"/>
        <v>10517359.112810297</v>
      </c>
      <c r="J120" s="114">
        <f t="shared" si="33"/>
        <v>-10480840.504779696</v>
      </c>
      <c r="K120" s="114">
        <f t="shared" si="34"/>
        <v>36518.608030600473</v>
      </c>
      <c r="L120" s="114">
        <f t="shared" si="35"/>
        <v>154509.09603537206</v>
      </c>
      <c r="M120" s="114">
        <f t="shared" si="36"/>
        <v>191027.70406597253</v>
      </c>
    </row>
    <row r="121" spans="1:13" x14ac:dyDescent="0.25">
      <c r="A121" s="118">
        <v>46721</v>
      </c>
      <c r="B121" s="114"/>
      <c r="C121" s="117">
        <f t="shared" si="29"/>
        <v>10517359.112810297</v>
      </c>
      <c r="D121" s="116"/>
      <c r="E121" s="114">
        <f t="shared" si="30"/>
        <v>-10517359.112810289</v>
      </c>
      <c r="F121" s="114">
        <f t="shared" si="27"/>
        <v>0</v>
      </c>
      <c r="G121" s="114">
        <f t="shared" si="31"/>
        <v>162178.00372179627</v>
      </c>
      <c r="H121" s="115">
        <f t="shared" si="28"/>
        <v>162178.00372180372</v>
      </c>
      <c r="I121" s="114">
        <f t="shared" si="32"/>
        <v>10517359.112810297</v>
      </c>
      <c r="J121" s="114">
        <f t="shared" si="33"/>
        <v>-10508229.460802641</v>
      </c>
      <c r="K121" s="114">
        <f t="shared" si="34"/>
        <v>9129.6520076561719</v>
      </c>
      <c r="L121" s="114">
        <f t="shared" si="35"/>
        <v>160260.77680019019</v>
      </c>
      <c r="M121" s="114">
        <f t="shared" si="36"/>
        <v>169390.42880784636</v>
      </c>
    </row>
    <row r="122" spans="1:13" x14ac:dyDescent="0.25">
      <c r="A122" s="118">
        <v>46752</v>
      </c>
      <c r="B122" s="114"/>
      <c r="C122" s="117">
        <f t="shared" si="29"/>
        <v>10517359.112810297</v>
      </c>
      <c r="D122" s="116"/>
      <c r="E122" s="114">
        <f t="shared" si="30"/>
        <v>-10517359.112810289</v>
      </c>
      <c r="F122" s="114">
        <f t="shared" si="27"/>
        <v>0</v>
      </c>
      <c r="G122" s="114">
        <f t="shared" si="31"/>
        <v>162178.00372179627</v>
      </c>
      <c r="H122" s="115">
        <f t="shared" si="28"/>
        <v>162178.00372180372</v>
      </c>
      <c r="I122" s="114">
        <f t="shared" si="32"/>
        <v>10517359.112810297</v>
      </c>
      <c r="J122" s="114">
        <f t="shared" si="33"/>
        <v>-10517359.112810288</v>
      </c>
      <c r="K122" s="114">
        <f t="shared" si="34"/>
        <v>0</v>
      </c>
      <c r="L122" s="114">
        <f t="shared" si="35"/>
        <v>162178.00372179624</v>
      </c>
      <c r="M122" s="114">
        <f t="shared" si="36"/>
        <v>162178.00372179624</v>
      </c>
    </row>
    <row r="123" spans="1:13" x14ac:dyDescent="0.25">
      <c r="B123" s="113" t="s">
        <v>104</v>
      </c>
      <c r="C123" s="112">
        <v>0</v>
      </c>
    </row>
  </sheetData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zoomScale="85" zoomScaleNormal="85" workbookViewId="0">
      <pane xSplit="1" ySplit="22" topLeftCell="B53" activePane="bottomRight" state="frozen"/>
      <selection activeCell="E80" sqref="E80"/>
      <selection pane="topRight" activeCell="E80" sqref="E80"/>
      <selection pane="bottomLeft" activeCell="E80" sqref="E80"/>
      <selection pane="bottomRight" activeCell="D1" sqref="D1:D6"/>
    </sheetView>
  </sheetViews>
  <sheetFormatPr defaultRowHeight="15" outlineLevelRow="1" x14ac:dyDescent="0.25"/>
  <cols>
    <col min="1" max="1" width="17.7109375" customWidth="1"/>
    <col min="2" max="2" width="14.42578125" customWidth="1"/>
    <col min="3" max="3" width="15.7109375" customWidth="1"/>
    <col min="4" max="4" width="14.140625" customWidth="1"/>
    <col min="5" max="5" width="13.85546875" customWidth="1"/>
    <col min="6" max="6" width="14.85546875" customWidth="1"/>
    <col min="7" max="7" width="13.85546875" customWidth="1"/>
    <col min="8" max="8" width="13" customWidth="1"/>
    <col min="9" max="9" width="12.28515625" bestFit="1" customWidth="1"/>
    <col min="10" max="10" width="13.28515625" customWidth="1"/>
    <col min="11" max="11" width="14.140625" customWidth="1"/>
    <col min="12" max="12" width="12.85546875" customWidth="1"/>
    <col min="13" max="13" width="14" customWidth="1"/>
    <col min="14" max="14" width="14.28515625" customWidth="1"/>
    <col min="15" max="15" width="12.7109375" customWidth="1"/>
    <col min="16" max="16" width="14" customWidth="1"/>
    <col min="17" max="17" width="11.140625" bestFit="1" customWidth="1"/>
    <col min="18" max="18" width="12.42578125" bestFit="1" customWidth="1"/>
  </cols>
  <sheetData>
    <row r="1" spans="1:18" x14ac:dyDescent="0.25">
      <c r="A1" s="168" t="s">
        <v>137</v>
      </c>
      <c r="B1" s="173"/>
      <c r="C1" s="173"/>
      <c r="D1" s="261" t="s">
        <v>175</v>
      </c>
      <c r="E1" s="173"/>
      <c r="F1" s="173"/>
      <c r="G1" s="173"/>
      <c r="H1" s="173"/>
      <c r="I1" s="173"/>
      <c r="J1" s="173"/>
      <c r="K1" s="173"/>
      <c r="L1" s="173"/>
      <c r="M1" s="173"/>
    </row>
    <row r="2" spans="1:18" x14ac:dyDescent="0.25">
      <c r="A2" s="232" t="s">
        <v>171</v>
      </c>
      <c r="B2" s="173"/>
      <c r="C2" s="173"/>
      <c r="D2" s="262" t="s">
        <v>176</v>
      </c>
      <c r="E2" s="173"/>
      <c r="F2" s="173"/>
      <c r="G2" s="173"/>
      <c r="H2" s="173"/>
      <c r="I2" s="173"/>
      <c r="J2" s="173"/>
      <c r="K2" s="173"/>
      <c r="L2" s="173"/>
      <c r="M2" s="173"/>
    </row>
    <row r="3" spans="1:18" x14ac:dyDescent="0.25">
      <c r="A3" s="232" t="s">
        <v>170</v>
      </c>
      <c r="B3" s="173"/>
      <c r="C3" s="173"/>
      <c r="D3" s="263" t="s">
        <v>177</v>
      </c>
      <c r="E3" s="173"/>
      <c r="F3" s="173"/>
      <c r="G3" s="173"/>
      <c r="H3" s="173"/>
      <c r="I3" s="173"/>
      <c r="J3" s="173"/>
      <c r="K3" s="173"/>
      <c r="L3" s="173"/>
      <c r="M3" s="173"/>
    </row>
    <row r="4" spans="1:18" x14ac:dyDescent="0.25">
      <c r="C4" s="172"/>
      <c r="D4" s="262" t="s">
        <v>178</v>
      </c>
    </row>
    <row r="5" spans="1:18" x14ac:dyDescent="0.25">
      <c r="C5" s="170"/>
      <c r="D5" s="262" t="s">
        <v>179</v>
      </c>
    </row>
    <row r="6" spans="1:18" ht="15.75" thickBot="1" x14ac:dyDescent="0.3">
      <c r="A6" s="168"/>
      <c r="B6" s="169">
        <v>41900070</v>
      </c>
      <c r="C6" s="169">
        <v>18603063</v>
      </c>
      <c r="D6" s="264" t="s">
        <v>180</v>
      </c>
    </row>
    <row r="7" spans="1:18" ht="15.75" thickBot="1" x14ac:dyDescent="0.3">
      <c r="A7" s="168"/>
      <c r="B7" s="167" t="s">
        <v>134</v>
      </c>
      <c r="C7" s="166"/>
      <c r="D7" s="165"/>
      <c r="E7" s="165"/>
      <c r="F7" s="165"/>
      <c r="G7" s="164"/>
      <c r="H7" s="163"/>
      <c r="I7" s="162" t="s">
        <v>133</v>
      </c>
      <c r="J7" s="161"/>
      <c r="K7" s="161"/>
      <c r="L7" s="160"/>
      <c r="M7" s="159"/>
    </row>
    <row r="8" spans="1:18" x14ac:dyDescent="0.25">
      <c r="A8" s="158" t="s">
        <v>132</v>
      </c>
      <c r="B8" s="157" t="s">
        <v>131</v>
      </c>
      <c r="C8" s="157" t="s">
        <v>130</v>
      </c>
      <c r="D8" s="156" t="s">
        <v>129</v>
      </c>
      <c r="E8" s="156" t="s">
        <v>127</v>
      </c>
      <c r="F8" s="156" t="s">
        <v>128</v>
      </c>
      <c r="G8" s="156" t="s">
        <v>127</v>
      </c>
      <c r="H8" s="156" t="s">
        <v>126</v>
      </c>
      <c r="I8" s="155" t="s">
        <v>125</v>
      </c>
      <c r="J8" s="154" t="s">
        <v>124</v>
      </c>
      <c r="K8" s="154" t="s">
        <v>99</v>
      </c>
      <c r="L8" s="154" t="s">
        <v>99</v>
      </c>
      <c r="M8" s="154" t="s">
        <v>123</v>
      </c>
    </row>
    <row r="9" spans="1:18" x14ac:dyDescent="0.25">
      <c r="A9" s="153"/>
      <c r="B9" s="152" t="s">
        <v>122</v>
      </c>
      <c r="C9" s="152"/>
      <c r="D9" s="150" t="s">
        <v>120</v>
      </c>
      <c r="E9" s="150" t="s">
        <v>120</v>
      </c>
      <c r="F9" s="151">
        <v>0.21</v>
      </c>
      <c r="G9" s="150" t="s">
        <v>121</v>
      </c>
      <c r="H9" s="150" t="s">
        <v>117</v>
      </c>
      <c r="I9" s="149" t="s">
        <v>117</v>
      </c>
      <c r="J9" s="148" t="s">
        <v>120</v>
      </c>
      <c r="K9" s="148" t="s">
        <v>119</v>
      </c>
      <c r="L9" s="148" t="s">
        <v>118</v>
      </c>
      <c r="M9" s="148" t="s">
        <v>117</v>
      </c>
    </row>
    <row r="10" spans="1:18" ht="15.75" thickBot="1" x14ac:dyDescent="0.3">
      <c r="A10" s="142"/>
      <c r="B10" s="145" t="s">
        <v>116</v>
      </c>
      <c r="C10" s="147" t="s">
        <v>115</v>
      </c>
      <c r="D10" s="145" t="s">
        <v>114</v>
      </c>
      <c r="E10" s="145" t="s">
        <v>113</v>
      </c>
      <c r="F10" s="146" t="s">
        <v>112</v>
      </c>
      <c r="G10" s="145" t="s">
        <v>111</v>
      </c>
      <c r="H10" s="144" t="s">
        <v>110</v>
      </c>
      <c r="I10" s="143" t="s">
        <v>109</v>
      </c>
      <c r="J10" s="142" t="s">
        <v>108</v>
      </c>
      <c r="K10" s="142" t="s">
        <v>107</v>
      </c>
      <c r="L10" s="142" t="s">
        <v>106</v>
      </c>
      <c r="M10" s="142" t="s">
        <v>105</v>
      </c>
      <c r="N10" s="141"/>
      <c r="O10" s="141"/>
      <c r="P10" s="141"/>
      <c r="Q10" s="141"/>
      <c r="R10" s="141"/>
    </row>
    <row r="11" spans="1:18" s="109" customFormat="1" ht="15" hidden="1" customHeight="1" outlineLevel="1" x14ac:dyDescent="0.25">
      <c r="A11" s="131">
        <v>43373</v>
      </c>
      <c r="B11" s="140"/>
      <c r="C11" s="139"/>
      <c r="D11" s="138"/>
      <c r="E11" s="137"/>
      <c r="F11" s="137"/>
      <c r="G11" s="137"/>
      <c r="H11" s="136">
        <f>C11+E11+G11</f>
        <v>0</v>
      </c>
      <c r="I11" s="135"/>
      <c r="J11" s="134"/>
      <c r="K11" s="134"/>
      <c r="L11" s="134"/>
      <c r="M11" s="134"/>
      <c r="N11" s="130"/>
      <c r="O11" s="130"/>
      <c r="P11" s="130"/>
      <c r="Q11" s="130"/>
      <c r="R11" s="130"/>
    </row>
    <row r="12" spans="1:18" s="109" customFormat="1" ht="15" hidden="1" customHeight="1" outlineLevel="1" x14ac:dyDescent="0.25">
      <c r="A12" s="131">
        <v>43404</v>
      </c>
      <c r="B12" s="140"/>
      <c r="C12" s="139"/>
      <c r="D12" s="138"/>
      <c r="E12" s="137"/>
      <c r="F12" s="137"/>
      <c r="G12" s="137"/>
      <c r="H12" s="136"/>
      <c r="I12" s="135"/>
      <c r="J12" s="134"/>
      <c r="K12" s="134"/>
      <c r="L12" s="134"/>
      <c r="M12" s="134"/>
      <c r="N12" s="130"/>
      <c r="O12" s="130"/>
      <c r="P12" s="130"/>
      <c r="Q12" s="130"/>
      <c r="R12" s="130"/>
    </row>
    <row r="13" spans="1:18" s="109" customFormat="1" ht="15" hidden="1" customHeight="1" outlineLevel="1" x14ac:dyDescent="0.25">
      <c r="A13" s="131">
        <v>43434</v>
      </c>
      <c r="B13" s="140"/>
      <c r="C13" s="139"/>
      <c r="D13" s="138"/>
      <c r="E13" s="137"/>
      <c r="F13" s="137"/>
      <c r="G13" s="137"/>
      <c r="H13" s="136"/>
      <c r="I13" s="135"/>
      <c r="J13" s="134"/>
      <c r="K13" s="134"/>
      <c r="L13" s="134"/>
      <c r="M13" s="134"/>
      <c r="N13" s="130"/>
      <c r="O13" s="130"/>
      <c r="P13" s="130"/>
      <c r="Q13" s="130"/>
      <c r="R13" s="130"/>
    </row>
    <row r="14" spans="1:18" s="109" customFormat="1" ht="15" hidden="1" customHeight="1" outlineLevel="1" x14ac:dyDescent="0.25">
      <c r="A14" s="131">
        <v>43465</v>
      </c>
      <c r="B14" s="140"/>
      <c r="C14" s="139"/>
      <c r="D14" s="138"/>
      <c r="E14" s="137"/>
      <c r="F14" s="137"/>
      <c r="G14" s="137"/>
      <c r="H14" s="136"/>
      <c r="I14" s="135"/>
      <c r="J14" s="134"/>
      <c r="K14" s="134"/>
      <c r="L14" s="134"/>
      <c r="M14" s="134"/>
      <c r="N14" s="130"/>
      <c r="O14" s="130"/>
      <c r="P14" s="130"/>
      <c r="Q14" s="130"/>
      <c r="R14" s="130"/>
    </row>
    <row r="15" spans="1:18" s="109" customFormat="1" ht="15" hidden="1" customHeight="1" outlineLevel="1" x14ac:dyDescent="0.25">
      <c r="A15" s="131">
        <v>43496</v>
      </c>
      <c r="B15" s="140"/>
      <c r="C15" s="139"/>
      <c r="D15" s="138"/>
      <c r="E15" s="137"/>
      <c r="F15" s="137"/>
      <c r="G15" s="137"/>
      <c r="H15" s="136"/>
      <c r="I15" s="135"/>
      <c r="J15" s="134"/>
      <c r="K15" s="134"/>
      <c r="L15" s="134"/>
      <c r="M15" s="134"/>
      <c r="N15" s="130"/>
      <c r="O15" s="130"/>
      <c r="P15" s="130"/>
      <c r="Q15" s="130"/>
      <c r="R15" s="130"/>
    </row>
    <row r="16" spans="1:18" s="109" customFormat="1" ht="15" hidden="1" customHeight="1" outlineLevel="1" x14ac:dyDescent="0.25">
      <c r="A16" s="131">
        <v>43524</v>
      </c>
      <c r="B16" s="140"/>
      <c r="C16" s="139"/>
      <c r="D16" s="138"/>
      <c r="E16" s="137"/>
      <c r="F16" s="137"/>
      <c r="G16" s="137"/>
      <c r="H16" s="136"/>
      <c r="I16" s="135"/>
      <c r="J16" s="134"/>
      <c r="K16" s="134"/>
      <c r="L16" s="134"/>
      <c r="M16" s="134"/>
      <c r="N16" s="130"/>
      <c r="O16" s="130"/>
      <c r="P16" s="130"/>
      <c r="Q16" s="130"/>
      <c r="R16" s="130"/>
    </row>
    <row r="17" spans="1:18" s="109" customFormat="1" ht="15" hidden="1" customHeight="1" outlineLevel="1" x14ac:dyDescent="0.25">
      <c r="A17" s="131">
        <v>43555</v>
      </c>
      <c r="B17" s="140"/>
      <c r="C17" s="139"/>
      <c r="D17" s="138"/>
      <c r="E17" s="137"/>
      <c r="F17" s="137"/>
      <c r="G17" s="137"/>
      <c r="H17" s="136"/>
      <c r="I17" s="135"/>
      <c r="J17" s="134"/>
      <c r="K17" s="134"/>
      <c r="L17" s="134"/>
      <c r="M17" s="134"/>
      <c r="N17" s="130"/>
      <c r="O17" s="130"/>
      <c r="P17" s="130"/>
      <c r="Q17" s="130"/>
      <c r="R17" s="130"/>
    </row>
    <row r="18" spans="1:18" s="109" customFormat="1" ht="15" hidden="1" customHeight="1" outlineLevel="1" x14ac:dyDescent="0.25">
      <c r="A18" s="131">
        <v>43585</v>
      </c>
      <c r="B18" s="140"/>
      <c r="C18" s="139"/>
      <c r="D18" s="138"/>
      <c r="E18" s="137"/>
      <c r="F18" s="137"/>
      <c r="G18" s="137"/>
      <c r="H18" s="136"/>
      <c r="I18" s="135"/>
      <c r="J18" s="134"/>
      <c r="K18" s="134"/>
      <c r="L18" s="134"/>
      <c r="M18" s="134"/>
      <c r="N18" s="130"/>
      <c r="O18" s="130"/>
      <c r="P18" s="130"/>
      <c r="Q18" s="130"/>
      <c r="R18" s="130"/>
    </row>
    <row r="19" spans="1:18" s="109" customFormat="1" ht="15" hidden="1" customHeight="1" outlineLevel="1" x14ac:dyDescent="0.25">
      <c r="A19" s="131">
        <v>43616</v>
      </c>
      <c r="B19" s="140"/>
      <c r="C19" s="139"/>
      <c r="D19" s="138"/>
      <c r="E19" s="137"/>
      <c r="F19" s="137"/>
      <c r="G19" s="137"/>
      <c r="H19" s="136"/>
      <c r="I19" s="135"/>
      <c r="J19" s="134"/>
      <c r="K19" s="134"/>
      <c r="L19" s="134"/>
      <c r="M19" s="134"/>
      <c r="N19" s="130"/>
      <c r="O19" s="130"/>
      <c r="P19" s="130"/>
      <c r="Q19" s="130"/>
      <c r="R19" s="130"/>
    </row>
    <row r="20" spans="1:18" s="109" customFormat="1" ht="15" hidden="1" customHeight="1" outlineLevel="1" x14ac:dyDescent="0.25">
      <c r="A20" s="131">
        <v>43646</v>
      </c>
      <c r="B20" s="140"/>
      <c r="C20" s="139"/>
      <c r="D20" s="138"/>
      <c r="E20" s="137"/>
      <c r="F20" s="137"/>
      <c r="G20" s="137"/>
      <c r="H20" s="136"/>
      <c r="I20" s="135"/>
      <c r="J20" s="134"/>
      <c r="K20" s="134"/>
      <c r="L20" s="134"/>
      <c r="M20" s="134"/>
      <c r="N20" s="130"/>
      <c r="O20" s="130"/>
      <c r="P20" s="130"/>
      <c r="Q20" s="130"/>
      <c r="R20" s="130"/>
    </row>
    <row r="21" spans="1:18" s="109" customFormat="1" ht="15" hidden="1" customHeight="1" outlineLevel="1" x14ac:dyDescent="0.25">
      <c r="A21" s="131">
        <v>43677</v>
      </c>
      <c r="B21" s="140"/>
      <c r="C21" s="139"/>
      <c r="D21" s="138"/>
      <c r="E21" s="137"/>
      <c r="F21" s="137"/>
      <c r="G21" s="137"/>
      <c r="H21" s="136"/>
      <c r="I21" s="135"/>
      <c r="J21" s="134"/>
      <c r="K21" s="134"/>
      <c r="L21" s="134"/>
      <c r="M21" s="134"/>
      <c r="N21" s="130"/>
      <c r="O21" s="130"/>
      <c r="P21" s="130"/>
      <c r="Q21" s="130"/>
      <c r="R21" s="130"/>
    </row>
    <row r="22" spans="1:18" s="109" customFormat="1" ht="15" hidden="1" customHeight="1" outlineLevel="1" x14ac:dyDescent="0.25">
      <c r="A22" s="131">
        <v>43708</v>
      </c>
      <c r="B22" s="140"/>
      <c r="C22" s="139"/>
      <c r="D22" s="138"/>
      <c r="E22" s="137"/>
      <c r="F22" s="137"/>
      <c r="G22" s="137"/>
      <c r="H22" s="136"/>
      <c r="I22" s="135"/>
      <c r="J22" s="134"/>
      <c r="K22" s="134"/>
      <c r="L22" s="134"/>
      <c r="M22" s="134"/>
      <c r="N22" s="130"/>
      <c r="O22" s="130"/>
      <c r="P22" s="130"/>
      <c r="Q22" s="130"/>
      <c r="R22" s="130"/>
    </row>
    <row r="23" spans="1:18" s="109" customFormat="1" collapsed="1" x14ac:dyDescent="0.25">
      <c r="A23" s="131">
        <v>43738</v>
      </c>
      <c r="B23" s="122">
        <f>+'SEF-48 pg.8'!Y16</f>
        <v>381.62127743949998</v>
      </c>
      <c r="C23" s="124">
        <f>B23</f>
        <v>381.62127743949998</v>
      </c>
      <c r="D23" s="132"/>
      <c r="E23" s="122"/>
      <c r="F23" s="122">
        <f t="shared" ref="F23:F54" si="0">-(B23*$F$9)+(D23*$F$9)</f>
        <v>-80.140468262294988</v>
      </c>
      <c r="G23" s="122">
        <f>F23</f>
        <v>-80.140468262294988</v>
      </c>
      <c r="H23" s="121"/>
      <c r="I23" s="120">
        <f t="shared" ref="I23:I54" si="1">(C11+C23+SUM(C12:C22)*2)/24</f>
        <v>15.900886559979165</v>
      </c>
      <c r="J23" s="119">
        <f t="shared" ref="J23:J54" si="2">(E11+E23+SUM(E12:E22)*2)/24</f>
        <v>0</v>
      </c>
      <c r="K23" s="119">
        <f t="shared" ref="K23:K54" si="3">I23+J23</f>
        <v>15.900886559979165</v>
      </c>
      <c r="L23" s="119">
        <f t="shared" ref="L23:L54" si="4">(G11+G23+SUM(G12:G22)*2)/24</f>
        <v>-3.3391861775956246</v>
      </c>
      <c r="M23" s="119">
        <f t="shared" ref="M23:M54" si="5">K23+L23</f>
        <v>12.56170038238354</v>
      </c>
      <c r="N23" s="130"/>
      <c r="O23" s="130"/>
      <c r="P23" s="130"/>
      <c r="Q23" s="130"/>
      <c r="R23" s="130"/>
    </row>
    <row r="24" spans="1:18" s="109" customFormat="1" x14ac:dyDescent="0.25">
      <c r="A24" s="131">
        <v>43769</v>
      </c>
      <c r="B24" s="122">
        <f>+'SEF-48 pg.8'!Y17</f>
        <v>1284.1389078703498</v>
      </c>
      <c r="C24" s="124">
        <f t="shared" ref="C24:C55" si="6">+B24+C23</f>
        <v>1665.7601853098499</v>
      </c>
      <c r="D24" s="132"/>
      <c r="E24" s="122"/>
      <c r="F24" s="122">
        <f t="shared" si="0"/>
        <v>-269.66917065277346</v>
      </c>
      <c r="G24" s="122">
        <f t="shared" ref="G24:G55" si="7">G23+F24</f>
        <v>-349.80963891506843</v>
      </c>
      <c r="H24" s="121">
        <f t="shared" ref="H24:H55" si="8">C24+E24+G24</f>
        <v>1315.9505463947814</v>
      </c>
      <c r="I24" s="120">
        <f t="shared" si="1"/>
        <v>101.20844750786875</v>
      </c>
      <c r="J24" s="119">
        <f t="shared" si="2"/>
        <v>0</v>
      </c>
      <c r="K24" s="119">
        <f t="shared" si="3"/>
        <v>101.20844750786875</v>
      </c>
      <c r="L24" s="119">
        <f t="shared" si="4"/>
        <v>-21.253773976652436</v>
      </c>
      <c r="M24" s="119">
        <f t="shared" si="5"/>
        <v>79.954673531216315</v>
      </c>
      <c r="N24" s="130"/>
      <c r="O24" s="130"/>
      <c r="P24" s="130"/>
      <c r="Q24" s="130"/>
      <c r="R24" s="130"/>
    </row>
    <row r="25" spans="1:18" s="109" customFormat="1" x14ac:dyDescent="0.25">
      <c r="A25" s="131">
        <v>43799</v>
      </c>
      <c r="B25" s="122">
        <f>+'SEF-48 pg.8'!Y18</f>
        <v>2477.6704234534786</v>
      </c>
      <c r="C25" s="124">
        <f t="shared" si="6"/>
        <v>4143.4306087633286</v>
      </c>
      <c r="D25" s="132"/>
      <c r="E25" s="122"/>
      <c r="F25" s="122">
        <f t="shared" si="0"/>
        <v>-520.31078892523044</v>
      </c>
      <c r="G25" s="122">
        <f t="shared" si="7"/>
        <v>-870.12042784029882</v>
      </c>
      <c r="H25" s="121">
        <f t="shared" si="8"/>
        <v>3273.3101809230297</v>
      </c>
      <c r="I25" s="120">
        <f t="shared" si="1"/>
        <v>343.25806392758449</v>
      </c>
      <c r="J25" s="119">
        <f t="shared" si="2"/>
        <v>0</v>
      </c>
      <c r="K25" s="119">
        <f t="shared" si="3"/>
        <v>343.25806392758449</v>
      </c>
      <c r="L25" s="119">
        <f t="shared" si="4"/>
        <v>-72.08419342479273</v>
      </c>
      <c r="M25" s="119">
        <f t="shared" si="5"/>
        <v>271.17387050279177</v>
      </c>
      <c r="N25" s="130"/>
      <c r="O25" s="130"/>
      <c r="P25" s="130"/>
      <c r="Q25" s="130"/>
      <c r="R25" s="130"/>
    </row>
    <row r="26" spans="1:18" s="109" customFormat="1" x14ac:dyDescent="0.25">
      <c r="A26" s="131">
        <v>43830</v>
      </c>
      <c r="B26" s="122">
        <f>+'SEF-48 pg.8'!Y19</f>
        <v>3828.8727707914977</v>
      </c>
      <c r="C26" s="124">
        <f t="shared" si="6"/>
        <v>7972.3033795548263</v>
      </c>
      <c r="D26" s="132"/>
      <c r="E26" s="122"/>
      <c r="F26" s="122">
        <f t="shared" si="0"/>
        <v>-804.06328186621454</v>
      </c>
      <c r="G26" s="122">
        <f t="shared" si="7"/>
        <v>-1674.1837097065134</v>
      </c>
      <c r="H26" s="121">
        <f t="shared" si="8"/>
        <v>6298.1196698483127</v>
      </c>
      <c r="I26" s="120">
        <f t="shared" si="1"/>
        <v>848.080313440841</v>
      </c>
      <c r="J26" s="119">
        <f t="shared" si="2"/>
        <v>0</v>
      </c>
      <c r="K26" s="119">
        <f t="shared" si="3"/>
        <v>848.080313440841</v>
      </c>
      <c r="L26" s="119">
        <f t="shared" si="4"/>
        <v>-178.09686582257658</v>
      </c>
      <c r="M26" s="119">
        <f t="shared" si="5"/>
        <v>669.98344761826445</v>
      </c>
      <c r="N26" s="130"/>
      <c r="O26" s="130"/>
      <c r="P26" s="130"/>
      <c r="Q26" s="130"/>
      <c r="R26" s="130"/>
    </row>
    <row r="27" spans="1:18" s="109" customFormat="1" x14ac:dyDescent="0.25">
      <c r="A27" s="131">
        <v>43861</v>
      </c>
      <c r="B27" s="122">
        <f>+'SEF-48 pg.8'!Y20</f>
        <v>5186.571614543629</v>
      </c>
      <c r="C27" s="124">
        <f t="shared" si="6"/>
        <v>13158.874994098456</v>
      </c>
      <c r="D27" s="132"/>
      <c r="E27" s="122"/>
      <c r="F27" s="122">
        <f t="shared" si="0"/>
        <v>-1089.1800390541621</v>
      </c>
      <c r="G27" s="122">
        <f t="shared" si="7"/>
        <v>-2763.3637487606757</v>
      </c>
      <c r="H27" s="121">
        <f t="shared" si="8"/>
        <v>10395.511245337781</v>
      </c>
      <c r="I27" s="120">
        <f t="shared" si="1"/>
        <v>1728.5460790097277</v>
      </c>
      <c r="J27" s="119">
        <f t="shared" si="2"/>
        <v>0</v>
      </c>
      <c r="K27" s="119">
        <f t="shared" si="3"/>
        <v>1728.5460790097277</v>
      </c>
      <c r="L27" s="119">
        <f t="shared" si="4"/>
        <v>-362.99467659204282</v>
      </c>
      <c r="M27" s="119">
        <f t="shared" si="5"/>
        <v>1365.5514024176848</v>
      </c>
      <c r="N27" s="130"/>
      <c r="O27" s="130"/>
      <c r="P27" s="130"/>
      <c r="Q27" s="130"/>
      <c r="R27" s="130"/>
    </row>
    <row r="28" spans="1:18" s="109" customFormat="1" x14ac:dyDescent="0.25">
      <c r="A28" s="131">
        <v>43890</v>
      </c>
      <c r="B28" s="122">
        <f>+'SEF-48 pg.8'!Y21</f>
        <v>6616.90718847471</v>
      </c>
      <c r="C28" s="124">
        <f t="shared" si="6"/>
        <v>19775.782182573166</v>
      </c>
      <c r="D28" s="132"/>
      <c r="E28" s="122"/>
      <c r="F28" s="122">
        <f t="shared" si="0"/>
        <v>-1389.5505095796891</v>
      </c>
      <c r="G28" s="122">
        <f t="shared" si="7"/>
        <v>-4152.9142583403645</v>
      </c>
      <c r="H28" s="121">
        <f t="shared" si="8"/>
        <v>15622.867924232802</v>
      </c>
      <c r="I28" s="120">
        <f t="shared" si="1"/>
        <v>3100.8234613710451</v>
      </c>
      <c r="J28" s="119">
        <f t="shared" si="2"/>
        <v>0</v>
      </c>
      <c r="K28" s="119">
        <f t="shared" si="3"/>
        <v>3100.8234613710451</v>
      </c>
      <c r="L28" s="119">
        <f t="shared" si="4"/>
        <v>-651.17292688791952</v>
      </c>
      <c r="M28" s="119">
        <f t="shared" si="5"/>
        <v>2449.6505344831257</v>
      </c>
      <c r="N28" s="130"/>
      <c r="O28" s="130"/>
      <c r="P28" s="130"/>
      <c r="Q28" s="130"/>
      <c r="R28" s="130"/>
    </row>
    <row r="29" spans="1:18" s="109" customFormat="1" x14ac:dyDescent="0.25">
      <c r="A29" s="131">
        <v>43921</v>
      </c>
      <c r="B29" s="122">
        <f>+'SEF-48 pg.8'!Y22</f>
        <v>8124.7036374879408</v>
      </c>
      <c r="C29" s="124">
        <f t="shared" si="6"/>
        <v>27900.485820061105</v>
      </c>
      <c r="D29" s="132"/>
      <c r="E29" s="122"/>
      <c r="F29" s="122">
        <f t="shared" si="0"/>
        <v>-1706.1877638724675</v>
      </c>
      <c r="G29" s="122">
        <f t="shared" si="7"/>
        <v>-5859.1020222128318</v>
      </c>
      <c r="H29" s="121">
        <f t="shared" si="8"/>
        <v>22041.383797848273</v>
      </c>
      <c r="I29" s="120">
        <f t="shared" si="1"/>
        <v>5087.3346281474733</v>
      </c>
      <c r="J29" s="119">
        <f t="shared" si="2"/>
        <v>0</v>
      </c>
      <c r="K29" s="119">
        <f t="shared" si="3"/>
        <v>5087.3346281474733</v>
      </c>
      <c r="L29" s="119">
        <f t="shared" si="4"/>
        <v>-1068.3402719109692</v>
      </c>
      <c r="M29" s="119">
        <f t="shared" si="5"/>
        <v>4018.9943562365042</v>
      </c>
      <c r="N29" s="130"/>
      <c r="O29" s="130"/>
      <c r="P29" s="130"/>
      <c r="Q29" s="130"/>
      <c r="R29" s="130"/>
    </row>
    <row r="30" spans="1:18" s="109" customFormat="1" x14ac:dyDescent="0.25">
      <c r="A30" s="131">
        <v>43951</v>
      </c>
      <c r="B30" s="122">
        <f>+'SEF-48 pg.8'!Y23</f>
        <v>9639.6699782718206</v>
      </c>
      <c r="C30" s="124">
        <f t="shared" si="6"/>
        <v>37540.155798332926</v>
      </c>
      <c r="D30" s="132"/>
      <c r="E30" s="122"/>
      <c r="F30" s="122">
        <f t="shared" si="0"/>
        <v>-2024.3306954370823</v>
      </c>
      <c r="G30" s="122">
        <f t="shared" si="7"/>
        <v>-7883.4327176499137</v>
      </c>
      <c r="H30" s="121">
        <f t="shared" si="8"/>
        <v>29656.723080683012</v>
      </c>
      <c r="I30" s="120">
        <f t="shared" si="1"/>
        <v>7814.0280289138927</v>
      </c>
      <c r="J30" s="119">
        <f t="shared" si="2"/>
        <v>0</v>
      </c>
      <c r="K30" s="119">
        <f t="shared" si="3"/>
        <v>7814.0280289138927</v>
      </c>
      <c r="L30" s="119">
        <f t="shared" si="4"/>
        <v>-1640.9458860719169</v>
      </c>
      <c r="M30" s="119">
        <f t="shared" si="5"/>
        <v>6173.0821428419758</v>
      </c>
      <c r="N30" s="130"/>
      <c r="O30" s="130"/>
      <c r="P30" s="130"/>
      <c r="Q30" s="130"/>
      <c r="R30" s="130"/>
    </row>
    <row r="31" spans="1:18" s="109" customFormat="1" x14ac:dyDescent="0.25">
      <c r="A31" s="131">
        <v>43982</v>
      </c>
      <c r="B31" s="122">
        <f>+'SEF-48 pg.8'!Y24</f>
        <v>11158.48612435315</v>
      </c>
      <c r="C31" s="124">
        <f t="shared" si="6"/>
        <v>48698.641922686074</v>
      </c>
      <c r="D31" s="132"/>
      <c r="E31" s="122"/>
      <c r="F31" s="122">
        <f t="shared" si="0"/>
        <v>-2343.2820861141613</v>
      </c>
      <c r="G31" s="122">
        <f t="shared" si="7"/>
        <v>-10226.714803764075</v>
      </c>
      <c r="H31" s="121">
        <f t="shared" si="8"/>
        <v>38471.927118922002</v>
      </c>
      <c r="I31" s="120">
        <f t="shared" si="1"/>
        <v>11407.311267289682</v>
      </c>
      <c r="J31" s="119">
        <f t="shared" si="2"/>
        <v>0</v>
      </c>
      <c r="K31" s="119">
        <f t="shared" si="3"/>
        <v>11407.311267289682</v>
      </c>
      <c r="L31" s="119">
        <f t="shared" si="4"/>
        <v>-2395.5353661308332</v>
      </c>
      <c r="M31" s="119">
        <f t="shared" si="5"/>
        <v>9011.7759011588496</v>
      </c>
      <c r="N31" s="130"/>
      <c r="O31" s="130"/>
      <c r="P31" s="130"/>
      <c r="Q31" s="130"/>
      <c r="R31" s="130"/>
    </row>
    <row r="32" spans="1:18" s="109" customFormat="1" x14ac:dyDescent="0.25">
      <c r="A32" s="131">
        <v>44012</v>
      </c>
      <c r="B32" s="122">
        <f>+'SEF-48 pg.8'!Y25</f>
        <v>12690.212167646952</v>
      </c>
      <c r="C32" s="124">
        <f t="shared" si="6"/>
        <v>61388.854090333029</v>
      </c>
      <c r="D32" s="132"/>
      <c r="E32" s="122"/>
      <c r="F32" s="122">
        <f t="shared" si="0"/>
        <v>-2664.9445552058601</v>
      </c>
      <c r="G32" s="122">
        <f t="shared" si="7"/>
        <v>-12891.659358969935</v>
      </c>
      <c r="H32" s="121">
        <f t="shared" si="8"/>
        <v>48497.194731363095</v>
      </c>
      <c r="I32" s="120">
        <f t="shared" si="1"/>
        <v>15994.290267832148</v>
      </c>
      <c r="J32" s="119">
        <f t="shared" si="2"/>
        <v>0</v>
      </c>
      <c r="K32" s="119">
        <f t="shared" si="3"/>
        <v>15994.290267832148</v>
      </c>
      <c r="L32" s="119">
        <f t="shared" si="4"/>
        <v>-3358.8009562447501</v>
      </c>
      <c r="M32" s="119">
        <f t="shared" si="5"/>
        <v>12635.489311587398</v>
      </c>
      <c r="N32" s="130"/>
      <c r="O32" s="130"/>
      <c r="P32" s="130"/>
      <c r="Q32" s="130"/>
      <c r="R32" s="130"/>
    </row>
    <row r="33" spans="1:19" s="109" customFormat="1" x14ac:dyDescent="0.25">
      <c r="A33" s="131">
        <v>44043</v>
      </c>
      <c r="B33" s="122">
        <f>+'SEF-48 pg.8'!Y26</f>
        <v>14612.767511258506</v>
      </c>
      <c r="C33" s="124">
        <f t="shared" si="6"/>
        <v>76001.621601591527</v>
      </c>
      <c r="D33" s="132"/>
      <c r="E33" s="122"/>
      <c r="F33" s="122">
        <f t="shared" si="0"/>
        <v>-3068.6811773642862</v>
      </c>
      <c r="G33" s="122">
        <f t="shared" si="7"/>
        <v>-15960.340536334221</v>
      </c>
      <c r="H33" s="121">
        <f t="shared" si="8"/>
        <v>60041.28106525731</v>
      </c>
      <c r="I33" s="120">
        <f t="shared" si="1"/>
        <v>21718.893421662338</v>
      </c>
      <c r="J33" s="119">
        <f t="shared" si="2"/>
        <v>0</v>
      </c>
      <c r="K33" s="119">
        <f t="shared" si="3"/>
        <v>21718.893421662338</v>
      </c>
      <c r="L33" s="119">
        <f t="shared" si="4"/>
        <v>-4560.9676185490898</v>
      </c>
      <c r="M33" s="119">
        <f t="shared" si="5"/>
        <v>17157.925803113249</v>
      </c>
      <c r="N33" s="130"/>
      <c r="O33" s="130"/>
      <c r="P33" s="130"/>
      <c r="Q33" s="130"/>
      <c r="R33" s="130"/>
    </row>
    <row r="34" spans="1:19" s="109" customFormat="1" x14ac:dyDescent="0.25">
      <c r="A34" s="131">
        <v>44074</v>
      </c>
      <c r="B34" s="122">
        <f>+'SEF-48 pg.8'!Y27</f>
        <v>16984.130039609227</v>
      </c>
      <c r="C34" s="124">
        <f t="shared" si="6"/>
        <v>92985.751641200754</v>
      </c>
      <c r="D34" s="132"/>
      <c r="E34" s="122"/>
      <c r="F34" s="122">
        <f t="shared" si="0"/>
        <v>-3566.6673083179376</v>
      </c>
      <c r="G34" s="122">
        <f t="shared" si="7"/>
        <v>-19527.007844652158</v>
      </c>
      <c r="H34" s="121">
        <f t="shared" si="8"/>
        <v>73458.743796548602</v>
      </c>
      <c r="I34" s="120">
        <f t="shared" si="1"/>
        <v>28760.033973445348</v>
      </c>
      <c r="J34" s="119">
        <f t="shared" si="2"/>
        <v>0</v>
      </c>
      <c r="K34" s="119">
        <f t="shared" si="3"/>
        <v>28760.033973445348</v>
      </c>
      <c r="L34" s="119">
        <f t="shared" si="4"/>
        <v>-6039.6071344235233</v>
      </c>
      <c r="M34" s="119">
        <f t="shared" si="5"/>
        <v>22720.426839021824</v>
      </c>
      <c r="N34" s="130"/>
      <c r="O34" s="130"/>
      <c r="P34" s="130"/>
      <c r="Q34" s="130"/>
      <c r="R34" s="130"/>
    </row>
    <row r="35" spans="1:19" s="109" customFormat="1" x14ac:dyDescent="0.25">
      <c r="A35" s="131">
        <v>44104</v>
      </c>
      <c r="B35" s="122">
        <f>+'SEF-48 pg.8'!Y28</f>
        <v>-88353.582499176497</v>
      </c>
      <c r="C35" s="124">
        <f t="shared" si="6"/>
        <v>4632.1691420242569</v>
      </c>
      <c r="D35" s="132"/>
      <c r="E35" s="122"/>
      <c r="F35" s="122">
        <f t="shared" si="0"/>
        <v>18554.252324827063</v>
      </c>
      <c r="G35" s="122">
        <f t="shared" si="7"/>
        <v>-972.75551982509569</v>
      </c>
      <c r="H35" s="121">
        <f t="shared" si="8"/>
        <v>3659.4136221991612</v>
      </c>
      <c r="I35" s="120">
        <f t="shared" si="1"/>
        <v>32811.546452853079</v>
      </c>
      <c r="J35" s="119">
        <f t="shared" si="2"/>
        <v>0</v>
      </c>
      <c r="K35" s="119">
        <f t="shared" si="3"/>
        <v>32811.546452853079</v>
      </c>
      <c r="L35" s="119">
        <f t="shared" si="4"/>
        <v>-6890.4247550991468</v>
      </c>
      <c r="M35" s="119">
        <f t="shared" si="5"/>
        <v>25921.121697753933</v>
      </c>
      <c r="N35" s="130"/>
      <c r="O35" s="130"/>
      <c r="P35" s="130"/>
      <c r="Q35" s="130"/>
      <c r="R35" s="130"/>
    </row>
    <row r="36" spans="1:19" s="109" customFormat="1" x14ac:dyDescent="0.25">
      <c r="A36" s="131">
        <v>44135</v>
      </c>
      <c r="B36" s="122">
        <f>+'SEF-48 pg.8'!Y29</f>
        <v>1730.0682384089228</v>
      </c>
      <c r="C36" s="124">
        <f t="shared" si="6"/>
        <v>6362.2373804331801</v>
      </c>
      <c r="D36" s="123"/>
      <c r="E36" s="122">
        <f t="shared" ref="E36:E67" si="9">E35-D36</f>
        <v>0</v>
      </c>
      <c r="F36" s="122">
        <f t="shared" si="0"/>
        <v>-363.31433006587378</v>
      </c>
      <c r="G36" s="122">
        <f t="shared" si="7"/>
        <v>-1336.0698498909694</v>
      </c>
      <c r="H36" s="121">
        <f t="shared" si="8"/>
        <v>5026.1675305422104</v>
      </c>
      <c r="I36" s="120">
        <f t="shared" si="1"/>
        <v>33184.339163674245</v>
      </c>
      <c r="J36" s="119">
        <f t="shared" si="2"/>
        <v>0</v>
      </c>
      <c r="K36" s="119">
        <f t="shared" si="3"/>
        <v>33184.339163674245</v>
      </c>
      <c r="L36" s="119">
        <f t="shared" si="4"/>
        <v>-6968.7112243715901</v>
      </c>
      <c r="M36" s="119">
        <f t="shared" si="5"/>
        <v>26215.627939302656</v>
      </c>
      <c r="N36" s="130"/>
      <c r="O36" s="130"/>
      <c r="P36" s="130"/>
      <c r="Q36" s="130"/>
      <c r="R36" s="130"/>
    </row>
    <row r="37" spans="1:19" s="109" customFormat="1" x14ac:dyDescent="0.25">
      <c r="A37" s="131">
        <v>44165</v>
      </c>
      <c r="B37" s="122">
        <f>+'SEF-48 pg.8'!Y30</f>
        <v>2237.1631764176727</v>
      </c>
      <c r="C37" s="124">
        <f t="shared" si="6"/>
        <v>8599.4005568508528</v>
      </c>
      <c r="D37" s="123"/>
      <c r="E37" s="122">
        <f t="shared" si="9"/>
        <v>0</v>
      </c>
      <c r="F37" s="122">
        <f t="shared" si="0"/>
        <v>-469.80426704771128</v>
      </c>
      <c r="G37" s="122">
        <f t="shared" si="7"/>
        <v>-1805.8741169386808</v>
      </c>
      <c r="H37" s="121">
        <f t="shared" si="8"/>
        <v>6793.5264399121716</v>
      </c>
      <c r="I37" s="120">
        <f t="shared" si="1"/>
        <v>33565.6911279747</v>
      </c>
      <c r="J37" s="119">
        <f t="shared" si="2"/>
        <v>0</v>
      </c>
      <c r="K37" s="119">
        <f t="shared" si="3"/>
        <v>33565.6911279747</v>
      </c>
      <c r="L37" s="119">
        <f t="shared" si="4"/>
        <v>-7048.7951368746844</v>
      </c>
      <c r="M37" s="119">
        <f t="shared" si="5"/>
        <v>26516.895991100017</v>
      </c>
      <c r="N37" s="130"/>
      <c r="O37" s="130"/>
      <c r="P37" s="130"/>
      <c r="Q37" s="130"/>
      <c r="R37" s="130"/>
    </row>
    <row r="38" spans="1:19" s="109" customFormat="1" x14ac:dyDescent="0.25">
      <c r="A38" s="131">
        <v>44196</v>
      </c>
      <c r="B38" s="122">
        <f>+'SEF-48 pg.8'!Y31</f>
        <v>2855.0605390210271</v>
      </c>
      <c r="C38" s="124">
        <f t="shared" si="6"/>
        <v>11454.46109587188</v>
      </c>
      <c r="D38" s="123"/>
      <c r="E38" s="122">
        <f t="shared" si="9"/>
        <v>0</v>
      </c>
      <c r="F38" s="122">
        <f t="shared" si="0"/>
        <v>-599.56271319441566</v>
      </c>
      <c r="G38" s="122">
        <f t="shared" si="7"/>
        <v>-2405.4368301330965</v>
      </c>
      <c r="H38" s="121">
        <f t="shared" si="8"/>
        <v>9049.0242657387844</v>
      </c>
      <c r="I38" s="120">
        <f t="shared" si="1"/>
        <v>33896.446447324888</v>
      </c>
      <c r="J38" s="119">
        <f t="shared" si="2"/>
        <v>0</v>
      </c>
      <c r="K38" s="119">
        <f t="shared" si="3"/>
        <v>33896.446447324888</v>
      </c>
      <c r="L38" s="119">
        <f t="shared" si="4"/>
        <v>-7118.2537539382256</v>
      </c>
      <c r="M38" s="119">
        <f t="shared" si="5"/>
        <v>26778.192693386663</v>
      </c>
      <c r="N38" s="130"/>
      <c r="O38" s="130"/>
      <c r="P38" s="130"/>
      <c r="Q38" s="130"/>
      <c r="R38" s="130"/>
    </row>
    <row r="39" spans="1:19" s="109" customFormat="1" x14ac:dyDescent="0.25">
      <c r="A39" s="118">
        <v>44227</v>
      </c>
      <c r="B39" s="114">
        <f>+'SEF-48 pg.8'!Y32</f>
        <v>3536.7257184852356</v>
      </c>
      <c r="C39" s="117">
        <f t="shared" si="6"/>
        <v>14991.186814357116</v>
      </c>
      <c r="D39" s="116"/>
      <c r="E39" s="114">
        <f t="shared" si="9"/>
        <v>0</v>
      </c>
      <c r="F39" s="114">
        <f t="shared" si="0"/>
        <v>-742.7124008818995</v>
      </c>
      <c r="G39" s="114">
        <f t="shared" si="7"/>
        <v>-3148.1492310149961</v>
      </c>
      <c r="H39" s="115">
        <f t="shared" si="8"/>
        <v>11843.03758334212</v>
      </c>
      <c r="I39" s="114">
        <f t="shared" si="1"/>
        <v>34117.882678015543</v>
      </c>
      <c r="J39" s="114">
        <f t="shared" si="2"/>
        <v>0</v>
      </c>
      <c r="K39" s="114">
        <f t="shared" si="3"/>
        <v>34117.882678015543</v>
      </c>
      <c r="L39" s="114">
        <f t="shared" si="4"/>
        <v>-7164.7553623832619</v>
      </c>
      <c r="M39" s="114">
        <f t="shared" si="5"/>
        <v>26953.127315632282</v>
      </c>
      <c r="N39" s="129"/>
      <c r="O39" s="130"/>
      <c r="P39" s="130"/>
      <c r="Q39" s="130"/>
      <c r="R39" s="130"/>
    </row>
    <row r="40" spans="1:19" s="109" customFormat="1" x14ac:dyDescent="0.25">
      <c r="A40" s="118">
        <v>44255</v>
      </c>
      <c r="B40" s="114">
        <f>+'SEF-48 pg.8'!Y33</f>
        <v>4271.1948284469436</v>
      </c>
      <c r="C40" s="117">
        <f t="shared" si="6"/>
        <v>19262.381642804059</v>
      </c>
      <c r="D40" s="116"/>
      <c r="E40" s="114">
        <f t="shared" si="9"/>
        <v>0</v>
      </c>
      <c r="F40" s="114">
        <f t="shared" si="0"/>
        <v>-896.95091397385806</v>
      </c>
      <c r="G40" s="114">
        <f t="shared" si="7"/>
        <v>-4045.100144988854</v>
      </c>
      <c r="H40" s="115">
        <f t="shared" si="8"/>
        <v>15217.281497815206</v>
      </c>
      <c r="I40" s="114">
        <f t="shared" si="1"/>
        <v>34172.837314702607</v>
      </c>
      <c r="J40" s="114">
        <f t="shared" si="2"/>
        <v>0</v>
      </c>
      <c r="K40" s="114">
        <f t="shared" si="3"/>
        <v>34172.837314702607</v>
      </c>
      <c r="L40" s="114">
        <f t="shared" si="4"/>
        <v>-7176.2958360875482</v>
      </c>
      <c r="M40" s="114">
        <f t="shared" si="5"/>
        <v>26996.541478615058</v>
      </c>
      <c r="N40" s="129"/>
      <c r="O40" s="126"/>
      <c r="P40" s="126"/>
      <c r="Q40" s="126"/>
      <c r="R40" s="126"/>
      <c r="S40" s="126"/>
    </row>
    <row r="41" spans="1:19" s="109" customFormat="1" x14ac:dyDescent="0.25">
      <c r="A41" s="118">
        <v>44286</v>
      </c>
      <c r="B41" s="114">
        <f>+'SEF-48 pg.8'!Y34</f>
        <v>5005.737766481152</v>
      </c>
      <c r="C41" s="117">
        <f t="shared" si="6"/>
        <v>24268.119409285209</v>
      </c>
      <c r="D41" s="116"/>
      <c r="E41" s="114">
        <f t="shared" si="9"/>
        <v>0</v>
      </c>
      <c r="F41" s="114">
        <f t="shared" si="0"/>
        <v>-1051.2049309610418</v>
      </c>
      <c r="G41" s="114">
        <f t="shared" si="7"/>
        <v>-5096.3050759498956</v>
      </c>
      <c r="H41" s="115">
        <f t="shared" si="8"/>
        <v>19171.814333335315</v>
      </c>
      <c r="I41" s="114">
        <f t="shared" si="1"/>
        <v>34000.097025096569</v>
      </c>
      <c r="J41" s="114">
        <f t="shared" si="2"/>
        <v>0</v>
      </c>
      <c r="K41" s="114">
        <f t="shared" si="3"/>
        <v>34000.097025096569</v>
      </c>
      <c r="L41" s="114">
        <f t="shared" si="4"/>
        <v>-7140.0203752702773</v>
      </c>
      <c r="M41" s="114">
        <f t="shared" si="5"/>
        <v>26860.076649826293</v>
      </c>
      <c r="N41" s="129"/>
      <c r="O41" s="126"/>
      <c r="P41" s="126"/>
      <c r="Q41" s="126"/>
      <c r="R41" s="126"/>
      <c r="S41" s="126"/>
    </row>
    <row r="42" spans="1:19" s="109" customFormat="1" x14ac:dyDescent="0.25">
      <c r="A42" s="118">
        <v>44316</v>
      </c>
      <c r="B42" s="114">
        <f>+'SEF-48 pg.8'!Y35</f>
        <v>5740.3287624116101</v>
      </c>
      <c r="C42" s="117">
        <f t="shared" si="6"/>
        <v>30008.448171696818</v>
      </c>
      <c r="D42" s="116"/>
      <c r="E42" s="114">
        <f t="shared" si="9"/>
        <v>0</v>
      </c>
      <c r="F42" s="114">
        <f t="shared" si="0"/>
        <v>-1205.4690401064381</v>
      </c>
      <c r="G42" s="114">
        <f t="shared" si="7"/>
        <v>-6301.7741160563337</v>
      </c>
      <c r="H42" s="115">
        <f t="shared" si="8"/>
        <v>23706.674055640484</v>
      </c>
      <c r="I42" s="114">
        <f t="shared" si="1"/>
        <v>33534.927273537731</v>
      </c>
      <c r="J42" s="114">
        <f t="shared" si="2"/>
        <v>0</v>
      </c>
      <c r="K42" s="114">
        <f t="shared" si="3"/>
        <v>33534.927273537731</v>
      </c>
      <c r="L42" s="114">
        <f t="shared" si="4"/>
        <v>-7042.3347274429252</v>
      </c>
      <c r="M42" s="114">
        <f t="shared" si="5"/>
        <v>26492.592546094806</v>
      </c>
      <c r="N42" s="129"/>
    </row>
    <row r="43" spans="1:19" s="126" customFormat="1" x14ac:dyDescent="0.25">
      <c r="A43" s="118">
        <v>44347</v>
      </c>
      <c r="B43" s="114">
        <f>+'SEF-48 pg.8'!Y36</f>
        <v>6483.4197018395689</v>
      </c>
      <c r="C43" s="117">
        <f t="shared" si="6"/>
        <v>36491.867873536386</v>
      </c>
      <c r="D43" s="116"/>
      <c r="E43" s="114">
        <f t="shared" si="9"/>
        <v>0</v>
      </c>
      <c r="F43" s="114">
        <f t="shared" si="0"/>
        <v>-1361.5181373863095</v>
      </c>
      <c r="G43" s="114">
        <f t="shared" si="7"/>
        <v>-7663.2922534426434</v>
      </c>
      <c r="H43" s="115">
        <f t="shared" si="8"/>
        <v>28828.575620093743</v>
      </c>
      <c r="I43" s="114">
        <f t="shared" si="1"/>
        <v>32712.490537046655</v>
      </c>
      <c r="J43" s="114">
        <f t="shared" si="2"/>
        <v>0</v>
      </c>
      <c r="K43" s="114">
        <f t="shared" si="3"/>
        <v>32712.490537046655</v>
      </c>
      <c r="L43" s="114">
        <f t="shared" si="4"/>
        <v>-6869.6230127797999</v>
      </c>
      <c r="M43" s="114">
        <f t="shared" si="5"/>
        <v>25842.867524266854</v>
      </c>
      <c r="N43" s="127"/>
    </row>
    <row r="44" spans="1:19" s="109" customFormat="1" x14ac:dyDescent="0.25">
      <c r="A44" s="118">
        <v>44377</v>
      </c>
      <c r="B44" s="114">
        <f>+'SEF-48 pg.8'!Y37</f>
        <v>7249.6628262647573</v>
      </c>
      <c r="C44" s="117">
        <f t="shared" si="6"/>
        <v>43741.530699801144</v>
      </c>
      <c r="D44" s="116"/>
      <c r="E44" s="114">
        <f t="shared" si="9"/>
        <v>0</v>
      </c>
      <c r="F44" s="114">
        <f t="shared" si="0"/>
        <v>-1522.4291935155991</v>
      </c>
      <c r="G44" s="114">
        <f t="shared" si="7"/>
        <v>-9185.7214469582432</v>
      </c>
      <c r="H44" s="115">
        <f t="shared" si="8"/>
        <v>34555.809252842897</v>
      </c>
      <c r="I44" s="114">
        <f t="shared" si="1"/>
        <v>31468.569810393252</v>
      </c>
      <c r="J44" s="114">
        <f t="shared" si="2"/>
        <v>0</v>
      </c>
      <c r="K44" s="114">
        <f t="shared" si="3"/>
        <v>31468.569810393252</v>
      </c>
      <c r="L44" s="114">
        <f t="shared" si="4"/>
        <v>-6608.3996601825856</v>
      </c>
      <c r="M44" s="114">
        <f t="shared" si="5"/>
        <v>24860.170150210666</v>
      </c>
      <c r="N44" s="127"/>
      <c r="O44" s="126"/>
      <c r="P44" s="126"/>
      <c r="Q44" s="126"/>
      <c r="R44" s="126"/>
    </row>
    <row r="45" spans="1:19" s="109" customFormat="1" x14ac:dyDescent="0.25">
      <c r="A45" s="118">
        <v>44408</v>
      </c>
      <c r="B45" s="114">
        <f>+'SEF-48 pg.8'!Y38</f>
        <v>8016.0009235224443</v>
      </c>
      <c r="C45" s="117">
        <f t="shared" si="6"/>
        <v>51757.531623323586</v>
      </c>
      <c r="D45" s="116"/>
      <c r="E45" s="114">
        <f t="shared" si="9"/>
        <v>0</v>
      </c>
      <c r="F45" s="114">
        <f t="shared" si="0"/>
        <v>-1683.3601939397133</v>
      </c>
      <c r="G45" s="114">
        <f t="shared" si="7"/>
        <v>-10869.081640897957</v>
      </c>
      <c r="H45" s="115">
        <f t="shared" si="8"/>
        <v>40888.449982425627</v>
      </c>
      <c r="I45" s="114">
        <f t="shared" si="1"/>
        <v>29723.094253359941</v>
      </c>
      <c r="J45" s="114">
        <f t="shared" si="2"/>
        <v>0</v>
      </c>
      <c r="K45" s="114">
        <f t="shared" si="3"/>
        <v>29723.094253359941</v>
      </c>
      <c r="L45" s="114">
        <f t="shared" si="4"/>
        <v>-6241.849793205588</v>
      </c>
      <c r="M45" s="114">
        <f t="shared" si="5"/>
        <v>23481.244460154354</v>
      </c>
      <c r="N45" s="127"/>
      <c r="O45" s="126"/>
      <c r="P45" s="126"/>
      <c r="Q45" s="126"/>
      <c r="R45" s="126"/>
    </row>
    <row r="46" spans="1:19" s="109" customFormat="1" x14ac:dyDescent="0.25">
      <c r="A46" s="118">
        <v>44439</v>
      </c>
      <c r="B46" s="114">
        <f>+'SEF-48 pg.8'!Y39</f>
        <v>8782.339092215132</v>
      </c>
      <c r="C46" s="117">
        <f t="shared" si="6"/>
        <v>60539.870715538716</v>
      </c>
      <c r="D46" s="116"/>
      <c r="E46" s="114">
        <f t="shared" si="9"/>
        <v>0</v>
      </c>
      <c r="F46" s="114">
        <f t="shared" si="0"/>
        <v>-1844.2912093651776</v>
      </c>
      <c r="G46" s="114">
        <f t="shared" si="7"/>
        <v>-12713.372850263135</v>
      </c>
      <c r="H46" s="115">
        <f t="shared" si="8"/>
        <v>47826.497865275582</v>
      </c>
      <c r="I46" s="114">
        <f t="shared" si="1"/>
        <v>27361.012132362852</v>
      </c>
      <c r="J46" s="114">
        <f t="shared" si="2"/>
        <v>0</v>
      </c>
      <c r="K46" s="114">
        <f t="shared" si="3"/>
        <v>27361.012132362852</v>
      </c>
      <c r="L46" s="114">
        <f t="shared" si="4"/>
        <v>-5745.8125477962021</v>
      </c>
      <c r="M46" s="114">
        <f t="shared" si="5"/>
        <v>21615.19958456665</v>
      </c>
      <c r="N46" s="127"/>
      <c r="O46" s="126"/>
      <c r="P46" s="126"/>
      <c r="Q46" s="126"/>
      <c r="R46" s="126"/>
    </row>
    <row r="47" spans="1:19" s="109" customFormat="1" x14ac:dyDescent="0.25">
      <c r="A47" s="118">
        <v>44469</v>
      </c>
      <c r="B47" s="114">
        <f>+'SEF-48 pg.8'!Y40</f>
        <v>9805.7872353061521</v>
      </c>
      <c r="C47" s="117">
        <f t="shared" si="6"/>
        <v>70345.657950844863</v>
      </c>
      <c r="D47" s="116"/>
      <c r="E47" s="114">
        <f t="shared" si="9"/>
        <v>0</v>
      </c>
      <c r="F47" s="114">
        <f t="shared" si="0"/>
        <v>-2059.215319414292</v>
      </c>
      <c r="G47" s="114">
        <f t="shared" si="7"/>
        <v>-14772.588169677427</v>
      </c>
      <c r="H47" s="115">
        <f t="shared" si="8"/>
        <v>55573.069781167433</v>
      </c>
      <c r="I47" s="114">
        <f t="shared" si="1"/>
        <v>28747.162460827793</v>
      </c>
      <c r="J47" s="114">
        <f t="shared" si="2"/>
        <v>0</v>
      </c>
      <c r="K47" s="114">
        <f t="shared" si="3"/>
        <v>28747.162460827793</v>
      </c>
      <c r="L47" s="114">
        <f t="shared" si="4"/>
        <v>-6036.9041167738396</v>
      </c>
      <c r="M47" s="114">
        <f t="shared" si="5"/>
        <v>22710.258344053953</v>
      </c>
      <c r="N47" s="127"/>
      <c r="O47" s="126"/>
      <c r="P47" s="126"/>
      <c r="Q47" s="126"/>
      <c r="R47" s="126"/>
    </row>
    <row r="48" spans="1:19" s="109" customFormat="1" x14ac:dyDescent="0.25">
      <c r="A48" s="118">
        <v>44500</v>
      </c>
      <c r="B48" s="114">
        <f>+'SEF-48 pg.8'!Y41</f>
        <v>11114.587411331755</v>
      </c>
      <c r="C48" s="117">
        <f t="shared" si="6"/>
        <v>81460.245362176618</v>
      </c>
      <c r="D48" s="116"/>
      <c r="E48" s="114">
        <f t="shared" si="9"/>
        <v>0</v>
      </c>
      <c r="F48" s="114">
        <f t="shared" si="0"/>
        <v>-2334.0633563796687</v>
      </c>
      <c r="G48" s="114">
        <f t="shared" si="7"/>
        <v>-17106.651526057096</v>
      </c>
      <c r="H48" s="115">
        <f t="shared" si="8"/>
        <v>64353.593836119522</v>
      </c>
      <c r="I48" s="114">
        <f t="shared" si="1"/>
        <v>34614.30816043463</v>
      </c>
      <c r="J48" s="114">
        <f t="shared" si="2"/>
        <v>0</v>
      </c>
      <c r="K48" s="114">
        <f t="shared" si="3"/>
        <v>34614.30816043463</v>
      </c>
      <c r="L48" s="114">
        <f t="shared" si="4"/>
        <v>-7269.0047136912735</v>
      </c>
      <c r="M48" s="114">
        <f t="shared" si="5"/>
        <v>27345.303446743357</v>
      </c>
      <c r="N48" s="127"/>
      <c r="O48" s="126"/>
      <c r="P48" s="126"/>
      <c r="Q48" s="126"/>
      <c r="R48" s="126"/>
    </row>
    <row r="49" spans="1:18" s="109" customFormat="1" x14ac:dyDescent="0.25">
      <c r="A49" s="118">
        <v>44530</v>
      </c>
      <c r="B49" s="114">
        <f>+'SEF-48 pg.8'!Y42</f>
        <v>12454.081129024027</v>
      </c>
      <c r="C49" s="117">
        <f t="shared" si="6"/>
        <v>93914.326491200642</v>
      </c>
      <c r="D49" s="116"/>
      <c r="E49" s="114">
        <f t="shared" si="9"/>
        <v>0</v>
      </c>
      <c r="F49" s="114">
        <f t="shared" si="0"/>
        <v>-2615.3570370950456</v>
      </c>
      <c r="G49" s="114">
        <f t="shared" si="7"/>
        <v>-19722.008563152143</v>
      </c>
      <c r="H49" s="115">
        <f t="shared" si="8"/>
        <v>74192.317928048491</v>
      </c>
      <c r="I49" s="114">
        <f t="shared" si="1"/>
        <v>41298.180406938511</v>
      </c>
      <c r="J49" s="114">
        <f t="shared" si="2"/>
        <v>0</v>
      </c>
      <c r="K49" s="114">
        <f t="shared" si="3"/>
        <v>41298.180406938511</v>
      </c>
      <c r="L49" s="114">
        <f t="shared" si="4"/>
        <v>-8672.6178854570917</v>
      </c>
      <c r="M49" s="114">
        <f t="shared" si="5"/>
        <v>32625.562521481421</v>
      </c>
      <c r="N49" s="174"/>
      <c r="O49" s="126"/>
      <c r="P49" s="126"/>
      <c r="Q49" s="126"/>
      <c r="R49" s="126"/>
    </row>
    <row r="50" spans="1:18" s="109" customFormat="1" x14ac:dyDescent="0.25">
      <c r="A50" s="118">
        <v>44561</v>
      </c>
      <c r="B50" s="114">
        <f>+'SEF-48 pg.8'!Y43</f>
        <v>13711.541244632963</v>
      </c>
      <c r="C50" s="117">
        <f t="shared" si="6"/>
        <v>107625.8677358336</v>
      </c>
      <c r="D50" s="116"/>
      <c r="E50" s="114">
        <f t="shared" si="9"/>
        <v>0</v>
      </c>
      <c r="F50" s="114">
        <f t="shared" si="0"/>
        <v>-2879.4236613729222</v>
      </c>
      <c r="G50" s="114">
        <f t="shared" si="7"/>
        <v>-22601.432224525066</v>
      </c>
      <c r="H50" s="115">
        <f t="shared" si="8"/>
        <v>85024.435511308533</v>
      </c>
      <c r="I50" s="114">
        <f t="shared" si="1"/>
        <v>48860.110930868155</v>
      </c>
      <c r="J50" s="114">
        <f t="shared" si="2"/>
        <v>0</v>
      </c>
      <c r="K50" s="114">
        <f t="shared" si="3"/>
        <v>48860.110930868155</v>
      </c>
      <c r="L50" s="114">
        <f t="shared" si="4"/>
        <v>-10260.623295482315</v>
      </c>
      <c r="M50" s="114">
        <f t="shared" si="5"/>
        <v>38599.487635385842</v>
      </c>
      <c r="N50" s="127"/>
      <c r="O50" s="126"/>
      <c r="P50" s="126"/>
      <c r="Q50" s="126"/>
      <c r="R50" s="126"/>
    </row>
    <row r="51" spans="1:18" s="109" customFormat="1" x14ac:dyDescent="0.25">
      <c r="A51" s="125">
        <v>44592</v>
      </c>
      <c r="B51" s="122">
        <f>+'SEF-48 pg.8'!Y44</f>
        <v>15085.449645658566</v>
      </c>
      <c r="C51" s="124">
        <f t="shared" si="6"/>
        <v>122711.31738149216</v>
      </c>
      <c r="D51" s="123"/>
      <c r="E51" s="122">
        <f t="shared" si="9"/>
        <v>0</v>
      </c>
      <c r="F51" s="122">
        <f t="shared" si="0"/>
        <v>-3167.9444255882986</v>
      </c>
      <c r="G51" s="122">
        <f t="shared" si="7"/>
        <v>-25769.376650113365</v>
      </c>
      <c r="H51" s="121">
        <f t="shared" si="8"/>
        <v>96941.940731378796</v>
      </c>
      <c r="I51" s="120">
        <f t="shared" si="1"/>
        <v>57355.591647830523</v>
      </c>
      <c r="J51" s="119">
        <f t="shared" si="2"/>
        <v>0</v>
      </c>
      <c r="K51" s="119">
        <f t="shared" si="3"/>
        <v>57355.591647830523</v>
      </c>
      <c r="L51" s="119">
        <f t="shared" si="4"/>
        <v>-12044.674246044415</v>
      </c>
      <c r="M51" s="119">
        <f t="shared" si="5"/>
        <v>45310.917401786108</v>
      </c>
      <c r="N51" s="127"/>
      <c r="O51" s="126"/>
      <c r="P51" s="126"/>
      <c r="Q51" s="126"/>
      <c r="R51" s="126"/>
    </row>
    <row r="52" spans="1:18" s="109" customFormat="1" x14ac:dyDescent="0.25">
      <c r="A52" s="125">
        <v>44620</v>
      </c>
      <c r="B52" s="122">
        <f>+'SEF-48 pg.8'!Y45</f>
        <v>16459.35804668417</v>
      </c>
      <c r="C52" s="124">
        <f t="shared" si="6"/>
        <v>139170.67542817633</v>
      </c>
      <c r="D52" s="123"/>
      <c r="E52" s="122">
        <f t="shared" si="9"/>
        <v>0</v>
      </c>
      <c r="F52" s="122">
        <f t="shared" si="0"/>
        <v>-3456.4651898036755</v>
      </c>
      <c r="G52" s="122">
        <f t="shared" si="7"/>
        <v>-29225.84183991704</v>
      </c>
      <c r="H52" s="121">
        <f t="shared" si="8"/>
        <v>109944.83358825929</v>
      </c>
      <c r="I52" s="120">
        <f t="shared" si="1"/>
        <v>66840.109329184997</v>
      </c>
      <c r="J52" s="119">
        <f t="shared" si="2"/>
        <v>0</v>
      </c>
      <c r="K52" s="119">
        <f t="shared" si="3"/>
        <v>66840.109329184997</v>
      </c>
      <c r="L52" s="119">
        <f t="shared" si="4"/>
        <v>-14036.422959128855</v>
      </c>
      <c r="M52" s="119">
        <f t="shared" si="5"/>
        <v>52803.686370056144</v>
      </c>
      <c r="N52" s="127"/>
      <c r="O52" s="126"/>
      <c r="P52" s="126"/>
      <c r="Q52" s="126"/>
      <c r="R52" s="126"/>
    </row>
    <row r="53" spans="1:18" s="109" customFormat="1" x14ac:dyDescent="0.25">
      <c r="A53" s="125">
        <v>44651</v>
      </c>
      <c r="B53" s="122">
        <f>+'SEF-48 pg.8'!Y46</f>
        <v>17833.266447709771</v>
      </c>
      <c r="C53" s="124">
        <f t="shared" si="6"/>
        <v>157003.94187588611</v>
      </c>
      <c r="D53" s="123"/>
      <c r="E53" s="122">
        <f t="shared" si="9"/>
        <v>0</v>
      </c>
      <c r="F53" s="122">
        <f t="shared" si="0"/>
        <v>-3744.9859540190519</v>
      </c>
      <c r="G53" s="122">
        <f t="shared" si="7"/>
        <v>-32970.827793936092</v>
      </c>
      <c r="H53" s="121">
        <f t="shared" si="8"/>
        <v>124033.11408195001</v>
      </c>
      <c r="I53" s="120">
        <f t="shared" si="1"/>
        <v>77366.947506350538</v>
      </c>
      <c r="J53" s="119">
        <f t="shared" si="2"/>
        <v>0</v>
      </c>
      <c r="K53" s="119">
        <f t="shared" si="3"/>
        <v>77366.947506350538</v>
      </c>
      <c r="L53" s="119">
        <f t="shared" si="4"/>
        <v>-16247.058976333619</v>
      </c>
      <c r="M53" s="119">
        <f t="shared" si="5"/>
        <v>61119.88853001692</v>
      </c>
      <c r="N53" s="127"/>
      <c r="O53" s="126"/>
      <c r="P53" s="126"/>
      <c r="Q53" s="126"/>
      <c r="R53" s="126"/>
    </row>
    <row r="54" spans="1:18" s="109" customFormat="1" x14ac:dyDescent="0.25">
      <c r="A54" s="125">
        <v>44681</v>
      </c>
      <c r="B54" s="122">
        <f>+'SEF-48 pg.8'!Y47</f>
        <v>19207.174848735376</v>
      </c>
      <c r="C54" s="124">
        <f t="shared" si="6"/>
        <v>176211.1167246215</v>
      </c>
      <c r="D54" s="123"/>
      <c r="E54" s="122">
        <f t="shared" si="9"/>
        <v>0</v>
      </c>
      <c r="F54" s="122">
        <f t="shared" si="0"/>
        <v>-4033.5067182344287</v>
      </c>
      <c r="G54" s="122">
        <f t="shared" si="7"/>
        <v>-37004.334512170521</v>
      </c>
      <c r="H54" s="121">
        <f t="shared" si="8"/>
        <v>139206.78221245098</v>
      </c>
      <c r="I54" s="120">
        <f t="shared" si="1"/>
        <v>88989.384632164089</v>
      </c>
      <c r="J54" s="119">
        <f t="shared" si="2"/>
        <v>0</v>
      </c>
      <c r="K54" s="119">
        <f t="shared" si="3"/>
        <v>88989.384632164089</v>
      </c>
      <c r="L54" s="119">
        <f t="shared" si="4"/>
        <v>-18687.770772754469</v>
      </c>
      <c r="M54" s="119">
        <f t="shared" si="5"/>
        <v>70301.613859409612</v>
      </c>
      <c r="N54" s="127"/>
      <c r="O54" s="126"/>
      <c r="P54" s="126"/>
      <c r="Q54" s="126"/>
      <c r="R54" s="126"/>
    </row>
    <row r="55" spans="1:18" s="109" customFormat="1" x14ac:dyDescent="0.25">
      <c r="A55" s="125">
        <v>44712</v>
      </c>
      <c r="B55" s="122">
        <f>+'SEF-48 pg.8'!Y48</f>
        <v>20581.083249760981</v>
      </c>
      <c r="C55" s="124">
        <f t="shared" si="6"/>
        <v>196792.19997438247</v>
      </c>
      <c r="D55" s="123"/>
      <c r="E55" s="122">
        <f t="shared" si="9"/>
        <v>0</v>
      </c>
      <c r="F55" s="122">
        <f t="shared" ref="F55:F86" si="10">-(B55*$F$9)+(D55*$F$9)</f>
        <v>-4322.0274824498056</v>
      </c>
      <c r="G55" s="122">
        <f t="shared" si="7"/>
        <v>-41326.361994620325</v>
      </c>
      <c r="H55" s="121">
        <f t="shared" si="8"/>
        <v>155465.83797976215</v>
      </c>
      <c r="I55" s="120">
        <f t="shared" ref="I55:I86" si="11">(C43+C55+SUM(C44:C54)*2)/24</f>
        <v>101760.34299273789</v>
      </c>
      <c r="J55" s="119">
        <f t="shared" ref="J55:J86" si="12">(E43+E55+SUM(E44:E54)*2)/24</f>
        <v>0</v>
      </c>
      <c r="K55" s="119">
        <f t="shared" ref="K55:K86" si="13">I55+J55</f>
        <v>101760.34299273789</v>
      </c>
      <c r="L55" s="119">
        <f t="shared" ref="L55:L86" si="14">(G43+G55+SUM(G44:G54)*2)/24</f>
        <v>-21369.672028474964</v>
      </c>
      <c r="M55" s="119">
        <f t="shared" ref="M55:M86" si="15">K55+L55</f>
        <v>80390.670964262928</v>
      </c>
      <c r="N55" s="127"/>
      <c r="O55" s="126"/>
      <c r="P55" s="126"/>
      <c r="Q55" s="126"/>
      <c r="R55" s="126"/>
    </row>
    <row r="56" spans="1:18" s="109" customFormat="1" x14ac:dyDescent="0.25">
      <c r="A56" s="125">
        <v>44742</v>
      </c>
      <c r="B56" s="122">
        <f>+'SEF-48 pg.8'!Y49</f>
        <v>21954.991650786586</v>
      </c>
      <c r="C56" s="124">
        <f t="shared" ref="C56:C87" si="16">+B56+C55</f>
        <v>218747.19162516907</v>
      </c>
      <c r="D56" s="123"/>
      <c r="E56" s="122">
        <f t="shared" si="9"/>
        <v>0</v>
      </c>
      <c r="F56" s="122">
        <f t="shared" si="10"/>
        <v>-4610.5482466651829</v>
      </c>
      <c r="G56" s="122">
        <f t="shared" ref="G56:G87" si="17">G55+F56</f>
        <v>-45936.910241285506</v>
      </c>
      <c r="H56" s="121">
        <f t="shared" ref="H56:H87" si="18">C56+E56+G56</f>
        <v>172810.28138388356</v>
      </c>
      <c r="I56" s="120">
        <f t="shared" si="11"/>
        <v>115731.42603549681</v>
      </c>
      <c r="J56" s="119">
        <f t="shared" si="12"/>
        <v>0</v>
      </c>
      <c r="K56" s="119">
        <f t="shared" si="13"/>
        <v>115731.42603549681</v>
      </c>
      <c r="L56" s="119">
        <f t="shared" si="14"/>
        <v>-24303.599467454333</v>
      </c>
      <c r="M56" s="119">
        <f t="shared" si="15"/>
        <v>91427.826568042481</v>
      </c>
      <c r="N56" s="127"/>
      <c r="O56" s="126"/>
      <c r="P56" s="126"/>
      <c r="Q56" s="126"/>
      <c r="R56" s="126"/>
    </row>
    <row r="57" spans="1:18" s="109" customFormat="1" x14ac:dyDescent="0.25">
      <c r="A57" s="125">
        <v>44773</v>
      </c>
      <c r="B57" s="122">
        <f>+'SEF-48 pg.8'!Y50</f>
        <v>23328.90005181219</v>
      </c>
      <c r="C57" s="124">
        <f t="shared" si="16"/>
        <v>242076.09167698125</v>
      </c>
      <c r="D57" s="123"/>
      <c r="E57" s="122">
        <f t="shared" si="9"/>
        <v>0</v>
      </c>
      <c r="F57" s="122">
        <f t="shared" si="10"/>
        <v>-4899.0690108805602</v>
      </c>
      <c r="G57" s="122">
        <f t="shared" si="17"/>
        <v>-50835.979252166064</v>
      </c>
      <c r="H57" s="121">
        <f t="shared" si="18"/>
        <v>191240.11242481519</v>
      </c>
      <c r="I57" s="120">
        <f t="shared" si="11"/>
        <v>130953.26857628953</v>
      </c>
      <c r="J57" s="119">
        <f t="shared" si="12"/>
        <v>0</v>
      </c>
      <c r="K57" s="119">
        <f t="shared" si="13"/>
        <v>130953.26857628953</v>
      </c>
      <c r="L57" s="119">
        <f t="shared" si="14"/>
        <v>-27500.186401020812</v>
      </c>
      <c r="M57" s="119">
        <f t="shared" si="15"/>
        <v>103453.08217526872</v>
      </c>
      <c r="N57" s="127"/>
      <c r="O57" s="126"/>
      <c r="P57" s="126"/>
      <c r="Q57" s="126"/>
      <c r="R57" s="126"/>
    </row>
    <row r="58" spans="1:18" s="109" customFormat="1" x14ac:dyDescent="0.25">
      <c r="A58" s="125">
        <v>44804</v>
      </c>
      <c r="B58" s="122">
        <f>+'SEF-48 pg.8'!Y51</f>
        <v>24702.808452837795</v>
      </c>
      <c r="C58" s="124">
        <f t="shared" si="16"/>
        <v>266778.90012981906</v>
      </c>
      <c r="D58" s="123"/>
      <c r="E58" s="122">
        <f t="shared" si="9"/>
        <v>0</v>
      </c>
      <c r="F58" s="122">
        <f t="shared" si="10"/>
        <v>-5187.5897750959366</v>
      </c>
      <c r="G58" s="122">
        <f t="shared" si="17"/>
        <v>-56023.569027261998</v>
      </c>
      <c r="H58" s="121">
        <f t="shared" si="18"/>
        <v>210755.33110255707</v>
      </c>
      <c r="I58" s="120">
        <f t="shared" si="11"/>
        <v>147476.50147078696</v>
      </c>
      <c r="J58" s="119">
        <f t="shared" si="12"/>
        <v>0</v>
      </c>
      <c r="K58" s="119">
        <f t="shared" si="13"/>
        <v>147476.50147078696</v>
      </c>
      <c r="L58" s="119">
        <f t="shared" si="14"/>
        <v>-30970.065308865265</v>
      </c>
      <c r="M58" s="119">
        <f t="shared" si="15"/>
        <v>116506.43616192169</v>
      </c>
      <c r="N58" s="127"/>
      <c r="O58" s="126"/>
      <c r="P58" s="126"/>
      <c r="Q58" s="126"/>
      <c r="R58" s="126"/>
    </row>
    <row r="59" spans="1:18" s="109" customFormat="1" x14ac:dyDescent="0.25">
      <c r="A59" s="125">
        <v>44834</v>
      </c>
      <c r="B59" s="122">
        <f>+'SEF-48 pg.8'!Y52</f>
        <v>26076.716853863396</v>
      </c>
      <c r="C59" s="124">
        <f t="shared" si="16"/>
        <v>292855.61698368244</v>
      </c>
      <c r="D59" s="123"/>
      <c r="E59" s="122">
        <f t="shared" si="9"/>
        <v>0</v>
      </c>
      <c r="F59" s="122">
        <f t="shared" si="10"/>
        <v>-5476.110539311313</v>
      </c>
      <c r="G59" s="122">
        <f t="shared" si="17"/>
        <v>-61499.679566573308</v>
      </c>
      <c r="H59" s="121">
        <f t="shared" si="18"/>
        <v>231355.93741710915</v>
      </c>
      <c r="I59" s="120">
        <f t="shared" si="11"/>
        <v>165341.04265608356</v>
      </c>
      <c r="J59" s="119">
        <f t="shared" si="12"/>
        <v>0</v>
      </c>
      <c r="K59" s="119">
        <f t="shared" si="13"/>
        <v>165341.04265608356</v>
      </c>
      <c r="L59" s="119">
        <f t="shared" si="14"/>
        <v>-34721.618957777544</v>
      </c>
      <c r="M59" s="119">
        <f t="shared" si="15"/>
        <v>130619.42369830603</v>
      </c>
      <c r="N59" s="127"/>
      <c r="O59" s="126"/>
      <c r="P59" s="126"/>
      <c r="Q59" s="126"/>
      <c r="R59" s="126"/>
    </row>
    <row r="60" spans="1:18" s="109" customFormat="1" x14ac:dyDescent="0.25">
      <c r="A60" s="125">
        <v>44865</v>
      </c>
      <c r="B60" s="122">
        <f>+'SEF-48 pg.8'!Y53</f>
        <v>27450.625254889004</v>
      </c>
      <c r="C60" s="124">
        <f t="shared" si="16"/>
        <v>320306.24223857146</v>
      </c>
      <c r="D60" s="123"/>
      <c r="E60" s="122">
        <f t="shared" si="9"/>
        <v>0</v>
      </c>
      <c r="F60" s="122">
        <f t="shared" si="10"/>
        <v>-5764.6313035266903</v>
      </c>
      <c r="G60" s="122">
        <f t="shared" si="17"/>
        <v>-67264.310870100002</v>
      </c>
      <c r="H60" s="121">
        <f t="shared" si="18"/>
        <v>253041.93136847147</v>
      </c>
      <c r="I60" s="120">
        <f t="shared" si="11"/>
        <v>184564.20748563486</v>
      </c>
      <c r="J60" s="119">
        <f t="shared" si="12"/>
        <v>0</v>
      </c>
      <c r="K60" s="119">
        <f t="shared" si="13"/>
        <v>184564.20748563486</v>
      </c>
      <c r="L60" s="119">
        <f t="shared" si="14"/>
        <v>-38758.483571983328</v>
      </c>
      <c r="M60" s="119">
        <f t="shared" si="15"/>
        <v>145805.72391365154</v>
      </c>
      <c r="N60" s="127"/>
      <c r="O60" s="126"/>
      <c r="P60" s="126"/>
      <c r="Q60" s="126"/>
      <c r="R60" s="126"/>
    </row>
    <row r="61" spans="1:18" s="109" customFormat="1" x14ac:dyDescent="0.25">
      <c r="A61" s="125">
        <v>44895</v>
      </c>
      <c r="B61" s="122">
        <f>+'SEF-48 pg.8'!Y54</f>
        <v>28824.533655914602</v>
      </c>
      <c r="C61" s="124">
        <f t="shared" si="16"/>
        <v>349130.77589448605</v>
      </c>
      <c r="D61" s="123"/>
      <c r="E61" s="122">
        <f t="shared" si="9"/>
        <v>0</v>
      </c>
      <c r="F61" s="122">
        <f t="shared" si="10"/>
        <v>-6053.1520677420658</v>
      </c>
      <c r="G61" s="122">
        <f t="shared" si="17"/>
        <v>-73317.462937842065</v>
      </c>
      <c r="H61" s="121">
        <f t="shared" si="18"/>
        <v>275813.31295664399</v>
      </c>
      <c r="I61" s="120">
        <f t="shared" si="11"/>
        <v>205150.14274728822</v>
      </c>
      <c r="J61" s="119">
        <f t="shared" si="12"/>
        <v>0</v>
      </c>
      <c r="K61" s="119">
        <f t="shared" si="13"/>
        <v>205150.14274728822</v>
      </c>
      <c r="L61" s="119">
        <f t="shared" si="14"/>
        <v>-43081.529976930527</v>
      </c>
      <c r="M61" s="119">
        <f t="shared" si="15"/>
        <v>162068.61277035769</v>
      </c>
      <c r="N61" s="127"/>
      <c r="O61" s="126"/>
      <c r="P61" s="126"/>
      <c r="Q61" s="126"/>
      <c r="R61" s="126"/>
    </row>
    <row r="62" spans="1:18" s="109" customFormat="1" x14ac:dyDescent="0.25">
      <c r="A62" s="125">
        <v>44926</v>
      </c>
      <c r="B62" s="122">
        <f>+'SEF-48 pg.8'!Y55</f>
        <v>30198.442056940206</v>
      </c>
      <c r="C62" s="124">
        <f t="shared" si="16"/>
        <v>379329.21795142628</v>
      </c>
      <c r="D62" s="123"/>
      <c r="E62" s="122">
        <f t="shared" si="9"/>
        <v>0</v>
      </c>
      <c r="F62" s="122">
        <f t="shared" si="10"/>
        <v>-6341.6728319574431</v>
      </c>
      <c r="G62" s="122">
        <f t="shared" si="17"/>
        <v>-79659.135769799512</v>
      </c>
      <c r="H62" s="121">
        <f t="shared" si="18"/>
        <v>299670.08218162676</v>
      </c>
      <c r="I62" s="120">
        <f t="shared" si="11"/>
        <v>227105.13439807482</v>
      </c>
      <c r="J62" s="119">
        <f t="shared" si="12"/>
        <v>0</v>
      </c>
      <c r="K62" s="119">
        <f t="shared" si="13"/>
        <v>227105.13439807482</v>
      </c>
      <c r="L62" s="119">
        <f t="shared" si="14"/>
        <v>-47692.078223595709</v>
      </c>
      <c r="M62" s="119">
        <f t="shared" si="15"/>
        <v>179413.0561744791</v>
      </c>
      <c r="N62" s="127"/>
      <c r="O62" s="126"/>
      <c r="P62" s="126"/>
      <c r="Q62" s="126"/>
      <c r="R62" s="126"/>
    </row>
    <row r="63" spans="1:18" s="109" customFormat="1" x14ac:dyDescent="0.25">
      <c r="A63" s="118">
        <v>44957</v>
      </c>
      <c r="B63" s="114"/>
      <c r="C63" s="117">
        <f t="shared" si="16"/>
        <v>379329.21795142628</v>
      </c>
      <c r="D63" s="116">
        <f t="shared" ref="D63:D110" si="19">+C63/48</f>
        <v>7902.6920406547142</v>
      </c>
      <c r="E63" s="114">
        <f t="shared" si="9"/>
        <v>-7902.6920406547142</v>
      </c>
      <c r="F63" s="114">
        <f t="shared" si="10"/>
        <v>1659.5653285374899</v>
      </c>
      <c r="G63" s="114">
        <f t="shared" si="17"/>
        <v>-77999.570441262025</v>
      </c>
      <c r="H63" s="115">
        <f t="shared" si="18"/>
        <v>293426.95546950953</v>
      </c>
      <c r="I63" s="114">
        <f t="shared" si="11"/>
        <v>249118.51984747173</v>
      </c>
      <c r="J63" s="114">
        <f t="shared" si="12"/>
        <v>-329.27883502727974</v>
      </c>
      <c r="K63" s="114">
        <f t="shared" si="13"/>
        <v>248789.24101244446</v>
      </c>
      <c r="L63" s="114">
        <f t="shared" si="14"/>
        <v>-52245.74061261335</v>
      </c>
      <c r="M63" s="114">
        <f t="shared" si="15"/>
        <v>196543.5003998311</v>
      </c>
      <c r="N63" s="127"/>
      <c r="O63" s="126"/>
      <c r="P63" s="126"/>
      <c r="Q63" s="126"/>
      <c r="R63" s="126"/>
    </row>
    <row r="64" spans="1:18" s="109" customFormat="1" x14ac:dyDescent="0.25">
      <c r="A64" s="118">
        <v>44985</v>
      </c>
      <c r="B64" s="114"/>
      <c r="C64" s="117">
        <f t="shared" si="16"/>
        <v>379329.21795142628</v>
      </c>
      <c r="D64" s="116">
        <f t="shared" si="19"/>
        <v>7902.6920406547142</v>
      </c>
      <c r="E64" s="114">
        <f t="shared" si="9"/>
        <v>-15805.384081309428</v>
      </c>
      <c r="F64" s="114">
        <f t="shared" si="10"/>
        <v>1659.5653285374899</v>
      </c>
      <c r="G64" s="114">
        <f t="shared" si="17"/>
        <v>-76340.005112724539</v>
      </c>
      <c r="H64" s="115">
        <f t="shared" si="18"/>
        <v>287183.8287573923</v>
      </c>
      <c r="I64" s="114">
        <f t="shared" si="11"/>
        <v>269817.53830968775</v>
      </c>
      <c r="J64" s="114">
        <f t="shared" si="12"/>
        <v>-1317.115340109119</v>
      </c>
      <c r="K64" s="114">
        <f t="shared" si="13"/>
        <v>268500.42296957865</v>
      </c>
      <c r="L64" s="114">
        <f t="shared" si="14"/>
        <v>-56385.088823611506</v>
      </c>
      <c r="M64" s="114">
        <f t="shared" si="15"/>
        <v>212115.33414596715</v>
      </c>
      <c r="N64" s="127"/>
      <c r="O64" s="126"/>
      <c r="P64" s="126"/>
      <c r="Q64" s="126"/>
      <c r="R64" s="126"/>
    </row>
    <row r="65" spans="1:18" s="109" customFormat="1" x14ac:dyDescent="0.25">
      <c r="A65" s="118">
        <v>45016</v>
      </c>
      <c r="B65" s="114"/>
      <c r="C65" s="117">
        <f t="shared" si="16"/>
        <v>379329.21795142628</v>
      </c>
      <c r="D65" s="116">
        <f t="shared" si="19"/>
        <v>7902.6920406547142</v>
      </c>
      <c r="E65" s="114">
        <f t="shared" si="9"/>
        <v>-23708.076121964143</v>
      </c>
      <c r="F65" s="114">
        <f t="shared" si="10"/>
        <v>1659.5653285374899</v>
      </c>
      <c r="G65" s="114">
        <f t="shared" si="17"/>
        <v>-74680.439784187052</v>
      </c>
      <c r="H65" s="115">
        <f t="shared" si="18"/>
        <v>280940.70204527507</v>
      </c>
      <c r="I65" s="114">
        <f t="shared" si="11"/>
        <v>289087.69741797069</v>
      </c>
      <c r="J65" s="114">
        <f t="shared" si="12"/>
        <v>-2963.5095152455178</v>
      </c>
      <c r="K65" s="114">
        <f t="shared" si="13"/>
        <v>286124.18790272519</v>
      </c>
      <c r="L65" s="114">
        <f t="shared" si="14"/>
        <v>-60086.079459572276</v>
      </c>
      <c r="M65" s="114">
        <f t="shared" si="15"/>
        <v>226038.10844315292</v>
      </c>
      <c r="N65" s="127"/>
      <c r="O65" s="126"/>
      <c r="P65" s="126"/>
      <c r="Q65" s="126"/>
      <c r="R65" s="126"/>
    </row>
    <row r="66" spans="1:18" s="109" customFormat="1" x14ac:dyDescent="0.25">
      <c r="A66" s="118">
        <v>45046</v>
      </c>
      <c r="B66" s="114"/>
      <c r="C66" s="117">
        <f t="shared" si="16"/>
        <v>379329.21795142628</v>
      </c>
      <c r="D66" s="116">
        <f t="shared" si="19"/>
        <v>7902.6920406547142</v>
      </c>
      <c r="E66" s="114">
        <f t="shared" si="9"/>
        <v>-31610.768162618857</v>
      </c>
      <c r="F66" s="114">
        <f t="shared" si="10"/>
        <v>1659.5653285374899</v>
      </c>
      <c r="G66" s="114">
        <f t="shared" si="17"/>
        <v>-73020.874455649566</v>
      </c>
      <c r="H66" s="115">
        <f t="shared" si="18"/>
        <v>274697.57533315785</v>
      </c>
      <c r="I66" s="114">
        <f t="shared" si="11"/>
        <v>306814.50480556837</v>
      </c>
      <c r="J66" s="114">
        <f t="shared" si="12"/>
        <v>-5268.4613604364758</v>
      </c>
      <c r="K66" s="114">
        <f t="shared" si="13"/>
        <v>301546.04344513192</v>
      </c>
      <c r="L66" s="114">
        <f t="shared" si="14"/>
        <v>-63324.669123477688</v>
      </c>
      <c r="M66" s="114">
        <f t="shared" si="15"/>
        <v>238221.37432165424</v>
      </c>
      <c r="N66" s="127"/>
      <c r="O66" s="126"/>
      <c r="P66" s="126"/>
      <c r="Q66" s="126"/>
      <c r="R66" s="126"/>
    </row>
    <row r="67" spans="1:18" s="109" customFormat="1" x14ac:dyDescent="0.25">
      <c r="A67" s="118">
        <v>45077</v>
      </c>
      <c r="B67" s="114"/>
      <c r="C67" s="117">
        <f t="shared" si="16"/>
        <v>379329.21795142628</v>
      </c>
      <c r="D67" s="116">
        <f t="shared" si="19"/>
        <v>7902.6920406547142</v>
      </c>
      <c r="E67" s="114">
        <f t="shared" si="9"/>
        <v>-39513.460203273571</v>
      </c>
      <c r="F67" s="114">
        <f t="shared" si="10"/>
        <v>1659.5653285374899</v>
      </c>
      <c r="G67" s="114">
        <f t="shared" si="17"/>
        <v>-71361.309127112079</v>
      </c>
      <c r="H67" s="115">
        <f t="shared" si="18"/>
        <v>268454.44862104062</v>
      </c>
      <c r="I67" s="114">
        <f t="shared" si="11"/>
        <v>322883.46810572874</v>
      </c>
      <c r="J67" s="114">
        <f t="shared" si="12"/>
        <v>-8231.9708756819946</v>
      </c>
      <c r="K67" s="114">
        <f t="shared" si="13"/>
        <v>314651.49723004672</v>
      </c>
      <c r="L67" s="114">
        <f t="shared" si="14"/>
        <v>-66076.814418309805</v>
      </c>
      <c r="M67" s="114">
        <f t="shared" si="15"/>
        <v>248574.68281173692</v>
      </c>
      <c r="N67" s="127"/>
      <c r="O67" s="126"/>
      <c r="P67" s="126"/>
      <c r="Q67" s="126"/>
      <c r="R67" s="126"/>
    </row>
    <row r="68" spans="1:18" s="109" customFormat="1" x14ac:dyDescent="0.25">
      <c r="A68" s="118">
        <v>45107</v>
      </c>
      <c r="B68" s="114"/>
      <c r="C68" s="117">
        <f t="shared" si="16"/>
        <v>379329.21795142628</v>
      </c>
      <c r="D68" s="116">
        <f t="shared" si="19"/>
        <v>7902.6920406547142</v>
      </c>
      <c r="E68" s="114">
        <f t="shared" ref="E68:E99" si="20">E67-D68</f>
        <v>-47416.152243928285</v>
      </c>
      <c r="F68" s="114">
        <f t="shared" si="10"/>
        <v>1659.5653285374899</v>
      </c>
      <c r="G68" s="114">
        <f t="shared" si="17"/>
        <v>-69701.743798574593</v>
      </c>
      <c r="H68" s="115">
        <f t="shared" si="18"/>
        <v>262211.32190892339</v>
      </c>
      <c r="I68" s="114">
        <f t="shared" si="11"/>
        <v>337180.09495169966</v>
      </c>
      <c r="J68" s="114">
        <f t="shared" si="12"/>
        <v>-11854.038060982071</v>
      </c>
      <c r="K68" s="114">
        <f t="shared" si="13"/>
        <v>325326.05689071759</v>
      </c>
      <c r="L68" s="114">
        <f t="shared" si="14"/>
        <v>-68318.471947050668</v>
      </c>
      <c r="M68" s="114">
        <f t="shared" si="15"/>
        <v>257007.58494366694</v>
      </c>
      <c r="N68" s="127"/>
      <c r="O68" s="126"/>
      <c r="P68" s="126"/>
      <c r="Q68" s="126"/>
      <c r="R68" s="126"/>
    </row>
    <row r="69" spans="1:18" s="109" customFormat="1" x14ac:dyDescent="0.25">
      <c r="A69" s="118">
        <v>45138</v>
      </c>
      <c r="B69" s="114"/>
      <c r="C69" s="117">
        <f t="shared" si="16"/>
        <v>379329.21795142628</v>
      </c>
      <c r="D69" s="116">
        <f t="shared" si="19"/>
        <v>7902.6920406547142</v>
      </c>
      <c r="E69" s="114">
        <f t="shared" si="20"/>
        <v>-55318.844284583</v>
      </c>
      <c r="F69" s="114">
        <f t="shared" si="10"/>
        <v>1659.5653285374899</v>
      </c>
      <c r="G69" s="114">
        <f t="shared" si="17"/>
        <v>-68042.178470037106</v>
      </c>
      <c r="H69" s="115">
        <f t="shared" si="18"/>
        <v>255968.19519680616</v>
      </c>
      <c r="I69" s="114">
        <f t="shared" si="11"/>
        <v>349589.89297672891</v>
      </c>
      <c r="J69" s="114">
        <f t="shared" si="12"/>
        <v>-16134.662916336709</v>
      </c>
      <c r="K69" s="114">
        <f t="shared" si="13"/>
        <v>333455.23006039218</v>
      </c>
      <c r="L69" s="114">
        <f t="shared" si="14"/>
        <v>-70025.598312682356</v>
      </c>
      <c r="M69" s="114">
        <f t="shared" si="15"/>
        <v>263429.63174770982</v>
      </c>
      <c r="N69" s="127"/>
      <c r="O69" s="126"/>
      <c r="P69" s="126"/>
      <c r="Q69" s="126"/>
      <c r="R69" s="126"/>
    </row>
    <row r="70" spans="1:18" s="109" customFormat="1" x14ac:dyDescent="0.25">
      <c r="A70" s="118">
        <v>45169</v>
      </c>
      <c r="B70" s="114"/>
      <c r="C70" s="117">
        <f t="shared" si="16"/>
        <v>379329.21795142628</v>
      </c>
      <c r="D70" s="116">
        <f t="shared" si="19"/>
        <v>7902.6920406547142</v>
      </c>
      <c r="E70" s="114">
        <f t="shared" si="20"/>
        <v>-63221.536325237714</v>
      </c>
      <c r="F70" s="114">
        <f t="shared" si="10"/>
        <v>1659.5653285374899</v>
      </c>
      <c r="G70" s="114">
        <f t="shared" si="17"/>
        <v>-66382.61314149962</v>
      </c>
      <c r="H70" s="115">
        <f t="shared" si="18"/>
        <v>249725.06848468893</v>
      </c>
      <c r="I70" s="114">
        <f t="shared" si="11"/>
        <v>359998.36981406441</v>
      </c>
      <c r="J70" s="114">
        <f t="shared" si="12"/>
        <v>-21073.845441745903</v>
      </c>
      <c r="K70" s="114">
        <f t="shared" si="13"/>
        <v>338924.52437231853</v>
      </c>
      <c r="L70" s="114">
        <f t="shared" si="14"/>
        <v>-71174.150118186881</v>
      </c>
      <c r="M70" s="114">
        <f t="shared" si="15"/>
        <v>267750.37425413163</v>
      </c>
      <c r="N70" s="127"/>
      <c r="O70" s="126"/>
      <c r="P70" s="126"/>
      <c r="Q70" s="126"/>
      <c r="R70" s="126"/>
    </row>
    <row r="71" spans="1:18" s="109" customFormat="1" x14ac:dyDescent="0.25">
      <c r="A71" s="118">
        <v>45199</v>
      </c>
      <c r="B71" s="114"/>
      <c r="C71" s="117">
        <f t="shared" si="16"/>
        <v>379329.21795142628</v>
      </c>
      <c r="D71" s="116">
        <f t="shared" si="19"/>
        <v>7902.6920406547142</v>
      </c>
      <c r="E71" s="114">
        <f t="shared" si="20"/>
        <v>-71124.228365892428</v>
      </c>
      <c r="F71" s="114">
        <f t="shared" si="10"/>
        <v>1659.5653285374899</v>
      </c>
      <c r="G71" s="114">
        <f t="shared" si="17"/>
        <v>-64723.047812962133</v>
      </c>
      <c r="H71" s="115">
        <f t="shared" si="18"/>
        <v>243481.94177257171</v>
      </c>
      <c r="I71" s="114">
        <f t="shared" si="11"/>
        <v>368291.03309695399</v>
      </c>
      <c r="J71" s="114">
        <f t="shared" si="12"/>
        <v>-26671.58563720966</v>
      </c>
      <c r="K71" s="114">
        <f t="shared" si="13"/>
        <v>341619.44745974435</v>
      </c>
      <c r="L71" s="114">
        <f t="shared" si="14"/>
        <v>-71740.083966546328</v>
      </c>
      <c r="M71" s="114">
        <f t="shared" si="15"/>
        <v>269879.36349319801</v>
      </c>
      <c r="N71" s="127"/>
      <c r="O71" s="126"/>
      <c r="P71" s="126"/>
      <c r="Q71" s="126"/>
      <c r="R71" s="126"/>
    </row>
    <row r="72" spans="1:18" s="109" customFormat="1" x14ac:dyDescent="0.25">
      <c r="A72" s="118">
        <v>45230</v>
      </c>
      <c r="B72" s="114"/>
      <c r="C72" s="117">
        <f t="shared" si="16"/>
        <v>379329.21795142628</v>
      </c>
      <c r="D72" s="116">
        <f t="shared" si="19"/>
        <v>7902.6920406547142</v>
      </c>
      <c r="E72" s="114">
        <f t="shared" si="20"/>
        <v>-79026.920406547142</v>
      </c>
      <c r="F72" s="114">
        <f t="shared" si="10"/>
        <v>1659.5653285374899</v>
      </c>
      <c r="G72" s="114">
        <f t="shared" si="17"/>
        <v>-63063.482484424647</v>
      </c>
      <c r="H72" s="115">
        <f t="shared" si="18"/>
        <v>237238.81506045448</v>
      </c>
      <c r="I72" s="114">
        <f t="shared" si="11"/>
        <v>374353.39045864571</v>
      </c>
      <c r="J72" s="114">
        <f t="shared" si="12"/>
        <v>-32927.883502727978</v>
      </c>
      <c r="K72" s="114">
        <f t="shared" si="13"/>
        <v>341425.50695591775</v>
      </c>
      <c r="L72" s="114">
        <f t="shared" si="14"/>
        <v>-71699.356460742711</v>
      </c>
      <c r="M72" s="114">
        <f t="shared" si="15"/>
        <v>269726.15049517504</v>
      </c>
      <c r="N72" s="127"/>
      <c r="O72" s="126"/>
      <c r="P72" s="126"/>
      <c r="Q72" s="126"/>
      <c r="R72" s="126"/>
    </row>
    <row r="73" spans="1:18" s="109" customFormat="1" x14ac:dyDescent="0.25">
      <c r="A73" s="118">
        <v>45260</v>
      </c>
      <c r="B73" s="114"/>
      <c r="C73" s="117">
        <f t="shared" si="16"/>
        <v>379329.21795142628</v>
      </c>
      <c r="D73" s="116">
        <f t="shared" si="19"/>
        <v>7902.6920406547142</v>
      </c>
      <c r="E73" s="114">
        <f t="shared" si="20"/>
        <v>-86929.612447201856</v>
      </c>
      <c r="F73" s="114">
        <f t="shared" si="10"/>
        <v>1659.5653285374899</v>
      </c>
      <c r="G73" s="114">
        <f t="shared" si="17"/>
        <v>-61403.91715588716</v>
      </c>
      <c r="H73" s="115">
        <f t="shared" si="18"/>
        <v>230995.68834833725</v>
      </c>
      <c r="I73" s="114">
        <f t="shared" si="11"/>
        <v>378070.94953238708</v>
      </c>
      <c r="J73" s="114">
        <f t="shared" si="12"/>
        <v>-39842.739038300853</v>
      </c>
      <c r="K73" s="114">
        <f t="shared" si="13"/>
        <v>338228.2104940862</v>
      </c>
      <c r="L73" s="114">
        <f t="shared" si="14"/>
        <v>-71027.924203758113</v>
      </c>
      <c r="M73" s="114">
        <f t="shared" si="15"/>
        <v>267200.28629032808</v>
      </c>
    </row>
    <row r="74" spans="1:18" s="109" customFormat="1" x14ac:dyDescent="0.25">
      <c r="A74" s="118">
        <v>45291</v>
      </c>
      <c r="B74" s="114"/>
      <c r="C74" s="117">
        <f t="shared" si="16"/>
        <v>379329.21795142628</v>
      </c>
      <c r="D74" s="116">
        <f t="shared" si="19"/>
        <v>7902.6920406547142</v>
      </c>
      <c r="E74" s="114">
        <f t="shared" si="20"/>
        <v>-94832.304487856571</v>
      </c>
      <c r="F74" s="114">
        <f t="shared" si="10"/>
        <v>1659.5653285374899</v>
      </c>
      <c r="G74" s="114">
        <f t="shared" si="17"/>
        <v>-59744.351827349674</v>
      </c>
      <c r="H74" s="115">
        <f t="shared" si="18"/>
        <v>224752.56163622002</v>
      </c>
      <c r="I74" s="114">
        <f t="shared" si="11"/>
        <v>379329.21795142628</v>
      </c>
      <c r="J74" s="114">
        <f t="shared" si="12"/>
        <v>-47416.152243928285</v>
      </c>
      <c r="K74" s="114">
        <f t="shared" si="13"/>
        <v>331913.065707498</v>
      </c>
      <c r="L74" s="114">
        <f t="shared" si="14"/>
        <v>-69701.743798574578</v>
      </c>
      <c r="M74" s="114">
        <f t="shared" si="15"/>
        <v>262211.32190892345</v>
      </c>
    </row>
    <row r="75" spans="1:18" s="109" customFormat="1" x14ac:dyDescent="0.25">
      <c r="A75" s="125">
        <v>45322</v>
      </c>
      <c r="B75" s="122"/>
      <c r="C75" s="124">
        <f t="shared" si="16"/>
        <v>379329.21795142628</v>
      </c>
      <c r="D75" s="123">
        <f t="shared" si="19"/>
        <v>7902.6920406547142</v>
      </c>
      <c r="E75" s="122">
        <f t="shared" si="20"/>
        <v>-102734.99652851128</v>
      </c>
      <c r="F75" s="122">
        <f t="shared" si="10"/>
        <v>1659.5653285374899</v>
      </c>
      <c r="G75" s="122">
        <f t="shared" si="17"/>
        <v>-58084.786498812187</v>
      </c>
      <c r="H75" s="121">
        <f t="shared" si="18"/>
        <v>218509.4349241028</v>
      </c>
      <c r="I75" s="120">
        <f t="shared" si="11"/>
        <v>379329.21795142628</v>
      </c>
      <c r="J75" s="119">
        <f t="shared" si="12"/>
        <v>-55318.844284583</v>
      </c>
      <c r="K75" s="119">
        <f t="shared" si="13"/>
        <v>324010.37366684328</v>
      </c>
      <c r="L75" s="119">
        <f t="shared" si="14"/>
        <v>-68042.178470037092</v>
      </c>
      <c r="M75" s="119">
        <f t="shared" si="15"/>
        <v>255968.19519680619</v>
      </c>
    </row>
    <row r="76" spans="1:18" s="109" customFormat="1" x14ac:dyDescent="0.25">
      <c r="A76" s="125">
        <v>45351</v>
      </c>
      <c r="B76" s="122"/>
      <c r="C76" s="124">
        <f t="shared" si="16"/>
        <v>379329.21795142628</v>
      </c>
      <c r="D76" s="123">
        <f t="shared" si="19"/>
        <v>7902.6920406547142</v>
      </c>
      <c r="E76" s="122">
        <f t="shared" si="20"/>
        <v>-110637.688569166</v>
      </c>
      <c r="F76" s="122">
        <f t="shared" si="10"/>
        <v>1659.5653285374899</v>
      </c>
      <c r="G76" s="122">
        <f t="shared" si="17"/>
        <v>-56425.221170274701</v>
      </c>
      <c r="H76" s="121">
        <f t="shared" si="18"/>
        <v>212266.30821198557</v>
      </c>
      <c r="I76" s="120">
        <f t="shared" si="11"/>
        <v>379329.21795142628</v>
      </c>
      <c r="J76" s="119">
        <f t="shared" si="12"/>
        <v>-63221.536325237714</v>
      </c>
      <c r="K76" s="119">
        <f t="shared" si="13"/>
        <v>316107.68162618857</v>
      </c>
      <c r="L76" s="119">
        <f t="shared" si="14"/>
        <v>-66382.613141499605</v>
      </c>
      <c r="M76" s="119">
        <f t="shared" si="15"/>
        <v>249725.06848468896</v>
      </c>
    </row>
    <row r="77" spans="1:18" s="109" customFormat="1" x14ac:dyDescent="0.25">
      <c r="A77" s="125">
        <v>45382</v>
      </c>
      <c r="B77" s="122"/>
      <c r="C77" s="124">
        <f t="shared" si="16"/>
        <v>379329.21795142628</v>
      </c>
      <c r="D77" s="123">
        <f t="shared" si="19"/>
        <v>7902.6920406547142</v>
      </c>
      <c r="E77" s="122">
        <f t="shared" si="20"/>
        <v>-118540.38060982071</v>
      </c>
      <c r="F77" s="122">
        <f t="shared" si="10"/>
        <v>1659.5653285374899</v>
      </c>
      <c r="G77" s="122">
        <f t="shared" si="17"/>
        <v>-54765.655841737214</v>
      </c>
      <c r="H77" s="121">
        <f t="shared" si="18"/>
        <v>206023.18149986834</v>
      </c>
      <c r="I77" s="120">
        <f t="shared" si="11"/>
        <v>379329.21795142628</v>
      </c>
      <c r="J77" s="119">
        <f t="shared" si="12"/>
        <v>-71124.228365892428</v>
      </c>
      <c r="K77" s="119">
        <f t="shared" si="13"/>
        <v>308204.98958553385</v>
      </c>
      <c r="L77" s="119">
        <f t="shared" si="14"/>
        <v>-64723.047812962119</v>
      </c>
      <c r="M77" s="119">
        <f t="shared" si="15"/>
        <v>243481.94177257174</v>
      </c>
    </row>
    <row r="78" spans="1:18" s="109" customFormat="1" x14ac:dyDescent="0.25">
      <c r="A78" s="125">
        <v>45412</v>
      </c>
      <c r="B78" s="122"/>
      <c r="C78" s="124">
        <f t="shared" si="16"/>
        <v>379329.21795142628</v>
      </c>
      <c r="D78" s="123">
        <f t="shared" si="19"/>
        <v>7902.6920406547142</v>
      </c>
      <c r="E78" s="122">
        <f t="shared" si="20"/>
        <v>-126443.07265047543</v>
      </c>
      <c r="F78" s="122">
        <f t="shared" si="10"/>
        <v>1659.5653285374899</v>
      </c>
      <c r="G78" s="122">
        <f t="shared" si="17"/>
        <v>-53106.090513199728</v>
      </c>
      <c r="H78" s="121">
        <f t="shared" si="18"/>
        <v>199780.05478775111</v>
      </c>
      <c r="I78" s="120">
        <f t="shared" si="11"/>
        <v>379329.21795142628</v>
      </c>
      <c r="J78" s="119">
        <f t="shared" si="12"/>
        <v>-79026.920406547142</v>
      </c>
      <c r="K78" s="119">
        <f t="shared" si="13"/>
        <v>300302.29754487914</v>
      </c>
      <c r="L78" s="119">
        <f t="shared" si="14"/>
        <v>-63063.482484424632</v>
      </c>
      <c r="M78" s="119">
        <f t="shared" si="15"/>
        <v>237238.81506045451</v>
      </c>
    </row>
    <row r="79" spans="1:18" s="109" customFormat="1" x14ac:dyDescent="0.25">
      <c r="A79" s="125">
        <v>45443</v>
      </c>
      <c r="B79" s="122"/>
      <c r="C79" s="124">
        <f t="shared" si="16"/>
        <v>379329.21795142628</v>
      </c>
      <c r="D79" s="123">
        <f t="shared" si="19"/>
        <v>7902.6920406547142</v>
      </c>
      <c r="E79" s="122">
        <f t="shared" si="20"/>
        <v>-134345.76469113014</v>
      </c>
      <c r="F79" s="122">
        <f t="shared" si="10"/>
        <v>1659.5653285374899</v>
      </c>
      <c r="G79" s="122">
        <f t="shared" si="17"/>
        <v>-51446.525184662241</v>
      </c>
      <c r="H79" s="121">
        <f t="shared" si="18"/>
        <v>193536.92807563388</v>
      </c>
      <c r="I79" s="120">
        <f t="shared" si="11"/>
        <v>379329.21795142628</v>
      </c>
      <c r="J79" s="119">
        <f t="shared" si="12"/>
        <v>-86929.612447201856</v>
      </c>
      <c r="K79" s="119">
        <f t="shared" si="13"/>
        <v>292399.60550422443</v>
      </c>
      <c r="L79" s="119">
        <f t="shared" si="14"/>
        <v>-61403.917155887153</v>
      </c>
      <c r="M79" s="119">
        <f t="shared" si="15"/>
        <v>230995.68834833728</v>
      </c>
    </row>
    <row r="80" spans="1:18" s="109" customFormat="1" x14ac:dyDescent="0.25">
      <c r="A80" s="125">
        <v>45473</v>
      </c>
      <c r="B80" s="122"/>
      <c r="C80" s="124">
        <f t="shared" si="16"/>
        <v>379329.21795142628</v>
      </c>
      <c r="D80" s="123">
        <f t="shared" si="19"/>
        <v>7902.6920406547142</v>
      </c>
      <c r="E80" s="122">
        <f t="shared" si="20"/>
        <v>-142248.45673178486</v>
      </c>
      <c r="F80" s="122">
        <f t="shared" si="10"/>
        <v>1659.5653285374899</v>
      </c>
      <c r="G80" s="122">
        <f t="shared" si="17"/>
        <v>-49786.959856124755</v>
      </c>
      <c r="H80" s="121">
        <f t="shared" si="18"/>
        <v>187293.80136351666</v>
      </c>
      <c r="I80" s="120">
        <f t="shared" si="11"/>
        <v>379329.21795142628</v>
      </c>
      <c r="J80" s="119">
        <f t="shared" si="12"/>
        <v>-94832.304487856571</v>
      </c>
      <c r="K80" s="119">
        <f t="shared" si="13"/>
        <v>284496.91346356971</v>
      </c>
      <c r="L80" s="119">
        <f t="shared" si="14"/>
        <v>-59744.351827349667</v>
      </c>
      <c r="M80" s="119">
        <f t="shared" si="15"/>
        <v>224752.56163622005</v>
      </c>
    </row>
    <row r="81" spans="1:13" s="109" customFormat="1" x14ac:dyDescent="0.25">
      <c r="A81" s="125">
        <v>45504</v>
      </c>
      <c r="B81" s="122"/>
      <c r="C81" s="124">
        <f t="shared" si="16"/>
        <v>379329.21795142628</v>
      </c>
      <c r="D81" s="123">
        <f t="shared" si="19"/>
        <v>7902.6920406547142</v>
      </c>
      <c r="E81" s="122">
        <f t="shared" si="20"/>
        <v>-150151.14877243957</v>
      </c>
      <c r="F81" s="122">
        <f t="shared" si="10"/>
        <v>1659.5653285374899</v>
      </c>
      <c r="G81" s="122">
        <f t="shared" si="17"/>
        <v>-48127.394527587268</v>
      </c>
      <c r="H81" s="121">
        <f t="shared" si="18"/>
        <v>181050.67465139943</v>
      </c>
      <c r="I81" s="120">
        <f t="shared" si="11"/>
        <v>379329.21795142628</v>
      </c>
      <c r="J81" s="119">
        <f t="shared" si="12"/>
        <v>-102734.99652851128</v>
      </c>
      <c r="K81" s="119">
        <f t="shared" si="13"/>
        <v>276594.221422915</v>
      </c>
      <c r="L81" s="119">
        <f t="shared" si="14"/>
        <v>-58084.78649881218</v>
      </c>
      <c r="M81" s="119">
        <f t="shared" si="15"/>
        <v>218509.43492410282</v>
      </c>
    </row>
    <row r="82" spans="1:13" s="109" customFormat="1" x14ac:dyDescent="0.25">
      <c r="A82" s="125">
        <v>45535</v>
      </c>
      <c r="B82" s="122"/>
      <c r="C82" s="124">
        <f t="shared" si="16"/>
        <v>379329.21795142628</v>
      </c>
      <c r="D82" s="123">
        <f t="shared" si="19"/>
        <v>7902.6920406547142</v>
      </c>
      <c r="E82" s="122">
        <f t="shared" si="20"/>
        <v>-158053.84081309428</v>
      </c>
      <c r="F82" s="122">
        <f t="shared" si="10"/>
        <v>1659.5653285374899</v>
      </c>
      <c r="G82" s="122">
        <f t="shared" si="17"/>
        <v>-46467.829199049782</v>
      </c>
      <c r="H82" s="121">
        <f t="shared" si="18"/>
        <v>174807.5479392822</v>
      </c>
      <c r="I82" s="120">
        <f t="shared" si="11"/>
        <v>379329.21795142628</v>
      </c>
      <c r="J82" s="119">
        <f t="shared" si="12"/>
        <v>-110637.68856916598</v>
      </c>
      <c r="K82" s="119">
        <f t="shared" si="13"/>
        <v>268691.52938226028</v>
      </c>
      <c r="L82" s="119">
        <f t="shared" si="14"/>
        <v>-56425.221170274694</v>
      </c>
      <c r="M82" s="119">
        <f t="shared" si="15"/>
        <v>212266.3082119856</v>
      </c>
    </row>
    <row r="83" spans="1:13" s="109" customFormat="1" x14ac:dyDescent="0.25">
      <c r="A83" s="125">
        <v>45565</v>
      </c>
      <c r="B83" s="122"/>
      <c r="C83" s="124">
        <f t="shared" si="16"/>
        <v>379329.21795142628</v>
      </c>
      <c r="D83" s="123">
        <f t="shared" si="19"/>
        <v>7902.6920406547142</v>
      </c>
      <c r="E83" s="122">
        <f t="shared" si="20"/>
        <v>-165956.532853749</v>
      </c>
      <c r="F83" s="122">
        <f t="shared" si="10"/>
        <v>1659.5653285374899</v>
      </c>
      <c r="G83" s="122">
        <f t="shared" si="17"/>
        <v>-44808.263870512295</v>
      </c>
      <c r="H83" s="121">
        <f t="shared" si="18"/>
        <v>168564.42122716497</v>
      </c>
      <c r="I83" s="120">
        <f t="shared" si="11"/>
        <v>379329.21795142628</v>
      </c>
      <c r="J83" s="119">
        <f t="shared" si="12"/>
        <v>-118540.38060982071</v>
      </c>
      <c r="K83" s="119">
        <f t="shared" si="13"/>
        <v>260788.83734160557</v>
      </c>
      <c r="L83" s="119">
        <f t="shared" si="14"/>
        <v>-54765.655841737207</v>
      </c>
      <c r="M83" s="119">
        <f t="shared" si="15"/>
        <v>206023.18149986837</v>
      </c>
    </row>
    <row r="84" spans="1:13" s="109" customFormat="1" x14ac:dyDescent="0.25">
      <c r="A84" s="125">
        <v>45596</v>
      </c>
      <c r="B84" s="122"/>
      <c r="C84" s="124">
        <f t="shared" si="16"/>
        <v>379329.21795142628</v>
      </c>
      <c r="D84" s="123">
        <f t="shared" si="19"/>
        <v>7902.6920406547142</v>
      </c>
      <c r="E84" s="122">
        <f t="shared" si="20"/>
        <v>-173859.22489440371</v>
      </c>
      <c r="F84" s="122">
        <f t="shared" si="10"/>
        <v>1659.5653285374899</v>
      </c>
      <c r="G84" s="122">
        <f t="shared" si="17"/>
        <v>-43148.698541974809</v>
      </c>
      <c r="H84" s="121">
        <f t="shared" si="18"/>
        <v>162321.29451504775</v>
      </c>
      <c r="I84" s="120">
        <f t="shared" si="11"/>
        <v>379329.21795142628</v>
      </c>
      <c r="J84" s="119">
        <f t="shared" si="12"/>
        <v>-126443.07265047543</v>
      </c>
      <c r="K84" s="119">
        <f t="shared" si="13"/>
        <v>252886.14530095086</v>
      </c>
      <c r="L84" s="119">
        <f t="shared" si="14"/>
        <v>-53106.090513199721</v>
      </c>
      <c r="M84" s="119">
        <f t="shared" si="15"/>
        <v>199780.05478775114</v>
      </c>
    </row>
    <row r="85" spans="1:13" s="109" customFormat="1" x14ac:dyDescent="0.25">
      <c r="A85" s="125">
        <v>45626</v>
      </c>
      <c r="B85" s="122"/>
      <c r="C85" s="124">
        <f t="shared" si="16"/>
        <v>379329.21795142628</v>
      </c>
      <c r="D85" s="123">
        <f t="shared" si="19"/>
        <v>7902.6920406547142</v>
      </c>
      <c r="E85" s="122">
        <f t="shared" si="20"/>
        <v>-181761.91693505843</v>
      </c>
      <c r="F85" s="122">
        <f t="shared" si="10"/>
        <v>1659.5653285374899</v>
      </c>
      <c r="G85" s="122">
        <f t="shared" si="17"/>
        <v>-41489.133213437322</v>
      </c>
      <c r="H85" s="121">
        <f t="shared" si="18"/>
        <v>156078.16780293052</v>
      </c>
      <c r="I85" s="120">
        <f t="shared" si="11"/>
        <v>379329.21795142628</v>
      </c>
      <c r="J85" s="119">
        <f t="shared" si="12"/>
        <v>-134345.76469113014</v>
      </c>
      <c r="K85" s="119">
        <f t="shared" si="13"/>
        <v>244983.45326029614</v>
      </c>
      <c r="L85" s="119">
        <f t="shared" si="14"/>
        <v>-51446.525184662249</v>
      </c>
      <c r="M85" s="119">
        <f t="shared" si="15"/>
        <v>193536.92807563388</v>
      </c>
    </row>
    <row r="86" spans="1:13" s="109" customFormat="1" x14ac:dyDescent="0.25">
      <c r="A86" s="125">
        <v>45657</v>
      </c>
      <c r="B86" s="122"/>
      <c r="C86" s="124">
        <f t="shared" si="16"/>
        <v>379329.21795142628</v>
      </c>
      <c r="D86" s="123">
        <f t="shared" si="19"/>
        <v>7902.6920406547142</v>
      </c>
      <c r="E86" s="122">
        <f t="shared" si="20"/>
        <v>-189664.60897571314</v>
      </c>
      <c r="F86" s="122">
        <f t="shared" si="10"/>
        <v>1659.5653285374899</v>
      </c>
      <c r="G86" s="122">
        <f t="shared" si="17"/>
        <v>-39829.567884899836</v>
      </c>
      <c r="H86" s="121">
        <f t="shared" si="18"/>
        <v>149835.04109081329</v>
      </c>
      <c r="I86" s="120">
        <f t="shared" si="11"/>
        <v>379329.21795142628</v>
      </c>
      <c r="J86" s="119">
        <f t="shared" si="12"/>
        <v>-142248.45673178489</v>
      </c>
      <c r="K86" s="119">
        <f t="shared" si="13"/>
        <v>237080.7612196414</v>
      </c>
      <c r="L86" s="119">
        <f t="shared" si="14"/>
        <v>-49786.959856124762</v>
      </c>
      <c r="M86" s="119">
        <f t="shared" si="15"/>
        <v>187293.80136351663</v>
      </c>
    </row>
    <row r="87" spans="1:13" s="109" customFormat="1" x14ac:dyDescent="0.25">
      <c r="A87" s="118">
        <v>45688</v>
      </c>
      <c r="B87" s="114"/>
      <c r="C87" s="117">
        <f t="shared" si="16"/>
        <v>379329.21795142628</v>
      </c>
      <c r="D87" s="116">
        <f t="shared" si="19"/>
        <v>7902.6920406547142</v>
      </c>
      <c r="E87" s="114">
        <f t="shared" si="20"/>
        <v>-197567.30101636786</v>
      </c>
      <c r="F87" s="114">
        <f t="shared" ref="F87:F122" si="21">-(B87*$F$9)+(D87*$F$9)</f>
        <v>1659.5653285374899</v>
      </c>
      <c r="G87" s="114">
        <f t="shared" si="17"/>
        <v>-38170.002556362349</v>
      </c>
      <c r="H87" s="115">
        <f t="shared" si="18"/>
        <v>143591.91437869606</v>
      </c>
      <c r="I87" s="114">
        <f t="shared" ref="I87:I118" si="22">(C75+C87+SUM(C76:C86)*2)/24</f>
        <v>379329.21795142628</v>
      </c>
      <c r="J87" s="114">
        <f t="shared" ref="J87:J118" si="23">(E75+E87+SUM(E76:E86)*2)/24</f>
        <v>-150151.14877243957</v>
      </c>
      <c r="K87" s="114">
        <f t="shared" ref="K87:K118" si="24">I87+J87</f>
        <v>229178.06917898671</v>
      </c>
      <c r="L87" s="114">
        <f t="shared" ref="L87:L118" si="25">(G75+G87+SUM(G76:G86)*2)/24</f>
        <v>-48127.394527587276</v>
      </c>
      <c r="M87" s="114">
        <f t="shared" ref="M87:M118" si="26">K87+L87</f>
        <v>181050.67465139943</v>
      </c>
    </row>
    <row r="88" spans="1:13" s="109" customFormat="1" x14ac:dyDescent="0.25">
      <c r="A88" s="118">
        <v>45716</v>
      </c>
      <c r="B88" s="114"/>
      <c r="C88" s="117">
        <f t="shared" ref="C88:C119" si="27">+B88+C87</f>
        <v>379329.21795142628</v>
      </c>
      <c r="D88" s="116">
        <f t="shared" si="19"/>
        <v>7902.6920406547142</v>
      </c>
      <c r="E88" s="114">
        <f t="shared" si="20"/>
        <v>-205469.99305702257</v>
      </c>
      <c r="F88" s="114">
        <f t="shared" si="21"/>
        <v>1659.5653285374899</v>
      </c>
      <c r="G88" s="114">
        <f t="shared" ref="G88:G119" si="28">G87+F88</f>
        <v>-36510.437227824863</v>
      </c>
      <c r="H88" s="115">
        <f t="shared" ref="H88:H119" si="29">C88+E88+G88</f>
        <v>137348.78766657884</v>
      </c>
      <c r="I88" s="114">
        <f t="shared" si="22"/>
        <v>379329.21795142628</v>
      </c>
      <c r="J88" s="114">
        <f t="shared" si="23"/>
        <v>-158053.84081309428</v>
      </c>
      <c r="K88" s="114">
        <f t="shared" si="24"/>
        <v>221275.377138332</v>
      </c>
      <c r="L88" s="114">
        <f t="shared" si="25"/>
        <v>-46467.829199049789</v>
      </c>
      <c r="M88" s="114">
        <f t="shared" si="26"/>
        <v>174807.5479392822</v>
      </c>
    </row>
    <row r="89" spans="1:13" s="109" customFormat="1" x14ac:dyDescent="0.25">
      <c r="A89" s="118">
        <v>45747</v>
      </c>
      <c r="B89" s="114"/>
      <c r="C89" s="117">
        <f t="shared" si="27"/>
        <v>379329.21795142628</v>
      </c>
      <c r="D89" s="116">
        <f t="shared" si="19"/>
        <v>7902.6920406547142</v>
      </c>
      <c r="E89" s="114">
        <f t="shared" si="20"/>
        <v>-213372.68509767728</v>
      </c>
      <c r="F89" s="114">
        <f t="shared" si="21"/>
        <v>1659.5653285374899</v>
      </c>
      <c r="G89" s="114">
        <f t="shared" si="28"/>
        <v>-34850.871899287376</v>
      </c>
      <c r="H89" s="115">
        <f t="shared" si="29"/>
        <v>131105.66095446161</v>
      </c>
      <c r="I89" s="114">
        <f t="shared" si="22"/>
        <v>379329.21795142628</v>
      </c>
      <c r="J89" s="114">
        <f t="shared" si="23"/>
        <v>-165956.532853749</v>
      </c>
      <c r="K89" s="114">
        <f t="shared" si="24"/>
        <v>213372.68509767728</v>
      </c>
      <c r="L89" s="114">
        <f t="shared" si="25"/>
        <v>-44808.263870512303</v>
      </c>
      <c r="M89" s="114">
        <f t="shared" si="26"/>
        <v>168564.42122716497</v>
      </c>
    </row>
    <row r="90" spans="1:13" s="109" customFormat="1" x14ac:dyDescent="0.25">
      <c r="A90" s="118">
        <v>45777</v>
      </c>
      <c r="B90" s="114"/>
      <c r="C90" s="117">
        <f t="shared" si="27"/>
        <v>379329.21795142628</v>
      </c>
      <c r="D90" s="116">
        <f t="shared" si="19"/>
        <v>7902.6920406547142</v>
      </c>
      <c r="E90" s="114">
        <f t="shared" si="20"/>
        <v>-221275.377138332</v>
      </c>
      <c r="F90" s="114">
        <f t="shared" si="21"/>
        <v>1659.5653285374899</v>
      </c>
      <c r="G90" s="114">
        <f t="shared" si="28"/>
        <v>-33191.30657074989</v>
      </c>
      <c r="H90" s="115">
        <f t="shared" si="29"/>
        <v>124862.53424234439</v>
      </c>
      <c r="I90" s="114">
        <f t="shared" si="22"/>
        <v>379329.21795142628</v>
      </c>
      <c r="J90" s="114">
        <f t="shared" si="23"/>
        <v>-173859.22489440374</v>
      </c>
      <c r="K90" s="114">
        <f t="shared" si="24"/>
        <v>205469.99305702254</v>
      </c>
      <c r="L90" s="114">
        <f t="shared" si="25"/>
        <v>-43148.698541974816</v>
      </c>
      <c r="M90" s="114">
        <f t="shared" si="26"/>
        <v>162321.29451504772</v>
      </c>
    </row>
    <row r="91" spans="1:13" s="109" customFormat="1" x14ac:dyDescent="0.25">
      <c r="A91" s="118">
        <v>45808</v>
      </c>
      <c r="B91" s="114"/>
      <c r="C91" s="117">
        <f t="shared" si="27"/>
        <v>379329.21795142628</v>
      </c>
      <c r="D91" s="116">
        <f t="shared" si="19"/>
        <v>7902.6920406547142</v>
      </c>
      <c r="E91" s="114">
        <f t="shared" si="20"/>
        <v>-229178.06917898671</v>
      </c>
      <c r="F91" s="114">
        <f t="shared" si="21"/>
        <v>1659.5653285374899</v>
      </c>
      <c r="G91" s="114">
        <f t="shared" si="28"/>
        <v>-31531.7412422124</v>
      </c>
      <c r="H91" s="115">
        <f t="shared" si="29"/>
        <v>118619.40753022717</v>
      </c>
      <c r="I91" s="114">
        <f t="shared" si="22"/>
        <v>379329.21795142628</v>
      </c>
      <c r="J91" s="114">
        <f t="shared" si="23"/>
        <v>-181761.91693505843</v>
      </c>
      <c r="K91" s="114">
        <f t="shared" si="24"/>
        <v>197567.30101636786</v>
      </c>
      <c r="L91" s="114">
        <f t="shared" si="25"/>
        <v>-41489.13321343733</v>
      </c>
      <c r="M91" s="114">
        <f t="shared" si="26"/>
        <v>156078.16780293052</v>
      </c>
    </row>
    <row r="92" spans="1:13" s="109" customFormat="1" x14ac:dyDescent="0.25">
      <c r="A92" s="118">
        <v>45838</v>
      </c>
      <c r="B92" s="114"/>
      <c r="C92" s="117">
        <f t="shared" si="27"/>
        <v>379329.21795142628</v>
      </c>
      <c r="D92" s="116">
        <f t="shared" si="19"/>
        <v>7902.6920406547142</v>
      </c>
      <c r="E92" s="114">
        <f t="shared" si="20"/>
        <v>-237080.76121964143</v>
      </c>
      <c r="F92" s="114">
        <f t="shared" si="21"/>
        <v>1659.5653285374899</v>
      </c>
      <c r="G92" s="114">
        <f t="shared" si="28"/>
        <v>-29872.17591367491</v>
      </c>
      <c r="H92" s="115">
        <f t="shared" si="29"/>
        <v>112376.28081810995</v>
      </c>
      <c r="I92" s="114">
        <f t="shared" si="22"/>
        <v>379329.21795142628</v>
      </c>
      <c r="J92" s="114">
        <f t="shared" si="23"/>
        <v>-189664.60897571314</v>
      </c>
      <c r="K92" s="114">
        <f t="shared" si="24"/>
        <v>189664.60897571314</v>
      </c>
      <c r="L92" s="114">
        <f t="shared" si="25"/>
        <v>-39829.567884899843</v>
      </c>
      <c r="M92" s="114">
        <f t="shared" si="26"/>
        <v>149835.04109081329</v>
      </c>
    </row>
    <row r="93" spans="1:13" s="109" customFormat="1" x14ac:dyDescent="0.25">
      <c r="A93" s="118">
        <v>45869</v>
      </c>
      <c r="B93" s="114"/>
      <c r="C93" s="117">
        <f t="shared" si="27"/>
        <v>379329.21795142628</v>
      </c>
      <c r="D93" s="116">
        <f t="shared" si="19"/>
        <v>7902.6920406547142</v>
      </c>
      <c r="E93" s="114">
        <f t="shared" si="20"/>
        <v>-244983.45326029614</v>
      </c>
      <c r="F93" s="114">
        <f t="shared" si="21"/>
        <v>1659.5653285374899</v>
      </c>
      <c r="G93" s="114">
        <f t="shared" si="28"/>
        <v>-28212.61058513742</v>
      </c>
      <c r="H93" s="115">
        <f t="shared" si="29"/>
        <v>106133.15410599273</v>
      </c>
      <c r="I93" s="114">
        <f t="shared" si="22"/>
        <v>379329.21795142628</v>
      </c>
      <c r="J93" s="114">
        <f t="shared" si="23"/>
        <v>-197567.30101636788</v>
      </c>
      <c r="K93" s="114">
        <f t="shared" si="24"/>
        <v>181761.9169350584</v>
      </c>
      <c r="L93" s="114">
        <f t="shared" si="25"/>
        <v>-38170.002556362357</v>
      </c>
      <c r="M93" s="114">
        <f t="shared" si="26"/>
        <v>143591.91437869603</v>
      </c>
    </row>
    <row r="94" spans="1:13" s="109" customFormat="1" x14ac:dyDescent="0.25">
      <c r="A94" s="118">
        <v>45900</v>
      </c>
      <c r="B94" s="114"/>
      <c r="C94" s="117">
        <f t="shared" si="27"/>
        <v>379329.21795142628</v>
      </c>
      <c r="D94" s="116">
        <f t="shared" si="19"/>
        <v>7902.6920406547142</v>
      </c>
      <c r="E94" s="114">
        <f t="shared" si="20"/>
        <v>-252886.14530095086</v>
      </c>
      <c r="F94" s="114">
        <f t="shared" si="21"/>
        <v>1659.5653285374899</v>
      </c>
      <c r="G94" s="114">
        <f t="shared" si="28"/>
        <v>-26553.045256599929</v>
      </c>
      <c r="H94" s="115">
        <f t="shared" si="29"/>
        <v>99890.027393875498</v>
      </c>
      <c r="I94" s="114">
        <f t="shared" si="22"/>
        <v>379329.21795142628</v>
      </c>
      <c r="J94" s="114">
        <f t="shared" si="23"/>
        <v>-205469.99305702257</v>
      </c>
      <c r="K94" s="114">
        <f t="shared" si="24"/>
        <v>173859.22489440371</v>
      </c>
      <c r="L94" s="114">
        <f t="shared" si="25"/>
        <v>-36510.43722782487</v>
      </c>
      <c r="M94" s="114">
        <f t="shared" si="26"/>
        <v>137348.78766657884</v>
      </c>
    </row>
    <row r="95" spans="1:13" s="109" customFormat="1" x14ac:dyDescent="0.25">
      <c r="A95" s="118">
        <v>45930</v>
      </c>
      <c r="B95" s="114"/>
      <c r="C95" s="117">
        <f t="shared" si="27"/>
        <v>379329.21795142628</v>
      </c>
      <c r="D95" s="116">
        <f t="shared" si="19"/>
        <v>7902.6920406547142</v>
      </c>
      <c r="E95" s="114">
        <f t="shared" si="20"/>
        <v>-260788.83734160557</v>
      </c>
      <c r="F95" s="114">
        <f t="shared" si="21"/>
        <v>1659.5653285374899</v>
      </c>
      <c r="G95" s="114">
        <f t="shared" si="28"/>
        <v>-24893.479928062439</v>
      </c>
      <c r="H95" s="115">
        <f t="shared" si="29"/>
        <v>93646.90068175827</v>
      </c>
      <c r="I95" s="114">
        <f t="shared" si="22"/>
        <v>379329.21795142628</v>
      </c>
      <c r="J95" s="114">
        <f t="shared" si="23"/>
        <v>-213372.68509767728</v>
      </c>
      <c r="K95" s="114">
        <f t="shared" si="24"/>
        <v>165956.532853749</v>
      </c>
      <c r="L95" s="114">
        <f t="shared" si="25"/>
        <v>-34850.871899287384</v>
      </c>
      <c r="M95" s="114">
        <f t="shared" si="26"/>
        <v>131105.66095446161</v>
      </c>
    </row>
    <row r="96" spans="1:13" s="109" customFormat="1" x14ac:dyDescent="0.25">
      <c r="A96" s="118">
        <v>45961</v>
      </c>
      <c r="B96" s="114"/>
      <c r="C96" s="117">
        <f t="shared" si="27"/>
        <v>379329.21795142628</v>
      </c>
      <c r="D96" s="116">
        <f t="shared" si="19"/>
        <v>7902.6920406547142</v>
      </c>
      <c r="E96" s="114">
        <f t="shared" si="20"/>
        <v>-268691.52938226028</v>
      </c>
      <c r="F96" s="114">
        <f t="shared" si="21"/>
        <v>1659.5653285374899</v>
      </c>
      <c r="G96" s="114">
        <f t="shared" si="28"/>
        <v>-23233.914599524949</v>
      </c>
      <c r="H96" s="115">
        <f t="shared" si="29"/>
        <v>87403.773969641043</v>
      </c>
      <c r="I96" s="114">
        <f t="shared" si="22"/>
        <v>379329.21795142628</v>
      </c>
      <c r="J96" s="114">
        <f t="shared" si="23"/>
        <v>-221275.37713833203</v>
      </c>
      <c r="K96" s="114">
        <f t="shared" si="24"/>
        <v>158053.84081309426</v>
      </c>
      <c r="L96" s="114">
        <f t="shared" si="25"/>
        <v>-33191.306570749883</v>
      </c>
      <c r="M96" s="114">
        <f t="shared" si="26"/>
        <v>124862.53424234438</v>
      </c>
    </row>
    <row r="97" spans="1:13" s="109" customFormat="1" x14ac:dyDescent="0.25">
      <c r="A97" s="118">
        <v>45991</v>
      </c>
      <c r="B97" s="114"/>
      <c r="C97" s="117">
        <f t="shared" si="27"/>
        <v>379329.21795142628</v>
      </c>
      <c r="D97" s="116">
        <f t="shared" si="19"/>
        <v>7902.6920406547142</v>
      </c>
      <c r="E97" s="114">
        <f t="shared" si="20"/>
        <v>-276594.221422915</v>
      </c>
      <c r="F97" s="114">
        <f t="shared" si="21"/>
        <v>1659.5653285374899</v>
      </c>
      <c r="G97" s="114">
        <f t="shared" si="28"/>
        <v>-21574.349270987459</v>
      </c>
      <c r="H97" s="115">
        <f t="shared" si="29"/>
        <v>81160.647257523829</v>
      </c>
      <c r="I97" s="114">
        <f t="shared" si="22"/>
        <v>379329.21795142628</v>
      </c>
      <c r="J97" s="114">
        <f t="shared" si="23"/>
        <v>-229178.06917898671</v>
      </c>
      <c r="K97" s="114">
        <f t="shared" si="24"/>
        <v>150151.14877243957</v>
      </c>
      <c r="L97" s="114">
        <f t="shared" si="25"/>
        <v>-31531.741242212389</v>
      </c>
      <c r="M97" s="114">
        <f t="shared" si="26"/>
        <v>118619.40753022718</v>
      </c>
    </row>
    <row r="98" spans="1:13" s="109" customFormat="1" x14ac:dyDescent="0.25">
      <c r="A98" s="118">
        <v>46022</v>
      </c>
      <c r="B98" s="114"/>
      <c r="C98" s="117">
        <f t="shared" si="27"/>
        <v>379329.21795142628</v>
      </c>
      <c r="D98" s="116">
        <f t="shared" si="19"/>
        <v>7902.6920406547142</v>
      </c>
      <c r="E98" s="114">
        <f t="shared" si="20"/>
        <v>-284496.91346356971</v>
      </c>
      <c r="F98" s="114">
        <f t="shared" si="21"/>
        <v>1659.5653285374899</v>
      </c>
      <c r="G98" s="114">
        <f t="shared" si="28"/>
        <v>-19914.783942449969</v>
      </c>
      <c r="H98" s="115">
        <f t="shared" si="29"/>
        <v>74917.520545406602</v>
      </c>
      <c r="I98" s="114">
        <f t="shared" si="22"/>
        <v>379329.21795142628</v>
      </c>
      <c r="J98" s="114">
        <f t="shared" si="23"/>
        <v>-237080.76121964143</v>
      </c>
      <c r="K98" s="114">
        <f t="shared" si="24"/>
        <v>142248.45673178486</v>
      </c>
      <c r="L98" s="114">
        <f t="shared" si="25"/>
        <v>-29872.175913674902</v>
      </c>
      <c r="M98" s="114">
        <f t="shared" si="26"/>
        <v>112376.28081810995</v>
      </c>
    </row>
    <row r="99" spans="1:13" s="109" customFormat="1" x14ac:dyDescent="0.25">
      <c r="A99" s="125">
        <v>46053</v>
      </c>
      <c r="B99" s="122"/>
      <c r="C99" s="124">
        <f t="shared" si="27"/>
        <v>379329.21795142628</v>
      </c>
      <c r="D99" s="123">
        <f t="shared" si="19"/>
        <v>7902.6920406547142</v>
      </c>
      <c r="E99" s="122">
        <f t="shared" si="20"/>
        <v>-292399.60550422443</v>
      </c>
      <c r="F99" s="122">
        <f t="shared" si="21"/>
        <v>1659.5653285374899</v>
      </c>
      <c r="G99" s="122">
        <f t="shared" si="28"/>
        <v>-18255.218613912479</v>
      </c>
      <c r="H99" s="121">
        <f t="shared" si="29"/>
        <v>68674.393833289374</v>
      </c>
      <c r="I99" s="120">
        <f t="shared" si="22"/>
        <v>379329.21795142628</v>
      </c>
      <c r="J99" s="119">
        <f t="shared" si="23"/>
        <v>-244983.45326029611</v>
      </c>
      <c r="K99" s="119">
        <f t="shared" si="24"/>
        <v>134345.76469113017</v>
      </c>
      <c r="L99" s="119">
        <f t="shared" si="25"/>
        <v>-28212.610585137416</v>
      </c>
      <c r="M99" s="119">
        <f t="shared" si="26"/>
        <v>106133.15410599275</v>
      </c>
    </row>
    <row r="100" spans="1:13" s="109" customFormat="1" x14ac:dyDescent="0.25">
      <c r="A100" s="125">
        <v>46081</v>
      </c>
      <c r="B100" s="122"/>
      <c r="C100" s="124">
        <f t="shared" si="27"/>
        <v>379329.21795142628</v>
      </c>
      <c r="D100" s="123">
        <f t="shared" si="19"/>
        <v>7902.6920406547142</v>
      </c>
      <c r="E100" s="122">
        <f t="shared" ref="E100:E131" si="30">E99-D100</f>
        <v>-300302.29754487914</v>
      </c>
      <c r="F100" s="122">
        <f t="shared" si="21"/>
        <v>1659.5653285374899</v>
      </c>
      <c r="G100" s="122">
        <f t="shared" si="28"/>
        <v>-16595.653285374989</v>
      </c>
      <c r="H100" s="121">
        <f t="shared" si="29"/>
        <v>62431.267121172154</v>
      </c>
      <c r="I100" s="120">
        <f t="shared" si="22"/>
        <v>379329.21795142628</v>
      </c>
      <c r="J100" s="119">
        <f t="shared" si="23"/>
        <v>-252886.14530095088</v>
      </c>
      <c r="K100" s="119">
        <f t="shared" si="24"/>
        <v>126443.0726504754</v>
      </c>
      <c r="L100" s="119">
        <f t="shared" si="25"/>
        <v>-26553.045256599929</v>
      </c>
      <c r="M100" s="119">
        <f t="shared" si="26"/>
        <v>99890.027393875469</v>
      </c>
    </row>
    <row r="101" spans="1:13" x14ac:dyDescent="0.25">
      <c r="A101" s="125">
        <v>46112</v>
      </c>
      <c r="B101" s="122"/>
      <c r="C101" s="124">
        <f t="shared" si="27"/>
        <v>379329.21795142628</v>
      </c>
      <c r="D101" s="123">
        <f t="shared" si="19"/>
        <v>7902.6920406547142</v>
      </c>
      <c r="E101" s="122">
        <f t="shared" si="30"/>
        <v>-308204.98958553385</v>
      </c>
      <c r="F101" s="122">
        <f t="shared" si="21"/>
        <v>1659.5653285374899</v>
      </c>
      <c r="G101" s="122">
        <f t="shared" si="28"/>
        <v>-14936.087956837498</v>
      </c>
      <c r="H101" s="121">
        <f t="shared" si="29"/>
        <v>56188.140409054933</v>
      </c>
      <c r="I101" s="120">
        <f t="shared" si="22"/>
        <v>379329.21795142628</v>
      </c>
      <c r="J101" s="119">
        <f t="shared" si="23"/>
        <v>-260788.8373416056</v>
      </c>
      <c r="K101" s="119">
        <f t="shared" si="24"/>
        <v>118540.38060982068</v>
      </c>
      <c r="L101" s="119">
        <f t="shared" si="25"/>
        <v>-24893.479928062439</v>
      </c>
      <c r="M101" s="119">
        <f t="shared" si="26"/>
        <v>93646.900681758241</v>
      </c>
    </row>
    <row r="102" spans="1:13" x14ac:dyDescent="0.25">
      <c r="A102" s="125">
        <v>46142</v>
      </c>
      <c r="B102" s="122"/>
      <c r="C102" s="124">
        <f t="shared" si="27"/>
        <v>379329.21795142628</v>
      </c>
      <c r="D102" s="123">
        <f t="shared" si="19"/>
        <v>7902.6920406547142</v>
      </c>
      <c r="E102" s="122">
        <f t="shared" si="30"/>
        <v>-316107.68162618857</v>
      </c>
      <c r="F102" s="122">
        <f t="shared" si="21"/>
        <v>1659.5653285374899</v>
      </c>
      <c r="G102" s="122">
        <f t="shared" si="28"/>
        <v>-13276.522628300008</v>
      </c>
      <c r="H102" s="121">
        <f t="shared" si="29"/>
        <v>49945.013696937705</v>
      </c>
      <c r="I102" s="120">
        <f t="shared" si="22"/>
        <v>379329.21795142628</v>
      </c>
      <c r="J102" s="119">
        <f t="shared" si="23"/>
        <v>-268691.52938226028</v>
      </c>
      <c r="K102" s="119">
        <f t="shared" si="24"/>
        <v>110637.688569166</v>
      </c>
      <c r="L102" s="119">
        <f t="shared" si="25"/>
        <v>-23233.914599524946</v>
      </c>
      <c r="M102" s="119">
        <f t="shared" si="26"/>
        <v>87403.773969641057</v>
      </c>
    </row>
    <row r="103" spans="1:13" x14ac:dyDescent="0.25">
      <c r="A103" s="125">
        <v>46173</v>
      </c>
      <c r="B103" s="122"/>
      <c r="C103" s="124">
        <f t="shared" si="27"/>
        <v>379329.21795142628</v>
      </c>
      <c r="D103" s="123">
        <f t="shared" si="19"/>
        <v>7902.6920406547142</v>
      </c>
      <c r="E103" s="122">
        <f t="shared" si="30"/>
        <v>-324010.37366684328</v>
      </c>
      <c r="F103" s="122">
        <f t="shared" si="21"/>
        <v>1659.5653285374899</v>
      </c>
      <c r="G103" s="122">
        <f t="shared" si="28"/>
        <v>-11616.957299762518</v>
      </c>
      <c r="H103" s="121">
        <f t="shared" si="29"/>
        <v>43701.886984820478</v>
      </c>
      <c r="I103" s="120">
        <f t="shared" si="22"/>
        <v>379329.21795142628</v>
      </c>
      <c r="J103" s="119">
        <f t="shared" si="23"/>
        <v>-276594.221422915</v>
      </c>
      <c r="K103" s="119">
        <f t="shared" si="24"/>
        <v>102734.99652851128</v>
      </c>
      <c r="L103" s="119">
        <f t="shared" si="25"/>
        <v>-21574.349270987459</v>
      </c>
      <c r="M103" s="119">
        <f t="shared" si="26"/>
        <v>81160.647257523829</v>
      </c>
    </row>
    <row r="104" spans="1:13" x14ac:dyDescent="0.25">
      <c r="A104" s="125">
        <v>46203</v>
      </c>
      <c r="B104" s="122"/>
      <c r="C104" s="124">
        <f t="shared" si="27"/>
        <v>379329.21795142628</v>
      </c>
      <c r="D104" s="123">
        <f t="shared" si="19"/>
        <v>7902.6920406547142</v>
      </c>
      <c r="E104" s="122">
        <f t="shared" si="30"/>
        <v>-331913.065707498</v>
      </c>
      <c r="F104" s="122">
        <f t="shared" si="21"/>
        <v>1659.5653285374899</v>
      </c>
      <c r="G104" s="122">
        <f t="shared" si="28"/>
        <v>-9957.3919712250281</v>
      </c>
      <c r="H104" s="121">
        <f t="shared" si="29"/>
        <v>37458.760272703257</v>
      </c>
      <c r="I104" s="120">
        <f t="shared" si="22"/>
        <v>379329.21795142628</v>
      </c>
      <c r="J104" s="119">
        <f t="shared" si="23"/>
        <v>-284496.91346356977</v>
      </c>
      <c r="K104" s="119">
        <f t="shared" si="24"/>
        <v>94832.304487856512</v>
      </c>
      <c r="L104" s="119">
        <f t="shared" si="25"/>
        <v>-19914.783942449969</v>
      </c>
      <c r="M104" s="119">
        <f t="shared" si="26"/>
        <v>74917.520545406544</v>
      </c>
    </row>
    <row r="105" spans="1:13" x14ac:dyDescent="0.25">
      <c r="A105" s="125">
        <v>46234</v>
      </c>
      <c r="B105" s="122"/>
      <c r="C105" s="124">
        <f t="shared" si="27"/>
        <v>379329.21795142628</v>
      </c>
      <c r="D105" s="123">
        <f t="shared" si="19"/>
        <v>7902.6920406547142</v>
      </c>
      <c r="E105" s="122">
        <f t="shared" si="30"/>
        <v>-339815.75774815271</v>
      </c>
      <c r="F105" s="122">
        <f t="shared" si="21"/>
        <v>1659.5653285374899</v>
      </c>
      <c r="G105" s="122">
        <f t="shared" si="28"/>
        <v>-8297.826642687538</v>
      </c>
      <c r="H105" s="121">
        <f t="shared" si="29"/>
        <v>31215.633560586033</v>
      </c>
      <c r="I105" s="120">
        <f t="shared" si="22"/>
        <v>379329.21795142628</v>
      </c>
      <c r="J105" s="119">
        <f t="shared" si="23"/>
        <v>-292399.60550422443</v>
      </c>
      <c r="K105" s="119">
        <f t="shared" si="24"/>
        <v>86929.612447201856</v>
      </c>
      <c r="L105" s="119">
        <f t="shared" si="25"/>
        <v>-18255.218613912479</v>
      </c>
      <c r="M105" s="119">
        <f t="shared" si="26"/>
        <v>68674.393833289374</v>
      </c>
    </row>
    <row r="106" spans="1:13" x14ac:dyDescent="0.25">
      <c r="A106" s="125">
        <v>46265</v>
      </c>
      <c r="B106" s="122"/>
      <c r="C106" s="124">
        <f t="shared" si="27"/>
        <v>379329.21795142628</v>
      </c>
      <c r="D106" s="123">
        <f t="shared" si="19"/>
        <v>7902.6920406547142</v>
      </c>
      <c r="E106" s="122">
        <f t="shared" si="30"/>
        <v>-347718.44978880743</v>
      </c>
      <c r="F106" s="122">
        <f t="shared" si="21"/>
        <v>1659.5653285374899</v>
      </c>
      <c r="G106" s="122">
        <f t="shared" si="28"/>
        <v>-6638.2613141500478</v>
      </c>
      <c r="H106" s="121">
        <f t="shared" si="29"/>
        <v>24972.506848468809</v>
      </c>
      <c r="I106" s="120">
        <f t="shared" si="22"/>
        <v>379329.21795142628</v>
      </c>
      <c r="J106" s="119">
        <f t="shared" si="23"/>
        <v>-300302.29754487914</v>
      </c>
      <c r="K106" s="119">
        <f t="shared" si="24"/>
        <v>79026.920406547142</v>
      </c>
      <c r="L106" s="119">
        <f t="shared" si="25"/>
        <v>-16595.653285374989</v>
      </c>
      <c r="M106" s="119">
        <f t="shared" si="26"/>
        <v>62431.267121172154</v>
      </c>
    </row>
    <row r="107" spans="1:13" x14ac:dyDescent="0.25">
      <c r="A107" s="125">
        <v>46295</v>
      </c>
      <c r="B107" s="122"/>
      <c r="C107" s="124">
        <f t="shared" si="27"/>
        <v>379329.21795142628</v>
      </c>
      <c r="D107" s="123">
        <f t="shared" si="19"/>
        <v>7902.6920406547142</v>
      </c>
      <c r="E107" s="122">
        <f t="shared" si="30"/>
        <v>-355621.14182946214</v>
      </c>
      <c r="F107" s="122">
        <f t="shared" si="21"/>
        <v>1659.5653285374899</v>
      </c>
      <c r="G107" s="122">
        <f t="shared" si="28"/>
        <v>-4978.6959856125577</v>
      </c>
      <c r="H107" s="121">
        <f t="shared" si="29"/>
        <v>18729.380136351585</v>
      </c>
      <c r="I107" s="120">
        <f t="shared" si="22"/>
        <v>379329.21795142628</v>
      </c>
      <c r="J107" s="119">
        <f t="shared" si="23"/>
        <v>-308204.9895855338</v>
      </c>
      <c r="K107" s="119">
        <f t="shared" si="24"/>
        <v>71124.228365892486</v>
      </c>
      <c r="L107" s="119">
        <f t="shared" si="25"/>
        <v>-14936.0879568375</v>
      </c>
      <c r="M107" s="119">
        <f t="shared" si="26"/>
        <v>56188.140409054984</v>
      </c>
    </row>
    <row r="108" spans="1:13" x14ac:dyDescent="0.25">
      <c r="A108" s="125">
        <v>46326</v>
      </c>
      <c r="B108" s="122"/>
      <c r="C108" s="124">
        <f t="shared" si="27"/>
        <v>379329.21795142628</v>
      </c>
      <c r="D108" s="123">
        <f t="shared" si="19"/>
        <v>7902.6920406547142</v>
      </c>
      <c r="E108" s="122">
        <f t="shared" si="30"/>
        <v>-363523.83387011685</v>
      </c>
      <c r="F108" s="122">
        <f t="shared" si="21"/>
        <v>1659.5653285374899</v>
      </c>
      <c r="G108" s="122">
        <f t="shared" si="28"/>
        <v>-3319.1306570750676</v>
      </c>
      <c r="H108" s="121">
        <f t="shared" si="29"/>
        <v>12486.253424234361</v>
      </c>
      <c r="I108" s="120">
        <f t="shared" si="22"/>
        <v>379329.21795142628</v>
      </c>
      <c r="J108" s="119">
        <f t="shared" si="23"/>
        <v>-316107.68162618863</v>
      </c>
      <c r="K108" s="119">
        <f t="shared" si="24"/>
        <v>63221.536325237656</v>
      </c>
      <c r="L108" s="119">
        <f t="shared" si="25"/>
        <v>-13276.52262830001</v>
      </c>
      <c r="M108" s="119">
        <f t="shared" si="26"/>
        <v>49945.013696937647</v>
      </c>
    </row>
    <row r="109" spans="1:13" x14ac:dyDescent="0.25">
      <c r="A109" s="125">
        <v>46356</v>
      </c>
      <c r="B109" s="122"/>
      <c r="C109" s="124">
        <f t="shared" si="27"/>
        <v>379329.21795142628</v>
      </c>
      <c r="D109" s="123">
        <f t="shared" si="19"/>
        <v>7902.6920406547142</v>
      </c>
      <c r="E109" s="122">
        <f t="shared" si="30"/>
        <v>-371426.52591077157</v>
      </c>
      <c r="F109" s="122">
        <f t="shared" si="21"/>
        <v>1659.5653285374899</v>
      </c>
      <c r="G109" s="122">
        <f t="shared" si="28"/>
        <v>-1659.5653285375777</v>
      </c>
      <c r="H109" s="121">
        <f t="shared" si="29"/>
        <v>6243.1267121171368</v>
      </c>
      <c r="I109" s="120">
        <f t="shared" si="22"/>
        <v>379329.21795142628</v>
      </c>
      <c r="J109" s="119">
        <f t="shared" si="23"/>
        <v>-324010.37366684334</v>
      </c>
      <c r="K109" s="119">
        <f t="shared" si="24"/>
        <v>55318.844284582941</v>
      </c>
      <c r="L109" s="119">
        <f t="shared" si="25"/>
        <v>-11616.95729976252</v>
      </c>
      <c r="M109" s="119">
        <f t="shared" si="26"/>
        <v>43701.886984820419</v>
      </c>
    </row>
    <row r="110" spans="1:13" x14ac:dyDescent="0.25">
      <c r="A110" s="125">
        <v>46387</v>
      </c>
      <c r="B110" s="122"/>
      <c r="C110" s="124">
        <f t="shared" si="27"/>
        <v>379329.21795142628</v>
      </c>
      <c r="D110" s="123">
        <f t="shared" si="19"/>
        <v>7902.6920406547142</v>
      </c>
      <c r="E110" s="122">
        <f t="shared" si="30"/>
        <v>-379329.21795142628</v>
      </c>
      <c r="F110" s="122">
        <f t="shared" si="21"/>
        <v>1659.5653285374899</v>
      </c>
      <c r="G110" s="122">
        <f t="shared" si="28"/>
        <v>-8.7766238721087575E-11</v>
      </c>
      <c r="H110" s="121">
        <f t="shared" si="29"/>
        <v>-8.7766238721087575E-11</v>
      </c>
      <c r="I110" s="120">
        <f t="shared" si="22"/>
        <v>379329.21795142628</v>
      </c>
      <c r="J110" s="119">
        <f t="shared" si="23"/>
        <v>-331913.065707498</v>
      </c>
      <c r="K110" s="119">
        <f t="shared" si="24"/>
        <v>47416.152243928285</v>
      </c>
      <c r="L110" s="119">
        <f t="shared" si="25"/>
        <v>-9957.3919712250281</v>
      </c>
      <c r="M110" s="119">
        <f t="shared" si="26"/>
        <v>37458.760272703257</v>
      </c>
    </row>
    <row r="111" spans="1:13" x14ac:dyDescent="0.25">
      <c r="A111" s="118">
        <v>46418</v>
      </c>
      <c r="B111" s="114"/>
      <c r="C111" s="117">
        <f t="shared" si="27"/>
        <v>379329.21795142628</v>
      </c>
      <c r="D111" s="116"/>
      <c r="E111" s="114">
        <f t="shared" si="30"/>
        <v>-379329.21795142628</v>
      </c>
      <c r="F111" s="114">
        <f t="shared" si="21"/>
        <v>0</v>
      </c>
      <c r="G111" s="114">
        <f t="shared" si="28"/>
        <v>-8.7766238721087575E-11</v>
      </c>
      <c r="H111" s="115">
        <f t="shared" si="29"/>
        <v>-8.7766238721087575E-11</v>
      </c>
      <c r="I111" s="114">
        <f t="shared" si="22"/>
        <v>379329.21795142628</v>
      </c>
      <c r="J111" s="114">
        <f t="shared" si="23"/>
        <v>-339486.47891312541</v>
      </c>
      <c r="K111" s="114">
        <f t="shared" si="24"/>
        <v>39842.739038300875</v>
      </c>
      <c r="L111" s="114">
        <f t="shared" si="25"/>
        <v>-8366.9751980432666</v>
      </c>
      <c r="M111" s="114">
        <f t="shared" si="26"/>
        <v>31475.763840257609</v>
      </c>
    </row>
    <row r="112" spans="1:13" x14ac:dyDescent="0.25">
      <c r="A112" s="118">
        <v>46446</v>
      </c>
      <c r="B112" s="114"/>
      <c r="C112" s="117">
        <f t="shared" si="27"/>
        <v>379329.21795142628</v>
      </c>
      <c r="D112" s="116"/>
      <c r="E112" s="114">
        <f t="shared" si="30"/>
        <v>-379329.21795142628</v>
      </c>
      <c r="F112" s="114">
        <f t="shared" si="21"/>
        <v>0</v>
      </c>
      <c r="G112" s="114">
        <f t="shared" si="28"/>
        <v>-8.7766238721087575E-11</v>
      </c>
      <c r="H112" s="115">
        <f t="shared" si="29"/>
        <v>-8.7766238721087575E-11</v>
      </c>
      <c r="I112" s="114">
        <f t="shared" si="22"/>
        <v>379329.21795142628</v>
      </c>
      <c r="J112" s="114">
        <f t="shared" si="23"/>
        <v>-346401.33444869833</v>
      </c>
      <c r="K112" s="114">
        <f t="shared" si="24"/>
        <v>32927.883502727957</v>
      </c>
      <c r="L112" s="114">
        <f t="shared" si="25"/>
        <v>-6914.8555355729632</v>
      </c>
      <c r="M112" s="114">
        <f t="shared" si="26"/>
        <v>26013.027967154994</v>
      </c>
    </row>
    <row r="113" spans="1:13" x14ac:dyDescent="0.25">
      <c r="A113" s="118">
        <v>46477</v>
      </c>
      <c r="B113" s="114"/>
      <c r="C113" s="117">
        <f t="shared" si="27"/>
        <v>379329.21795142628</v>
      </c>
      <c r="D113" s="116"/>
      <c r="E113" s="114">
        <f t="shared" si="30"/>
        <v>-379329.21795142628</v>
      </c>
      <c r="F113" s="114">
        <f t="shared" si="21"/>
        <v>0</v>
      </c>
      <c r="G113" s="114">
        <f t="shared" si="28"/>
        <v>-8.7766238721087575E-11</v>
      </c>
      <c r="H113" s="115">
        <f t="shared" si="29"/>
        <v>-8.7766238721087575E-11</v>
      </c>
      <c r="I113" s="114">
        <f t="shared" si="22"/>
        <v>379329.21795142628</v>
      </c>
      <c r="J113" s="114">
        <f t="shared" si="23"/>
        <v>-352657.63231421658</v>
      </c>
      <c r="K113" s="114">
        <f t="shared" si="24"/>
        <v>26671.585637209704</v>
      </c>
      <c r="L113" s="114">
        <f t="shared" si="25"/>
        <v>-5601.0329838141161</v>
      </c>
      <c r="M113" s="114">
        <f t="shared" si="26"/>
        <v>21070.552653395589</v>
      </c>
    </row>
    <row r="114" spans="1:13" x14ac:dyDescent="0.25">
      <c r="A114" s="118">
        <v>46507</v>
      </c>
      <c r="B114" s="114"/>
      <c r="C114" s="117">
        <f t="shared" si="27"/>
        <v>379329.21795142628</v>
      </c>
      <c r="D114" s="116"/>
      <c r="E114" s="114">
        <f t="shared" si="30"/>
        <v>-379329.21795142628</v>
      </c>
      <c r="F114" s="114">
        <f t="shared" si="21"/>
        <v>0</v>
      </c>
      <c r="G114" s="114">
        <f t="shared" si="28"/>
        <v>-8.7766238721087575E-11</v>
      </c>
      <c r="H114" s="115">
        <f t="shared" si="29"/>
        <v>-8.7766238721087575E-11</v>
      </c>
      <c r="I114" s="114">
        <f t="shared" si="22"/>
        <v>379329.21795142628</v>
      </c>
      <c r="J114" s="114">
        <f t="shared" si="23"/>
        <v>-358255.3725096804</v>
      </c>
      <c r="K114" s="114">
        <f t="shared" si="24"/>
        <v>21073.845441745885</v>
      </c>
      <c r="L114" s="114">
        <f t="shared" si="25"/>
        <v>-4425.507542766728</v>
      </c>
      <c r="M114" s="114">
        <f t="shared" si="26"/>
        <v>16648.337898979156</v>
      </c>
    </row>
    <row r="115" spans="1:13" x14ac:dyDescent="0.25">
      <c r="A115" s="118">
        <v>46538</v>
      </c>
      <c r="B115" s="114"/>
      <c r="C115" s="117">
        <f t="shared" si="27"/>
        <v>379329.21795142628</v>
      </c>
      <c r="D115" s="116"/>
      <c r="E115" s="114">
        <f t="shared" si="30"/>
        <v>-379329.21795142628</v>
      </c>
      <c r="F115" s="114">
        <f t="shared" si="21"/>
        <v>0</v>
      </c>
      <c r="G115" s="114">
        <f t="shared" si="28"/>
        <v>-8.7766238721087575E-11</v>
      </c>
      <c r="H115" s="115">
        <f t="shared" si="29"/>
        <v>-8.7766238721087575E-11</v>
      </c>
      <c r="I115" s="114">
        <f t="shared" si="22"/>
        <v>379329.21795142628</v>
      </c>
      <c r="J115" s="114">
        <f t="shared" si="23"/>
        <v>-363194.55503508955</v>
      </c>
      <c r="K115" s="114">
        <f t="shared" si="24"/>
        <v>16134.662916336732</v>
      </c>
      <c r="L115" s="114">
        <f t="shared" si="25"/>
        <v>-3388.2792124307966</v>
      </c>
      <c r="M115" s="114">
        <f t="shared" si="26"/>
        <v>12746.383703905936</v>
      </c>
    </row>
    <row r="116" spans="1:13" x14ac:dyDescent="0.25">
      <c r="A116" s="118">
        <v>46568</v>
      </c>
      <c r="B116" s="114"/>
      <c r="C116" s="117">
        <f t="shared" si="27"/>
        <v>379329.21795142628</v>
      </c>
      <c r="D116" s="116"/>
      <c r="E116" s="114">
        <f t="shared" si="30"/>
        <v>-379329.21795142628</v>
      </c>
      <c r="F116" s="114">
        <f t="shared" si="21"/>
        <v>0</v>
      </c>
      <c r="G116" s="114">
        <f t="shared" si="28"/>
        <v>-8.7766238721087575E-11</v>
      </c>
      <c r="H116" s="115">
        <f t="shared" si="29"/>
        <v>-8.7766238721087575E-11</v>
      </c>
      <c r="I116" s="114">
        <f t="shared" si="22"/>
        <v>379329.21795142628</v>
      </c>
      <c r="J116" s="114">
        <f t="shared" si="23"/>
        <v>-367475.17989044421</v>
      </c>
      <c r="K116" s="114">
        <f t="shared" si="24"/>
        <v>11854.038060982071</v>
      </c>
      <c r="L116" s="114">
        <f t="shared" si="25"/>
        <v>-2489.3479928063225</v>
      </c>
      <c r="M116" s="114">
        <f t="shared" si="26"/>
        <v>9364.6900681757488</v>
      </c>
    </row>
    <row r="117" spans="1:13" x14ac:dyDescent="0.25">
      <c r="A117" s="118">
        <v>46599</v>
      </c>
      <c r="B117" s="114"/>
      <c r="C117" s="117">
        <f t="shared" si="27"/>
        <v>379329.21795142628</v>
      </c>
      <c r="D117" s="116"/>
      <c r="E117" s="114">
        <f t="shared" si="30"/>
        <v>-379329.21795142628</v>
      </c>
      <c r="F117" s="114">
        <f t="shared" si="21"/>
        <v>0</v>
      </c>
      <c r="G117" s="114">
        <f t="shared" si="28"/>
        <v>-8.7766238721087575E-11</v>
      </c>
      <c r="H117" s="115">
        <f t="shared" si="29"/>
        <v>-8.7766238721087575E-11</v>
      </c>
      <c r="I117" s="114">
        <f t="shared" si="22"/>
        <v>379329.21795142628</v>
      </c>
      <c r="J117" s="114">
        <f t="shared" si="23"/>
        <v>-371097.24707574426</v>
      </c>
      <c r="K117" s="114">
        <f t="shared" si="24"/>
        <v>8231.9708756820182</v>
      </c>
      <c r="L117" s="114">
        <f t="shared" si="25"/>
        <v>-1728.713883893306</v>
      </c>
      <c r="M117" s="114">
        <f t="shared" si="26"/>
        <v>6503.2569917887122</v>
      </c>
    </row>
    <row r="118" spans="1:13" x14ac:dyDescent="0.25">
      <c r="A118" s="118">
        <v>46630</v>
      </c>
      <c r="B118" s="114"/>
      <c r="C118" s="117">
        <f t="shared" si="27"/>
        <v>379329.21795142628</v>
      </c>
      <c r="D118" s="116"/>
      <c r="E118" s="114">
        <f t="shared" si="30"/>
        <v>-379329.21795142628</v>
      </c>
      <c r="F118" s="114">
        <f t="shared" si="21"/>
        <v>0</v>
      </c>
      <c r="G118" s="114">
        <f t="shared" si="28"/>
        <v>-8.7766238721087575E-11</v>
      </c>
      <c r="H118" s="115">
        <f t="shared" si="29"/>
        <v>-8.7766238721087575E-11</v>
      </c>
      <c r="I118" s="114">
        <f t="shared" si="22"/>
        <v>379329.21795142628</v>
      </c>
      <c r="J118" s="114">
        <f t="shared" si="23"/>
        <v>-374060.75659098983</v>
      </c>
      <c r="K118" s="114">
        <f t="shared" si="24"/>
        <v>5268.4613604364567</v>
      </c>
      <c r="L118" s="114">
        <f t="shared" si="25"/>
        <v>-1106.3768856917475</v>
      </c>
      <c r="M118" s="114">
        <f t="shared" si="26"/>
        <v>4162.084474744709</v>
      </c>
    </row>
    <row r="119" spans="1:13" x14ac:dyDescent="0.25">
      <c r="A119" s="118">
        <v>46660</v>
      </c>
      <c r="B119" s="114"/>
      <c r="C119" s="117">
        <f t="shared" si="27"/>
        <v>379329.21795142628</v>
      </c>
      <c r="D119" s="116"/>
      <c r="E119" s="114">
        <f t="shared" si="30"/>
        <v>-379329.21795142628</v>
      </c>
      <c r="F119" s="114">
        <f t="shared" si="21"/>
        <v>0</v>
      </c>
      <c r="G119" s="114">
        <f t="shared" si="28"/>
        <v>-8.7766238721087575E-11</v>
      </c>
      <c r="H119" s="115">
        <f t="shared" si="29"/>
        <v>-8.7766238721087575E-11</v>
      </c>
      <c r="I119" s="114">
        <f t="shared" ref="I119:I150" si="31">(C107+C119+SUM(C108:C118)*2)/24</f>
        <v>379329.21795142628</v>
      </c>
      <c r="J119" s="114">
        <f t="shared" ref="J119:J150" si="32">(E107+E119+SUM(E108:E118)*2)/24</f>
        <v>-376365.70843618078</v>
      </c>
      <c r="K119" s="114">
        <f t="shared" ref="K119:K150" si="33">I119+J119</f>
        <v>2963.5095152455033</v>
      </c>
      <c r="L119" s="114">
        <f t="shared" ref="L119:L150" si="34">(G107+G119+SUM(G108:G118)*2)/24</f>
        <v>-622.33699820164611</v>
      </c>
      <c r="M119" s="114">
        <f t="shared" ref="M119:M150" si="35">K119+L119</f>
        <v>2341.1725170438572</v>
      </c>
    </row>
    <row r="120" spans="1:13" x14ac:dyDescent="0.25">
      <c r="A120" s="118">
        <v>46691</v>
      </c>
      <c r="B120" s="114"/>
      <c r="C120" s="117">
        <f t="shared" ref="C120:C151" si="36">+B120+C119</f>
        <v>379329.21795142628</v>
      </c>
      <c r="D120" s="116"/>
      <c r="E120" s="114">
        <f t="shared" si="30"/>
        <v>-379329.21795142628</v>
      </c>
      <c r="F120" s="114">
        <f t="shared" si="21"/>
        <v>0</v>
      </c>
      <c r="G120" s="114">
        <f t="shared" ref="G120:G151" si="37">G119+F120</f>
        <v>-8.7766238721087575E-11</v>
      </c>
      <c r="H120" s="115">
        <f t="shared" ref="H120:H151" si="38">C120+E120+G120</f>
        <v>-8.7766238721087575E-11</v>
      </c>
      <c r="I120" s="114">
        <f t="shared" si="31"/>
        <v>379329.21795142628</v>
      </c>
      <c r="J120" s="114">
        <f t="shared" si="32"/>
        <v>-378012.10261131712</v>
      </c>
      <c r="K120" s="114">
        <f t="shared" si="33"/>
        <v>1317.1153401091578</v>
      </c>
      <c r="L120" s="114">
        <f t="shared" si="34"/>
        <v>-276.59422142300275</v>
      </c>
      <c r="M120" s="114">
        <f t="shared" si="35"/>
        <v>1040.5211186861552</v>
      </c>
    </row>
    <row r="121" spans="1:13" x14ac:dyDescent="0.25">
      <c r="A121" s="118">
        <v>46721</v>
      </c>
      <c r="B121" s="114"/>
      <c r="C121" s="117">
        <f t="shared" si="36"/>
        <v>379329.21795142628</v>
      </c>
      <c r="D121" s="116"/>
      <c r="E121" s="114">
        <f t="shared" si="30"/>
        <v>-379329.21795142628</v>
      </c>
      <c r="F121" s="114">
        <f t="shared" si="21"/>
        <v>0</v>
      </c>
      <c r="G121" s="114">
        <f t="shared" si="37"/>
        <v>-8.7766238721087575E-11</v>
      </c>
      <c r="H121" s="115">
        <f t="shared" si="38"/>
        <v>-8.7766238721087575E-11</v>
      </c>
      <c r="I121" s="114">
        <f t="shared" si="31"/>
        <v>379329.21795142628</v>
      </c>
      <c r="J121" s="114">
        <f t="shared" si="32"/>
        <v>-378999.93911639904</v>
      </c>
      <c r="K121" s="114">
        <f t="shared" si="33"/>
        <v>329.2788350272458</v>
      </c>
      <c r="L121" s="114">
        <f t="shared" si="34"/>
        <v>-69.148555355816512</v>
      </c>
      <c r="M121" s="114">
        <f t="shared" si="35"/>
        <v>260.13027967142932</v>
      </c>
    </row>
    <row r="122" spans="1:13" x14ac:dyDescent="0.25">
      <c r="A122" s="118">
        <v>46752</v>
      </c>
      <c r="B122" s="114"/>
      <c r="C122" s="117">
        <f t="shared" si="36"/>
        <v>379329.21795142628</v>
      </c>
      <c r="D122" s="116"/>
      <c r="E122" s="114">
        <f t="shared" si="30"/>
        <v>-379329.21795142628</v>
      </c>
      <c r="F122" s="114">
        <f t="shared" si="21"/>
        <v>0</v>
      </c>
      <c r="G122" s="114">
        <f t="shared" si="37"/>
        <v>-8.7766238721087575E-11</v>
      </c>
      <c r="H122" s="115">
        <f t="shared" si="38"/>
        <v>-8.7766238721087575E-11</v>
      </c>
      <c r="I122" s="114">
        <f t="shared" si="31"/>
        <v>379329.21795142628</v>
      </c>
      <c r="J122" s="114">
        <f t="shared" si="32"/>
        <v>-379329.21795142628</v>
      </c>
      <c r="K122" s="114">
        <f t="shared" si="33"/>
        <v>0</v>
      </c>
      <c r="L122" s="114">
        <f t="shared" si="34"/>
        <v>-8.7766238721087575E-11</v>
      </c>
      <c r="M122" s="114">
        <f t="shared" si="35"/>
        <v>-8.7766238721087575E-11</v>
      </c>
    </row>
    <row r="123" spans="1:13" x14ac:dyDescent="0.25">
      <c r="B123" s="113" t="s">
        <v>104</v>
      </c>
      <c r="C123" s="112">
        <f>+'SEF-48 pg.8'!Y57-C122</f>
        <v>0</v>
      </c>
    </row>
  </sheetData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zoomScale="85" zoomScaleNormal="85" workbookViewId="0">
      <pane xSplit="1" ySplit="22" topLeftCell="B53" activePane="bottomRight" state="frozen"/>
      <selection activeCell="B26" sqref="B26"/>
      <selection pane="topRight" activeCell="B26" sqref="B26"/>
      <selection pane="bottomLeft" activeCell="B26" sqref="B26"/>
      <selection pane="bottomRight" activeCell="B30" sqref="B30"/>
    </sheetView>
  </sheetViews>
  <sheetFormatPr defaultRowHeight="15" outlineLevelRow="1" x14ac:dyDescent="0.25"/>
  <cols>
    <col min="1" max="1" width="17.7109375" customWidth="1"/>
    <col min="2" max="2" width="14.42578125" customWidth="1"/>
    <col min="3" max="3" width="15.7109375" customWidth="1"/>
    <col min="4" max="4" width="14.140625" customWidth="1"/>
    <col min="5" max="5" width="13.85546875" customWidth="1"/>
    <col min="6" max="6" width="14.85546875" customWidth="1"/>
    <col min="7" max="7" width="13.85546875" customWidth="1"/>
    <col min="8" max="8" width="13" customWidth="1"/>
    <col min="9" max="9" width="12.28515625" bestFit="1" customWidth="1"/>
    <col min="10" max="10" width="13.28515625" customWidth="1"/>
    <col min="11" max="11" width="14.140625" customWidth="1"/>
    <col min="12" max="12" width="12.85546875" customWidth="1"/>
    <col min="13" max="13" width="14" customWidth="1"/>
    <col min="14" max="14" width="14.28515625" customWidth="1"/>
    <col min="15" max="15" width="12.7109375" customWidth="1"/>
    <col min="16" max="16" width="14" customWidth="1"/>
    <col min="17" max="17" width="11.140625" bestFit="1" customWidth="1"/>
    <col min="18" max="18" width="12.42578125" bestFit="1" customWidth="1"/>
  </cols>
  <sheetData>
    <row r="1" spans="1:18" x14ac:dyDescent="0.25">
      <c r="A1" s="168" t="s">
        <v>138</v>
      </c>
      <c r="B1" s="173"/>
      <c r="C1" s="173"/>
      <c r="D1" s="261" t="s">
        <v>175</v>
      </c>
      <c r="E1" s="173"/>
      <c r="F1" s="173"/>
      <c r="G1" s="173"/>
      <c r="H1" s="173"/>
      <c r="I1" s="173"/>
      <c r="J1" s="173"/>
      <c r="K1" s="173"/>
      <c r="L1" s="173"/>
      <c r="M1" s="173"/>
    </row>
    <row r="2" spans="1:18" x14ac:dyDescent="0.25">
      <c r="A2" s="232" t="s">
        <v>171</v>
      </c>
      <c r="B2" s="173"/>
      <c r="C2" s="173"/>
      <c r="D2" s="262" t="s">
        <v>176</v>
      </c>
      <c r="E2" s="173"/>
      <c r="F2" s="173"/>
      <c r="G2" s="173"/>
      <c r="H2" s="173"/>
      <c r="I2" s="173"/>
      <c r="J2" s="173"/>
      <c r="K2" s="173"/>
      <c r="L2" s="173"/>
      <c r="M2" s="173"/>
    </row>
    <row r="3" spans="1:18" x14ac:dyDescent="0.25">
      <c r="A3" s="232" t="s">
        <v>170</v>
      </c>
      <c r="B3" s="173"/>
      <c r="C3" s="173"/>
      <c r="D3" s="263" t="s">
        <v>177</v>
      </c>
      <c r="E3" s="173"/>
      <c r="F3" s="173"/>
      <c r="G3" s="173"/>
      <c r="H3" s="173"/>
      <c r="I3" s="173"/>
      <c r="J3" s="173"/>
      <c r="K3" s="173"/>
      <c r="L3" s="173"/>
      <c r="M3" s="173"/>
    </row>
    <row r="4" spans="1:18" x14ac:dyDescent="0.25">
      <c r="C4" s="172"/>
      <c r="D4" s="262" t="s">
        <v>178</v>
      </c>
    </row>
    <row r="5" spans="1:18" x14ac:dyDescent="0.25">
      <c r="C5" s="170"/>
      <c r="D5" s="262" t="s">
        <v>179</v>
      </c>
    </row>
    <row r="6" spans="1:18" ht="15.75" thickBot="1" x14ac:dyDescent="0.3">
      <c r="A6" s="168"/>
      <c r="B6" s="169">
        <v>41900070</v>
      </c>
      <c r="C6" s="169">
        <v>18603063</v>
      </c>
      <c r="D6" s="264" t="s">
        <v>180</v>
      </c>
    </row>
    <row r="7" spans="1:18" ht="15.75" thickBot="1" x14ac:dyDescent="0.3">
      <c r="A7" s="168"/>
      <c r="B7" s="167" t="s">
        <v>134</v>
      </c>
      <c r="C7" s="166"/>
      <c r="D7" s="165"/>
      <c r="E7" s="165"/>
      <c r="F7" s="165"/>
      <c r="G7" s="164"/>
      <c r="H7" s="163"/>
      <c r="I7" s="162" t="s">
        <v>133</v>
      </c>
      <c r="J7" s="161"/>
      <c r="K7" s="161"/>
      <c r="L7" s="160"/>
      <c r="M7" s="159"/>
    </row>
    <row r="8" spans="1:18" x14ac:dyDescent="0.25">
      <c r="A8" s="158" t="s">
        <v>132</v>
      </c>
      <c r="B8" s="157" t="s">
        <v>131</v>
      </c>
      <c r="C8" s="157" t="s">
        <v>130</v>
      </c>
      <c r="D8" s="156" t="s">
        <v>129</v>
      </c>
      <c r="E8" s="156" t="s">
        <v>127</v>
      </c>
      <c r="F8" s="156" t="s">
        <v>128</v>
      </c>
      <c r="G8" s="156" t="s">
        <v>127</v>
      </c>
      <c r="H8" s="156" t="s">
        <v>126</v>
      </c>
      <c r="I8" s="155" t="s">
        <v>125</v>
      </c>
      <c r="J8" s="154" t="s">
        <v>124</v>
      </c>
      <c r="K8" s="154" t="s">
        <v>99</v>
      </c>
      <c r="L8" s="154" t="s">
        <v>99</v>
      </c>
      <c r="M8" s="154" t="s">
        <v>123</v>
      </c>
    </row>
    <row r="9" spans="1:18" x14ac:dyDescent="0.25">
      <c r="A9" s="153"/>
      <c r="B9" s="152" t="s">
        <v>122</v>
      </c>
      <c r="C9" s="152"/>
      <c r="D9" s="150" t="s">
        <v>120</v>
      </c>
      <c r="E9" s="150" t="s">
        <v>120</v>
      </c>
      <c r="F9" s="151">
        <v>0.21</v>
      </c>
      <c r="G9" s="150" t="s">
        <v>121</v>
      </c>
      <c r="H9" s="150" t="s">
        <v>117</v>
      </c>
      <c r="I9" s="149" t="s">
        <v>117</v>
      </c>
      <c r="J9" s="148" t="s">
        <v>120</v>
      </c>
      <c r="K9" s="148" t="s">
        <v>119</v>
      </c>
      <c r="L9" s="148" t="s">
        <v>118</v>
      </c>
      <c r="M9" s="148" t="s">
        <v>117</v>
      </c>
    </row>
    <row r="10" spans="1:18" ht="15.75" thickBot="1" x14ac:dyDescent="0.3">
      <c r="A10" s="142"/>
      <c r="B10" s="145" t="s">
        <v>116</v>
      </c>
      <c r="C10" s="147" t="s">
        <v>115</v>
      </c>
      <c r="D10" s="145" t="s">
        <v>114</v>
      </c>
      <c r="E10" s="145" t="s">
        <v>113</v>
      </c>
      <c r="F10" s="146" t="s">
        <v>112</v>
      </c>
      <c r="G10" s="145" t="s">
        <v>111</v>
      </c>
      <c r="H10" s="144" t="s">
        <v>110</v>
      </c>
      <c r="I10" s="143" t="s">
        <v>109</v>
      </c>
      <c r="J10" s="142" t="s">
        <v>108</v>
      </c>
      <c r="K10" s="142" t="s">
        <v>107</v>
      </c>
      <c r="L10" s="142" t="s">
        <v>106</v>
      </c>
      <c r="M10" s="142" t="s">
        <v>105</v>
      </c>
      <c r="N10" s="141"/>
      <c r="O10" s="141"/>
      <c r="P10" s="141"/>
      <c r="Q10" s="141"/>
      <c r="R10" s="141"/>
    </row>
    <row r="11" spans="1:18" s="109" customFormat="1" hidden="1" outlineLevel="1" x14ac:dyDescent="0.25">
      <c r="A11" s="131">
        <v>43373</v>
      </c>
      <c r="B11" s="140"/>
      <c r="C11" s="139"/>
      <c r="D11" s="138"/>
      <c r="E11" s="137"/>
      <c r="F11" s="137"/>
      <c r="G11" s="137"/>
      <c r="H11" s="136">
        <f>C11+E11+G11</f>
        <v>0</v>
      </c>
      <c r="I11" s="135"/>
      <c r="J11" s="134"/>
      <c r="K11" s="134"/>
      <c r="L11" s="134"/>
      <c r="M11" s="134"/>
      <c r="N11" s="130"/>
      <c r="O11" s="130"/>
      <c r="P11" s="130"/>
      <c r="Q11" s="130"/>
      <c r="R11" s="130"/>
    </row>
    <row r="12" spans="1:18" s="109" customFormat="1" hidden="1" outlineLevel="1" x14ac:dyDescent="0.25">
      <c r="A12" s="131">
        <v>43404</v>
      </c>
      <c r="B12" s="140"/>
      <c r="C12" s="139"/>
      <c r="D12" s="138"/>
      <c r="E12" s="137"/>
      <c r="F12" s="137"/>
      <c r="G12" s="137"/>
      <c r="H12" s="136"/>
      <c r="I12" s="135"/>
      <c r="J12" s="134"/>
      <c r="K12" s="134"/>
      <c r="L12" s="134"/>
      <c r="M12" s="134"/>
      <c r="N12" s="130"/>
      <c r="O12" s="130"/>
      <c r="P12" s="130"/>
      <c r="Q12" s="130"/>
      <c r="R12" s="130"/>
    </row>
    <row r="13" spans="1:18" s="109" customFormat="1" hidden="1" outlineLevel="1" x14ac:dyDescent="0.25">
      <c r="A13" s="131">
        <v>43434</v>
      </c>
      <c r="B13" s="140"/>
      <c r="C13" s="139"/>
      <c r="D13" s="138"/>
      <c r="E13" s="137"/>
      <c r="F13" s="137"/>
      <c r="G13" s="137"/>
      <c r="H13" s="136"/>
      <c r="I13" s="135"/>
      <c r="J13" s="134"/>
      <c r="K13" s="134"/>
      <c r="L13" s="134"/>
      <c r="M13" s="134"/>
      <c r="N13" s="130"/>
      <c r="O13" s="130"/>
      <c r="P13" s="130"/>
      <c r="Q13" s="130"/>
      <c r="R13" s="130"/>
    </row>
    <row r="14" spans="1:18" s="109" customFormat="1" hidden="1" outlineLevel="1" x14ac:dyDescent="0.25">
      <c r="A14" s="131">
        <v>43465</v>
      </c>
      <c r="B14" s="140"/>
      <c r="C14" s="139"/>
      <c r="D14" s="138"/>
      <c r="E14" s="137"/>
      <c r="F14" s="137"/>
      <c r="G14" s="137"/>
      <c r="H14" s="136"/>
      <c r="I14" s="135"/>
      <c r="J14" s="134"/>
      <c r="K14" s="134"/>
      <c r="L14" s="134"/>
      <c r="M14" s="134"/>
      <c r="N14" s="130"/>
      <c r="O14" s="130"/>
      <c r="P14" s="130"/>
      <c r="Q14" s="130"/>
      <c r="R14" s="130"/>
    </row>
    <row r="15" spans="1:18" s="109" customFormat="1" hidden="1" outlineLevel="1" x14ac:dyDescent="0.25">
      <c r="A15" s="131">
        <v>43496</v>
      </c>
      <c r="B15" s="140"/>
      <c r="C15" s="139"/>
      <c r="D15" s="138"/>
      <c r="E15" s="137"/>
      <c r="F15" s="137"/>
      <c r="G15" s="137"/>
      <c r="H15" s="136"/>
      <c r="I15" s="135"/>
      <c r="J15" s="134"/>
      <c r="K15" s="134"/>
      <c r="L15" s="134"/>
      <c r="M15" s="134"/>
      <c r="N15" s="130"/>
      <c r="O15" s="130"/>
      <c r="P15" s="130"/>
      <c r="Q15" s="130"/>
      <c r="R15" s="130"/>
    </row>
    <row r="16" spans="1:18" s="109" customFormat="1" hidden="1" outlineLevel="1" x14ac:dyDescent="0.25">
      <c r="A16" s="131">
        <v>43524</v>
      </c>
      <c r="B16" s="140"/>
      <c r="C16" s="139"/>
      <c r="D16" s="138"/>
      <c r="E16" s="137"/>
      <c r="F16" s="137"/>
      <c r="G16" s="137"/>
      <c r="H16" s="136"/>
      <c r="I16" s="135"/>
      <c r="J16" s="134"/>
      <c r="K16" s="134"/>
      <c r="L16" s="134"/>
      <c r="M16" s="134"/>
      <c r="N16" s="130"/>
      <c r="O16" s="130"/>
      <c r="P16" s="130"/>
      <c r="Q16" s="130"/>
      <c r="R16" s="130"/>
    </row>
    <row r="17" spans="1:18" s="109" customFormat="1" hidden="1" outlineLevel="1" x14ac:dyDescent="0.25">
      <c r="A17" s="131">
        <v>43555</v>
      </c>
      <c r="B17" s="140"/>
      <c r="C17" s="139"/>
      <c r="D17" s="138"/>
      <c r="E17" s="137"/>
      <c r="F17" s="137"/>
      <c r="G17" s="137"/>
      <c r="H17" s="136"/>
      <c r="I17" s="135"/>
      <c r="J17" s="134"/>
      <c r="K17" s="134"/>
      <c r="L17" s="134"/>
      <c r="M17" s="134"/>
      <c r="N17" s="130"/>
      <c r="O17" s="130"/>
      <c r="P17" s="130"/>
      <c r="Q17" s="130"/>
      <c r="R17" s="130"/>
    </row>
    <row r="18" spans="1:18" s="109" customFormat="1" hidden="1" outlineLevel="1" x14ac:dyDescent="0.25">
      <c r="A18" s="131">
        <v>43585</v>
      </c>
      <c r="B18" s="140"/>
      <c r="C18" s="139"/>
      <c r="D18" s="138"/>
      <c r="E18" s="137"/>
      <c r="F18" s="137"/>
      <c r="G18" s="137"/>
      <c r="H18" s="136"/>
      <c r="I18" s="135"/>
      <c r="J18" s="134"/>
      <c r="K18" s="134"/>
      <c r="L18" s="134"/>
      <c r="M18" s="134"/>
      <c r="N18" s="130"/>
      <c r="O18" s="130"/>
      <c r="P18" s="130"/>
      <c r="Q18" s="130"/>
      <c r="R18" s="130"/>
    </row>
    <row r="19" spans="1:18" s="109" customFormat="1" hidden="1" outlineLevel="1" x14ac:dyDescent="0.25">
      <c r="A19" s="131">
        <v>43616</v>
      </c>
      <c r="B19" s="140"/>
      <c r="C19" s="139"/>
      <c r="D19" s="138"/>
      <c r="E19" s="137"/>
      <c r="F19" s="137"/>
      <c r="G19" s="137"/>
      <c r="H19" s="136"/>
      <c r="I19" s="135"/>
      <c r="J19" s="134"/>
      <c r="K19" s="134"/>
      <c r="L19" s="134"/>
      <c r="M19" s="134"/>
      <c r="N19" s="130"/>
      <c r="O19" s="130"/>
      <c r="P19" s="130"/>
      <c r="Q19" s="130"/>
      <c r="R19" s="130"/>
    </row>
    <row r="20" spans="1:18" s="109" customFormat="1" hidden="1" outlineLevel="1" x14ac:dyDescent="0.25">
      <c r="A20" s="131">
        <v>43646</v>
      </c>
      <c r="B20" s="140"/>
      <c r="C20" s="139"/>
      <c r="D20" s="138"/>
      <c r="E20" s="137"/>
      <c r="F20" s="137"/>
      <c r="G20" s="137"/>
      <c r="H20" s="136"/>
      <c r="I20" s="135"/>
      <c r="J20" s="134"/>
      <c r="K20" s="134"/>
      <c r="L20" s="134"/>
      <c r="M20" s="134"/>
      <c r="N20" s="130"/>
      <c r="O20" s="130"/>
      <c r="P20" s="130"/>
      <c r="Q20" s="130"/>
      <c r="R20" s="130"/>
    </row>
    <row r="21" spans="1:18" s="109" customFormat="1" hidden="1" outlineLevel="1" x14ac:dyDescent="0.25">
      <c r="A21" s="131">
        <v>43677</v>
      </c>
      <c r="B21" s="140"/>
      <c r="C21" s="139"/>
      <c r="D21" s="138"/>
      <c r="E21" s="137"/>
      <c r="F21" s="137"/>
      <c r="G21" s="137"/>
      <c r="H21" s="136"/>
      <c r="I21" s="135"/>
      <c r="J21" s="134"/>
      <c r="K21" s="134"/>
      <c r="L21" s="134"/>
      <c r="M21" s="134"/>
      <c r="N21" s="130"/>
      <c r="O21" s="130"/>
      <c r="P21" s="130"/>
      <c r="Q21" s="130"/>
      <c r="R21" s="130"/>
    </row>
    <row r="22" spans="1:18" s="109" customFormat="1" hidden="1" outlineLevel="1" x14ac:dyDescent="0.25">
      <c r="A22" s="131">
        <v>43708</v>
      </c>
      <c r="B22" s="140"/>
      <c r="C22" s="139"/>
      <c r="D22" s="138"/>
      <c r="E22" s="137"/>
      <c r="F22" s="137"/>
      <c r="G22" s="137"/>
      <c r="H22" s="136"/>
      <c r="I22" s="135"/>
      <c r="J22" s="134"/>
      <c r="K22" s="134"/>
      <c r="L22" s="134"/>
      <c r="M22" s="134"/>
      <c r="N22" s="130"/>
      <c r="O22" s="130"/>
      <c r="P22" s="130"/>
      <c r="Q22" s="130"/>
      <c r="R22" s="130"/>
    </row>
    <row r="23" spans="1:18" s="109" customFormat="1" collapsed="1" x14ac:dyDescent="0.25">
      <c r="A23" s="131">
        <v>43738</v>
      </c>
      <c r="B23" s="122">
        <f>+'SEF-48 pg.8'!Z16</f>
        <v>197.11890672716666</v>
      </c>
      <c r="C23" s="124">
        <f>+B23</f>
        <v>197.11890672716666</v>
      </c>
      <c r="D23" s="132"/>
      <c r="E23" s="122"/>
      <c r="F23" s="124">
        <f t="shared" ref="F23:F54" si="0">-(B23*$F$9)+(D23*$F$9)</f>
        <v>-41.394970412705</v>
      </c>
      <c r="G23" s="124">
        <f>F23</f>
        <v>-41.394970412705</v>
      </c>
      <c r="H23" s="124"/>
      <c r="I23" s="120">
        <f t="shared" ref="I23:I54" si="1">(C11+C23+SUM(C12:C22)*2)/24</f>
        <v>8.2132877802986108</v>
      </c>
      <c r="J23" s="119">
        <f t="shared" ref="J23:J54" si="2">(E11+E23+SUM(E12:E22)*2)/24</f>
        <v>0</v>
      </c>
      <c r="K23" s="119">
        <f t="shared" ref="K23:K54" si="3">I23+J23</f>
        <v>8.2132877802986108</v>
      </c>
      <c r="L23" s="119">
        <f t="shared" ref="L23:L54" si="4">(G11+G23+SUM(G12:G22)*2)/24</f>
        <v>-1.7247904338627082</v>
      </c>
      <c r="M23" s="119">
        <f t="shared" ref="M23:M54" si="5">K23+L23</f>
        <v>6.4884973464359028</v>
      </c>
      <c r="N23" s="130"/>
      <c r="O23" s="130"/>
      <c r="P23" s="130"/>
      <c r="Q23" s="130"/>
      <c r="R23" s="130"/>
    </row>
    <row r="24" spans="1:18" s="109" customFormat="1" x14ac:dyDescent="0.25">
      <c r="A24" s="131">
        <v>43769</v>
      </c>
      <c r="B24" s="122">
        <f>+'SEF-48 pg.8'!Z17</f>
        <v>663.2964998796499</v>
      </c>
      <c r="C24" s="124">
        <f t="shared" ref="C24:C55" si="6">+B24+C23</f>
        <v>860.41540660681653</v>
      </c>
      <c r="D24" s="132"/>
      <c r="E24" s="122"/>
      <c r="F24" s="124">
        <f t="shared" si="0"/>
        <v>-139.29226497472646</v>
      </c>
      <c r="G24" s="124">
        <f t="shared" ref="G24:G55" si="7">G23+F24</f>
        <v>-180.68723538743146</v>
      </c>
      <c r="H24" s="124">
        <f t="shared" ref="H24:H55" si="8">C24+E24+G24</f>
        <v>679.7281712193851</v>
      </c>
      <c r="I24" s="120">
        <f t="shared" si="1"/>
        <v>52.277217502547906</v>
      </c>
      <c r="J24" s="119">
        <f t="shared" si="2"/>
        <v>0</v>
      </c>
      <c r="K24" s="119">
        <f t="shared" si="3"/>
        <v>52.277217502547906</v>
      </c>
      <c r="L24" s="119">
        <f t="shared" si="4"/>
        <v>-10.978215675535061</v>
      </c>
      <c r="M24" s="119">
        <f t="shared" si="5"/>
        <v>41.299001827012845</v>
      </c>
      <c r="N24" s="130"/>
      <c r="O24" s="130"/>
      <c r="P24" s="130"/>
      <c r="Q24" s="130"/>
      <c r="R24" s="130"/>
    </row>
    <row r="25" spans="1:18" s="109" customFormat="1" x14ac:dyDescent="0.25">
      <c r="A25" s="131">
        <v>43799</v>
      </c>
      <c r="B25" s="122">
        <f>+'SEF-48 pg.8'!Z18</f>
        <v>1279.7915472069378</v>
      </c>
      <c r="C25" s="124">
        <f t="shared" si="6"/>
        <v>2140.2069538137544</v>
      </c>
      <c r="D25" s="132"/>
      <c r="E25" s="122"/>
      <c r="F25" s="124">
        <f t="shared" si="0"/>
        <v>-268.75622491345695</v>
      </c>
      <c r="G25" s="124">
        <f t="shared" si="7"/>
        <v>-449.44346030088843</v>
      </c>
      <c r="H25" s="124">
        <f t="shared" si="8"/>
        <v>1690.7634935128658</v>
      </c>
      <c r="I25" s="120">
        <f t="shared" si="1"/>
        <v>177.30314918673835</v>
      </c>
      <c r="J25" s="119">
        <f t="shared" si="2"/>
        <v>0</v>
      </c>
      <c r="K25" s="119">
        <f t="shared" si="3"/>
        <v>177.30314918673835</v>
      </c>
      <c r="L25" s="119">
        <f t="shared" si="4"/>
        <v>-37.23366132921506</v>
      </c>
      <c r="M25" s="119">
        <f t="shared" si="5"/>
        <v>140.06948785752328</v>
      </c>
      <c r="N25" s="130"/>
      <c r="O25" s="130"/>
      <c r="P25" s="130"/>
      <c r="Q25" s="130"/>
      <c r="R25" s="130"/>
    </row>
    <row r="26" spans="1:18" s="109" customFormat="1" x14ac:dyDescent="0.25">
      <c r="A26" s="131">
        <v>43830</v>
      </c>
      <c r="B26" s="122">
        <f>+'SEF-48 pg.8'!Z19</f>
        <v>1977.7283374758633</v>
      </c>
      <c r="C26" s="124">
        <f t="shared" si="6"/>
        <v>4117.9352912896175</v>
      </c>
      <c r="D26" s="132"/>
      <c r="E26" s="122"/>
      <c r="F26" s="124">
        <f t="shared" si="0"/>
        <v>-415.32295086993128</v>
      </c>
      <c r="G26" s="124">
        <f t="shared" si="7"/>
        <v>-864.76641117081977</v>
      </c>
      <c r="H26" s="124">
        <f t="shared" si="8"/>
        <v>3253.1688801187975</v>
      </c>
      <c r="I26" s="120">
        <f t="shared" si="1"/>
        <v>438.05907606604552</v>
      </c>
      <c r="J26" s="119">
        <f t="shared" si="2"/>
        <v>0</v>
      </c>
      <c r="K26" s="119">
        <f t="shared" si="3"/>
        <v>438.05907606604552</v>
      </c>
      <c r="L26" s="119">
        <f t="shared" si="4"/>
        <v>-91.992405973869566</v>
      </c>
      <c r="M26" s="119">
        <f t="shared" si="5"/>
        <v>346.06667009217597</v>
      </c>
      <c r="N26" s="130"/>
      <c r="O26" s="130"/>
      <c r="P26" s="130"/>
      <c r="Q26" s="130"/>
      <c r="R26" s="130"/>
    </row>
    <row r="27" spans="1:18" s="109" customFormat="1" x14ac:dyDescent="0.25">
      <c r="A27" s="131">
        <v>43861</v>
      </c>
      <c r="B27" s="122">
        <f>+'SEF-48 pg.8'!Z20</f>
        <v>2679.0207642001214</v>
      </c>
      <c r="C27" s="124">
        <f t="shared" si="6"/>
        <v>6796.9560554897389</v>
      </c>
      <c r="D27" s="132"/>
      <c r="E27" s="122"/>
      <c r="F27" s="124">
        <f t="shared" si="0"/>
        <v>-562.59436048202554</v>
      </c>
      <c r="G27" s="124">
        <f t="shared" si="7"/>
        <v>-1427.3607716528454</v>
      </c>
      <c r="H27" s="124">
        <f t="shared" si="8"/>
        <v>5369.5952838368939</v>
      </c>
      <c r="I27" s="120">
        <f t="shared" si="1"/>
        <v>892.84621551518546</v>
      </c>
      <c r="J27" s="119">
        <f t="shared" si="2"/>
        <v>0</v>
      </c>
      <c r="K27" s="119">
        <f t="shared" si="3"/>
        <v>892.84621551518546</v>
      </c>
      <c r="L27" s="119">
        <f t="shared" si="4"/>
        <v>-187.49770525818894</v>
      </c>
      <c r="M27" s="119">
        <f t="shared" si="5"/>
        <v>705.34851025699652</v>
      </c>
      <c r="N27" s="130"/>
      <c r="O27" s="130"/>
      <c r="P27" s="130"/>
      <c r="Q27" s="130"/>
      <c r="R27" s="130"/>
    </row>
    <row r="28" spans="1:18" s="109" customFormat="1" x14ac:dyDescent="0.25">
      <c r="A28" s="131">
        <v>43890</v>
      </c>
      <c r="B28" s="122">
        <f>+'SEF-48 pg.8'!Z21</f>
        <v>3417.8322541620964</v>
      </c>
      <c r="C28" s="124">
        <f t="shared" si="6"/>
        <v>10214.788309651834</v>
      </c>
      <c r="D28" s="132"/>
      <c r="E28" s="122"/>
      <c r="F28" s="124">
        <f t="shared" si="0"/>
        <v>-717.74477337404028</v>
      </c>
      <c r="G28" s="124">
        <f t="shared" si="7"/>
        <v>-2145.1055450268859</v>
      </c>
      <c r="H28" s="124">
        <f t="shared" si="8"/>
        <v>8069.6827646249485</v>
      </c>
      <c r="I28" s="120">
        <f t="shared" si="1"/>
        <v>1601.6688973960843</v>
      </c>
      <c r="J28" s="119">
        <f t="shared" si="2"/>
        <v>0</v>
      </c>
      <c r="K28" s="119">
        <f t="shared" si="3"/>
        <v>1601.6688973960843</v>
      </c>
      <c r="L28" s="119">
        <f t="shared" si="4"/>
        <v>-336.35046845317777</v>
      </c>
      <c r="M28" s="119">
        <f t="shared" si="5"/>
        <v>1265.3184289429064</v>
      </c>
      <c r="N28" s="130"/>
      <c r="O28" s="130"/>
      <c r="P28" s="130"/>
      <c r="Q28" s="130"/>
      <c r="R28" s="130"/>
    </row>
    <row r="29" spans="1:18" s="109" customFormat="1" x14ac:dyDescent="0.25">
      <c r="A29" s="131">
        <v>43921</v>
      </c>
      <c r="B29" s="122">
        <f>+'SEF-48 pg.8'!Z22</f>
        <v>4196.654623791921</v>
      </c>
      <c r="C29" s="124">
        <f t="shared" si="6"/>
        <v>14411.442933443755</v>
      </c>
      <c r="D29" s="132"/>
      <c r="E29" s="122"/>
      <c r="F29" s="124">
        <f t="shared" si="0"/>
        <v>-881.29747099630333</v>
      </c>
      <c r="G29" s="124">
        <f t="shared" si="7"/>
        <v>-3026.4030160231891</v>
      </c>
      <c r="H29" s="124">
        <f t="shared" si="8"/>
        <v>11385.039917420567</v>
      </c>
      <c r="I29" s="120">
        <f t="shared" si="1"/>
        <v>2627.7618658584001</v>
      </c>
      <c r="J29" s="119">
        <f t="shared" si="2"/>
        <v>0</v>
      </c>
      <c r="K29" s="119">
        <f t="shared" si="3"/>
        <v>2627.7618658584001</v>
      </c>
      <c r="L29" s="119">
        <f t="shared" si="4"/>
        <v>-551.82999183026425</v>
      </c>
      <c r="M29" s="119">
        <f t="shared" si="5"/>
        <v>2075.931874028136</v>
      </c>
      <c r="N29" s="130"/>
      <c r="O29" s="130"/>
      <c r="P29" s="130"/>
      <c r="Q29" s="130"/>
      <c r="R29" s="130"/>
    </row>
    <row r="30" spans="1:18" s="109" customFormat="1" x14ac:dyDescent="0.25">
      <c r="A30" s="131">
        <v>43951</v>
      </c>
      <c r="B30" s="122">
        <f>+'SEF-48 pg.8'!Z23</f>
        <v>4979.1804589010953</v>
      </c>
      <c r="C30" s="124">
        <f t="shared" si="6"/>
        <v>19390.623392344853</v>
      </c>
      <c r="D30" s="132"/>
      <c r="E30" s="122"/>
      <c r="F30" s="124">
        <f t="shared" si="0"/>
        <v>-1045.62789636923</v>
      </c>
      <c r="G30" s="124">
        <f t="shared" si="7"/>
        <v>-4072.0309123924189</v>
      </c>
      <c r="H30" s="124">
        <f t="shared" si="8"/>
        <v>15318.592479952433</v>
      </c>
      <c r="I30" s="120">
        <f t="shared" si="1"/>
        <v>4036.1812960995921</v>
      </c>
      <c r="J30" s="119">
        <f t="shared" si="2"/>
        <v>0</v>
      </c>
      <c r="K30" s="119">
        <f t="shared" si="3"/>
        <v>4036.1812960995921</v>
      </c>
      <c r="L30" s="119">
        <f t="shared" si="4"/>
        <v>-847.59807218091464</v>
      </c>
      <c r="M30" s="119">
        <f t="shared" si="5"/>
        <v>3188.5832239186775</v>
      </c>
      <c r="N30" s="130"/>
      <c r="O30" s="130"/>
      <c r="P30" s="130"/>
      <c r="Q30" s="130"/>
      <c r="R30" s="130"/>
    </row>
    <row r="31" spans="1:18" s="109" customFormat="1" x14ac:dyDescent="0.25">
      <c r="A31" s="131">
        <v>43982</v>
      </c>
      <c r="B31" s="122">
        <f>+'SEF-48 pg.8'!Z24</f>
        <v>5763.6948346294866</v>
      </c>
      <c r="C31" s="124">
        <f t="shared" si="6"/>
        <v>25154.318226974341</v>
      </c>
      <c r="D31" s="132"/>
      <c r="E31" s="122"/>
      <c r="F31" s="124">
        <f t="shared" si="0"/>
        <v>-1210.3759152721921</v>
      </c>
      <c r="G31" s="124">
        <f t="shared" si="7"/>
        <v>-5282.4068276646112</v>
      </c>
      <c r="H31" s="124">
        <f t="shared" si="8"/>
        <v>19871.911399309731</v>
      </c>
      <c r="I31" s="120">
        <f t="shared" si="1"/>
        <v>5892.2205302378925</v>
      </c>
      <c r="J31" s="119">
        <f t="shared" si="2"/>
        <v>0</v>
      </c>
      <c r="K31" s="119">
        <f t="shared" si="3"/>
        <v>5892.2205302378925</v>
      </c>
      <c r="L31" s="119">
        <f t="shared" si="4"/>
        <v>-1237.3663113499574</v>
      </c>
      <c r="M31" s="119">
        <f t="shared" si="5"/>
        <v>4654.8542188879346</v>
      </c>
      <c r="N31" s="130"/>
      <c r="O31" s="130"/>
      <c r="P31" s="130"/>
      <c r="Q31" s="130"/>
      <c r="R31" s="130"/>
    </row>
    <row r="32" spans="1:18" s="109" customFormat="1" x14ac:dyDescent="0.25">
      <c r="A32" s="131">
        <v>44012</v>
      </c>
      <c r="B32" s="122">
        <f>+'SEF-48 pg.8'!Z25</f>
        <v>6554.8775618752688</v>
      </c>
      <c r="C32" s="124">
        <f t="shared" si="6"/>
        <v>31709.195788849611</v>
      </c>
      <c r="D32" s="132"/>
      <c r="E32" s="122"/>
      <c r="F32" s="124">
        <f t="shared" si="0"/>
        <v>-1376.5242879938064</v>
      </c>
      <c r="G32" s="124">
        <f t="shared" si="7"/>
        <v>-6658.9311156584172</v>
      </c>
      <c r="H32" s="124">
        <f t="shared" si="8"/>
        <v>25050.264673191195</v>
      </c>
      <c r="I32" s="120">
        <f t="shared" si="1"/>
        <v>8261.5336142305569</v>
      </c>
      <c r="J32" s="119">
        <f t="shared" si="2"/>
        <v>0</v>
      </c>
      <c r="K32" s="119">
        <f t="shared" si="3"/>
        <v>8261.5336142305569</v>
      </c>
      <c r="L32" s="119">
        <f t="shared" si="4"/>
        <v>-1734.9220589884169</v>
      </c>
      <c r="M32" s="119">
        <f t="shared" si="5"/>
        <v>6526.6115552421397</v>
      </c>
      <c r="N32" s="130"/>
      <c r="O32" s="130"/>
      <c r="P32" s="130"/>
      <c r="Q32" s="130"/>
      <c r="R32" s="130"/>
    </row>
    <row r="33" spans="1:19" s="109" customFormat="1" x14ac:dyDescent="0.25">
      <c r="A33" s="131">
        <v>44043</v>
      </c>
      <c r="B33" s="122">
        <f>+'SEF-48 pg.8'!Z26</f>
        <v>7838.2935299498295</v>
      </c>
      <c r="C33" s="124">
        <f t="shared" si="6"/>
        <v>39547.489318799438</v>
      </c>
      <c r="D33" s="132"/>
      <c r="E33" s="122"/>
      <c r="F33" s="124">
        <f t="shared" si="0"/>
        <v>-1646.0416412894642</v>
      </c>
      <c r="G33" s="124">
        <f t="shared" si="7"/>
        <v>-8304.9727569478819</v>
      </c>
      <c r="H33" s="124">
        <f t="shared" si="8"/>
        <v>31242.516561851557</v>
      </c>
      <c r="I33" s="120">
        <f t="shared" si="1"/>
        <v>11230.5621603826</v>
      </c>
      <c r="J33" s="119">
        <f t="shared" si="2"/>
        <v>0</v>
      </c>
      <c r="K33" s="119">
        <f t="shared" si="3"/>
        <v>11230.5621603826</v>
      </c>
      <c r="L33" s="119">
        <f t="shared" si="4"/>
        <v>-2358.4180536803465</v>
      </c>
      <c r="M33" s="119">
        <f t="shared" si="5"/>
        <v>8872.1441067022533</v>
      </c>
      <c r="N33" s="130"/>
      <c r="O33" s="130"/>
      <c r="P33" s="130"/>
      <c r="Q33" s="130"/>
      <c r="R33" s="130"/>
    </row>
    <row r="34" spans="1:19" s="109" customFormat="1" x14ac:dyDescent="0.25">
      <c r="A34" s="131">
        <v>44074</v>
      </c>
      <c r="B34" s="122">
        <f>+'SEF-48 pg.8'!Z27</f>
        <v>9651.0048291185394</v>
      </c>
      <c r="C34" s="124">
        <f t="shared" si="6"/>
        <v>49198.494147917976</v>
      </c>
      <c r="D34" s="132"/>
      <c r="E34" s="122"/>
      <c r="F34" s="124">
        <f t="shared" si="0"/>
        <v>-2026.7110141148933</v>
      </c>
      <c r="G34" s="124">
        <f t="shared" si="7"/>
        <v>-10331.683771062775</v>
      </c>
      <c r="H34" s="124">
        <f t="shared" si="8"/>
        <v>38866.810376855203</v>
      </c>
      <c r="I34" s="120">
        <f t="shared" si="1"/>
        <v>14928.311471495826</v>
      </c>
      <c r="J34" s="119">
        <f t="shared" si="2"/>
        <v>0</v>
      </c>
      <c r="K34" s="119">
        <f t="shared" si="3"/>
        <v>14928.311471495826</v>
      </c>
      <c r="L34" s="119">
        <f t="shared" si="4"/>
        <v>-3134.9454090141239</v>
      </c>
      <c r="M34" s="119">
        <f t="shared" si="5"/>
        <v>11793.366062481702</v>
      </c>
      <c r="N34" s="130"/>
      <c r="O34" s="130"/>
      <c r="P34" s="130"/>
      <c r="Q34" s="130"/>
      <c r="R34" s="130"/>
    </row>
    <row r="35" spans="1:19" s="109" customFormat="1" x14ac:dyDescent="0.25">
      <c r="A35" s="131">
        <v>44104</v>
      </c>
      <c r="B35" s="122">
        <f>+'SEF-48 pg.8'!Z28</f>
        <v>-44161.417500823496</v>
      </c>
      <c r="C35" s="124">
        <f t="shared" si="6"/>
        <v>5037.07664709448</v>
      </c>
      <c r="D35" s="132"/>
      <c r="E35" s="122"/>
      <c r="F35" s="124">
        <f t="shared" si="0"/>
        <v>9273.8976751729333</v>
      </c>
      <c r="G35" s="124">
        <f t="shared" si="7"/>
        <v>-1057.7860958898418</v>
      </c>
      <c r="H35" s="124">
        <f t="shared" si="8"/>
        <v>3979.2905512046382</v>
      </c>
      <c r="I35" s="120">
        <f t="shared" si="1"/>
        <v>17179.913633507713</v>
      </c>
      <c r="J35" s="119">
        <f t="shared" si="2"/>
        <v>0</v>
      </c>
      <c r="K35" s="119">
        <f t="shared" si="3"/>
        <v>17179.913633507713</v>
      </c>
      <c r="L35" s="119">
        <f t="shared" si="4"/>
        <v>-3607.7818630366201</v>
      </c>
      <c r="M35" s="119">
        <f t="shared" si="5"/>
        <v>13572.131770471093</v>
      </c>
      <c r="N35" s="130"/>
      <c r="O35" s="130"/>
      <c r="P35" s="130"/>
      <c r="Q35" s="130"/>
      <c r="R35" s="130"/>
    </row>
    <row r="36" spans="1:19" s="109" customFormat="1" x14ac:dyDescent="0.25">
      <c r="A36" s="131">
        <v>44135</v>
      </c>
      <c r="B36" s="122">
        <f>+'SEF-48 pg.8'!Z29</f>
        <v>2869.0052110702372</v>
      </c>
      <c r="C36" s="124">
        <f t="shared" si="6"/>
        <v>7906.0818581647172</v>
      </c>
      <c r="D36" s="123"/>
      <c r="E36" s="122">
        <f t="shared" ref="E36:E67" si="9">E35-D36</f>
        <v>0</v>
      </c>
      <c r="F36" s="124">
        <f t="shared" si="0"/>
        <v>-602.49109432474984</v>
      </c>
      <c r="G36" s="124">
        <f t="shared" si="7"/>
        <v>-1660.2771902145917</v>
      </c>
      <c r="H36" s="124">
        <f t="shared" si="8"/>
        <v>6245.8046679501258</v>
      </c>
      <c r="I36" s="120">
        <f t="shared" si="1"/>
        <v>17675.147974837932</v>
      </c>
      <c r="J36" s="119">
        <f t="shared" si="2"/>
        <v>0</v>
      </c>
      <c r="K36" s="119">
        <f t="shared" si="3"/>
        <v>17675.147974837932</v>
      </c>
      <c r="L36" s="119">
        <f t="shared" si="4"/>
        <v>-3711.781074715966</v>
      </c>
      <c r="M36" s="119">
        <f t="shared" si="5"/>
        <v>13963.366900121966</v>
      </c>
      <c r="N36" s="130"/>
      <c r="O36" s="130"/>
      <c r="P36" s="130"/>
      <c r="Q36" s="130"/>
      <c r="R36" s="130"/>
    </row>
    <row r="37" spans="1:19" s="109" customFormat="1" x14ac:dyDescent="0.25">
      <c r="A37" s="131">
        <v>44165</v>
      </c>
      <c r="B37" s="122">
        <f>+'SEF-48 pg.8'!Z30</f>
        <v>3716.1635960128765</v>
      </c>
      <c r="C37" s="124">
        <f t="shared" si="6"/>
        <v>11622.245454177593</v>
      </c>
      <c r="D37" s="123"/>
      <c r="E37" s="122">
        <f t="shared" si="9"/>
        <v>0</v>
      </c>
      <c r="F37" s="122">
        <f t="shared" si="0"/>
        <v>-780.39435516270407</v>
      </c>
      <c r="G37" s="122">
        <f t="shared" si="7"/>
        <v>-2440.6715453772958</v>
      </c>
      <c r="H37" s="121">
        <f t="shared" si="8"/>
        <v>9181.5739088002974</v>
      </c>
      <c r="I37" s="120">
        <f t="shared" si="1"/>
        <v>18363.802347834669</v>
      </c>
      <c r="J37" s="119">
        <f t="shared" si="2"/>
        <v>0</v>
      </c>
      <c r="K37" s="119">
        <f t="shared" si="3"/>
        <v>18363.802347834669</v>
      </c>
      <c r="L37" s="119">
        <f t="shared" si="4"/>
        <v>-3856.3984930452802</v>
      </c>
      <c r="M37" s="119">
        <f t="shared" si="5"/>
        <v>14507.403854789389</v>
      </c>
      <c r="N37" s="130"/>
      <c r="O37" s="130"/>
      <c r="P37" s="130"/>
      <c r="Q37" s="130"/>
      <c r="R37" s="130"/>
    </row>
    <row r="38" spans="1:19" s="109" customFormat="1" x14ac:dyDescent="0.25">
      <c r="A38" s="131">
        <v>44196</v>
      </c>
      <c r="B38" s="122">
        <f>+'SEF-48 pg.8'!Z31</f>
        <v>4620.8802375761888</v>
      </c>
      <c r="C38" s="124">
        <f t="shared" si="6"/>
        <v>16243.125691753783</v>
      </c>
      <c r="D38" s="123"/>
      <c r="E38" s="122">
        <f t="shared" si="9"/>
        <v>0</v>
      </c>
      <c r="F38" s="122">
        <f t="shared" si="0"/>
        <v>-970.38484989099959</v>
      </c>
      <c r="G38" s="122">
        <f t="shared" si="7"/>
        <v>-3411.0563952682955</v>
      </c>
      <c r="H38" s="121">
        <f t="shared" si="8"/>
        <v>12832.069296485488</v>
      </c>
      <c r="I38" s="120">
        <f t="shared" si="1"/>
        <v>19264.103552035838</v>
      </c>
      <c r="J38" s="119">
        <f t="shared" si="2"/>
        <v>0</v>
      </c>
      <c r="K38" s="119">
        <f t="shared" si="3"/>
        <v>19264.103552035838</v>
      </c>
      <c r="L38" s="119">
        <f t="shared" si="4"/>
        <v>-4045.4617459275255</v>
      </c>
      <c r="M38" s="119">
        <f t="shared" si="5"/>
        <v>15218.641806108313</v>
      </c>
      <c r="N38" s="130"/>
      <c r="O38" s="130"/>
      <c r="P38" s="130"/>
      <c r="Q38" s="130"/>
      <c r="R38" s="130"/>
    </row>
    <row r="39" spans="1:19" s="109" customFormat="1" x14ac:dyDescent="0.25">
      <c r="A39" s="118">
        <v>44227</v>
      </c>
      <c r="B39" s="114">
        <f>+'SEF-48 pg.8'!Z32</f>
        <v>5567.2042830772589</v>
      </c>
      <c r="C39" s="117">
        <f t="shared" si="6"/>
        <v>21810.329974831042</v>
      </c>
      <c r="D39" s="116"/>
      <c r="E39" s="114">
        <f t="shared" si="9"/>
        <v>0</v>
      </c>
      <c r="F39" s="114">
        <f t="shared" si="0"/>
        <v>-1169.1128994462242</v>
      </c>
      <c r="G39" s="114">
        <f t="shared" si="7"/>
        <v>-4580.1692947145202</v>
      </c>
      <c r="H39" s="115">
        <f t="shared" si="8"/>
        <v>17230.160680116522</v>
      </c>
      <c r="I39" s="114">
        <f t="shared" si="1"/>
        <v>20394.877065361066</v>
      </c>
      <c r="J39" s="114">
        <f t="shared" si="2"/>
        <v>0</v>
      </c>
      <c r="K39" s="114">
        <f t="shared" si="3"/>
        <v>20394.877065361066</v>
      </c>
      <c r="L39" s="114">
        <f t="shared" si="4"/>
        <v>-4282.9241837258232</v>
      </c>
      <c r="M39" s="114">
        <f t="shared" si="5"/>
        <v>16111.952881635243</v>
      </c>
      <c r="N39" s="129"/>
      <c r="O39" s="130"/>
      <c r="P39" s="130"/>
      <c r="Q39" s="130"/>
      <c r="R39" s="130"/>
    </row>
    <row r="40" spans="1:19" s="109" customFormat="1" x14ac:dyDescent="0.25">
      <c r="A40" s="118">
        <v>44255</v>
      </c>
      <c r="B40" s="114">
        <f>+'SEF-48 pg.8'!Z33</f>
        <v>6549.4460668308284</v>
      </c>
      <c r="C40" s="117">
        <f t="shared" si="6"/>
        <v>28359.776041661869</v>
      </c>
      <c r="D40" s="116"/>
      <c r="E40" s="114">
        <f t="shared" si="9"/>
        <v>0</v>
      </c>
      <c r="F40" s="114">
        <f t="shared" si="0"/>
        <v>-1375.3836740344739</v>
      </c>
      <c r="G40" s="114">
        <f t="shared" si="7"/>
        <v>-5955.5529687489943</v>
      </c>
      <c r="H40" s="115">
        <f t="shared" si="8"/>
        <v>22404.223072912875</v>
      </c>
      <c r="I40" s="114">
        <f t="shared" si="1"/>
        <v>21776.475467500703</v>
      </c>
      <c r="J40" s="114">
        <f t="shared" si="2"/>
        <v>0</v>
      </c>
      <c r="K40" s="114">
        <f t="shared" si="3"/>
        <v>21776.475467500703</v>
      </c>
      <c r="L40" s="114">
        <f t="shared" si="4"/>
        <v>-4573.0598481751485</v>
      </c>
      <c r="M40" s="114">
        <f t="shared" si="5"/>
        <v>17203.415619325555</v>
      </c>
      <c r="N40" s="129"/>
      <c r="O40" s="126"/>
      <c r="P40" s="126"/>
      <c r="Q40" s="126"/>
      <c r="R40" s="126"/>
      <c r="S40" s="126"/>
    </row>
    <row r="41" spans="1:19" s="109" customFormat="1" x14ac:dyDescent="0.25">
      <c r="A41" s="118">
        <v>44286</v>
      </c>
      <c r="B41" s="114">
        <f>+'SEF-48 pg.8'!Z34</f>
        <v>7532.0604641785649</v>
      </c>
      <c r="C41" s="117">
        <f t="shared" si="6"/>
        <v>35891.836505840431</v>
      </c>
      <c r="D41" s="116"/>
      <c r="E41" s="114">
        <f t="shared" si="9"/>
        <v>0</v>
      </c>
      <c r="F41" s="114">
        <f t="shared" si="0"/>
        <v>-1581.7326974774985</v>
      </c>
      <c r="G41" s="114">
        <f t="shared" si="7"/>
        <v>-7537.285666226493</v>
      </c>
      <c r="H41" s="115">
        <f t="shared" si="8"/>
        <v>28354.550839613938</v>
      </c>
      <c r="I41" s="114">
        <f t="shared" si="1"/>
        <v>23427.533021850988</v>
      </c>
      <c r="J41" s="114">
        <f t="shared" si="2"/>
        <v>0</v>
      </c>
      <c r="K41" s="114">
        <f t="shared" si="3"/>
        <v>23427.533021850988</v>
      </c>
      <c r="L41" s="114">
        <f t="shared" si="4"/>
        <v>-4919.7819345887074</v>
      </c>
      <c r="M41" s="114">
        <f t="shared" si="5"/>
        <v>18507.751087262281</v>
      </c>
      <c r="N41" s="129"/>
      <c r="O41" s="126"/>
      <c r="P41" s="126"/>
      <c r="Q41" s="126"/>
      <c r="R41" s="126"/>
      <c r="S41" s="126"/>
    </row>
    <row r="42" spans="1:19" s="109" customFormat="1" x14ac:dyDescent="0.25">
      <c r="A42" s="118">
        <v>44316</v>
      </c>
      <c r="B42" s="114">
        <f>+'SEF-48 pg.8'!Z35</f>
        <v>8514.9042994633837</v>
      </c>
      <c r="C42" s="117">
        <f t="shared" si="6"/>
        <v>44406.740805303816</v>
      </c>
      <c r="D42" s="116"/>
      <c r="E42" s="114">
        <f t="shared" si="9"/>
        <v>0</v>
      </c>
      <c r="F42" s="114">
        <f t="shared" si="0"/>
        <v>-1788.1299028873104</v>
      </c>
      <c r="G42" s="114">
        <f t="shared" si="7"/>
        <v>-9325.4155691138039</v>
      </c>
      <c r="H42" s="115">
        <f t="shared" si="8"/>
        <v>35081.325236190009</v>
      </c>
      <c r="I42" s="114">
        <f t="shared" si="1"/>
        <v>25364.887646240804</v>
      </c>
      <c r="J42" s="114">
        <f t="shared" si="2"/>
        <v>0</v>
      </c>
      <c r="K42" s="114">
        <f t="shared" si="3"/>
        <v>25364.887646240804</v>
      </c>
      <c r="L42" s="114">
        <f t="shared" si="4"/>
        <v>-5326.62640571057</v>
      </c>
      <c r="M42" s="114">
        <f t="shared" si="5"/>
        <v>20038.261240530235</v>
      </c>
      <c r="N42" s="129"/>
    </row>
    <row r="43" spans="1:19" s="126" customFormat="1" x14ac:dyDescent="0.25">
      <c r="A43" s="118">
        <v>44347</v>
      </c>
      <c r="B43" s="114">
        <f>+'SEF-48 pg.8'!Z36</f>
        <v>9502.0931662507046</v>
      </c>
      <c r="C43" s="117">
        <f t="shared" si="6"/>
        <v>53908.833971554523</v>
      </c>
      <c r="D43" s="116"/>
      <c r="E43" s="114">
        <f t="shared" si="9"/>
        <v>0</v>
      </c>
      <c r="F43" s="114">
        <f t="shared" si="0"/>
        <v>-1995.4395649126479</v>
      </c>
      <c r="G43" s="114">
        <f t="shared" si="7"/>
        <v>-11320.855134026451</v>
      </c>
      <c r="H43" s="115">
        <f t="shared" si="8"/>
        <v>42587.97883752807</v>
      </c>
      <c r="I43" s="114">
        <f t="shared" si="1"/>
        <v>27605.330694471599</v>
      </c>
      <c r="J43" s="114">
        <f t="shared" si="2"/>
        <v>0</v>
      </c>
      <c r="K43" s="114">
        <f t="shared" si="3"/>
        <v>27605.330694471599</v>
      </c>
      <c r="L43" s="114">
        <f t="shared" si="4"/>
        <v>-5797.1194458390355</v>
      </c>
      <c r="M43" s="114">
        <f t="shared" si="5"/>
        <v>21808.211248632564</v>
      </c>
      <c r="N43" s="127"/>
    </row>
    <row r="44" spans="1:19" s="109" customFormat="1" x14ac:dyDescent="0.25">
      <c r="A44" s="118">
        <v>44377</v>
      </c>
      <c r="B44" s="114">
        <f>+'SEF-48 pg.8'!Z37</f>
        <v>10501.241051964407</v>
      </c>
      <c r="C44" s="117">
        <f t="shared" si="6"/>
        <v>64410.075023518933</v>
      </c>
      <c r="D44" s="116"/>
      <c r="E44" s="114">
        <f t="shared" si="9"/>
        <v>0</v>
      </c>
      <c r="F44" s="114">
        <f t="shared" si="0"/>
        <v>-2205.2606209125256</v>
      </c>
      <c r="G44" s="114">
        <f t="shared" si="7"/>
        <v>-13526.115754938977</v>
      </c>
      <c r="H44" s="115">
        <f t="shared" si="8"/>
        <v>50883.959268579958</v>
      </c>
      <c r="I44" s="114">
        <f t="shared" si="1"/>
        <v>30165.972151940328</v>
      </c>
      <c r="J44" s="114">
        <f t="shared" si="2"/>
        <v>0</v>
      </c>
      <c r="K44" s="114">
        <f t="shared" si="3"/>
        <v>30165.972151940328</v>
      </c>
      <c r="L44" s="114">
        <f t="shared" si="4"/>
        <v>-6334.8541519074706</v>
      </c>
      <c r="M44" s="114">
        <f t="shared" si="5"/>
        <v>23831.118000032857</v>
      </c>
      <c r="N44" s="127"/>
      <c r="O44" s="126"/>
      <c r="P44" s="126"/>
      <c r="Q44" s="126"/>
      <c r="R44" s="126"/>
    </row>
    <row r="45" spans="1:19" s="109" customFormat="1" x14ac:dyDescent="0.25">
      <c r="A45" s="118">
        <v>44408</v>
      </c>
      <c r="B45" s="114">
        <f>+'SEF-48 pg.8'!Z38</f>
        <v>11500.438021095608</v>
      </c>
      <c r="C45" s="117">
        <f t="shared" si="6"/>
        <v>75910.513044614549</v>
      </c>
      <c r="D45" s="116"/>
      <c r="E45" s="114">
        <f t="shared" si="9"/>
        <v>0</v>
      </c>
      <c r="F45" s="114">
        <f t="shared" si="0"/>
        <v>-2415.0919844300774</v>
      </c>
      <c r="G45" s="114">
        <f t="shared" si="7"/>
        <v>-15941.207739369054</v>
      </c>
      <c r="H45" s="115">
        <f t="shared" si="8"/>
        <v>59969.305305245492</v>
      </c>
      <c r="I45" s="114">
        <f t="shared" si="1"/>
        <v>33043.634775293845</v>
      </c>
      <c r="J45" s="114">
        <f t="shared" si="2"/>
        <v>0</v>
      </c>
      <c r="K45" s="114">
        <f t="shared" si="3"/>
        <v>33043.634775293845</v>
      </c>
      <c r="L45" s="114">
        <f t="shared" si="4"/>
        <v>-6939.1633028117094</v>
      </c>
      <c r="M45" s="114">
        <f t="shared" si="5"/>
        <v>26104.471472482135</v>
      </c>
      <c r="N45" s="127"/>
      <c r="O45" s="126"/>
      <c r="P45" s="126"/>
      <c r="Q45" s="126"/>
      <c r="R45" s="126"/>
    </row>
    <row r="46" spans="1:19" s="109" customFormat="1" x14ac:dyDescent="0.25">
      <c r="A46" s="118">
        <v>44439</v>
      </c>
      <c r="B46" s="114">
        <f>+'SEF-48 pg.8'!Z39</f>
        <v>12499.635270875142</v>
      </c>
      <c r="C46" s="117">
        <f t="shared" si="6"/>
        <v>88410.148315489685</v>
      </c>
      <c r="D46" s="116"/>
      <c r="E46" s="114">
        <f t="shared" si="9"/>
        <v>0</v>
      </c>
      <c r="F46" s="114">
        <f t="shared" si="0"/>
        <v>-2624.9234068837795</v>
      </c>
      <c r="G46" s="114">
        <f t="shared" si="7"/>
        <v>-18566.131146252832</v>
      </c>
      <c r="H46" s="115">
        <f t="shared" si="8"/>
        <v>69844.017169236846</v>
      </c>
      <c r="I46" s="114">
        <f t="shared" si="1"/>
        <v>36192.5796875183</v>
      </c>
      <c r="J46" s="114">
        <f t="shared" si="2"/>
        <v>0</v>
      </c>
      <c r="K46" s="114">
        <f t="shared" si="3"/>
        <v>36192.5796875183</v>
      </c>
      <c r="L46" s="114">
        <f t="shared" si="4"/>
        <v>-7600.4417343788436</v>
      </c>
      <c r="M46" s="114">
        <f t="shared" si="5"/>
        <v>28592.137953139456</v>
      </c>
      <c r="N46" s="127"/>
      <c r="O46" s="126"/>
      <c r="P46" s="126"/>
      <c r="Q46" s="126"/>
      <c r="R46" s="126"/>
    </row>
    <row r="47" spans="1:19" s="109" customFormat="1" x14ac:dyDescent="0.25">
      <c r="A47" s="118">
        <v>44469</v>
      </c>
      <c r="B47" s="114">
        <f>+'SEF-48 pg.8'!Z40</f>
        <v>13498.832131673009</v>
      </c>
      <c r="C47" s="117">
        <f t="shared" si="6"/>
        <v>101908.9804471627</v>
      </c>
      <c r="D47" s="116"/>
      <c r="E47" s="114">
        <f t="shared" si="9"/>
        <v>0</v>
      </c>
      <c r="F47" s="114">
        <f t="shared" si="0"/>
        <v>-2834.7547476513319</v>
      </c>
      <c r="G47" s="114">
        <f t="shared" si="7"/>
        <v>-21400.885893904164</v>
      </c>
      <c r="H47" s="115">
        <f t="shared" si="8"/>
        <v>80508.094553258532</v>
      </c>
      <c r="I47" s="114">
        <f t="shared" si="1"/>
        <v>41862.727936169969</v>
      </c>
      <c r="J47" s="114">
        <f t="shared" si="2"/>
        <v>0</v>
      </c>
      <c r="K47" s="114">
        <f t="shared" si="3"/>
        <v>41862.727936169969</v>
      </c>
      <c r="L47" s="114">
        <f t="shared" si="4"/>
        <v>-8791.1728665956925</v>
      </c>
      <c r="M47" s="114">
        <f t="shared" si="5"/>
        <v>33071.555069574279</v>
      </c>
      <c r="N47" s="127"/>
      <c r="O47" s="126"/>
      <c r="P47" s="126"/>
      <c r="Q47" s="126"/>
      <c r="R47" s="126"/>
    </row>
    <row r="48" spans="1:19" s="109" customFormat="1" x14ac:dyDescent="0.25">
      <c r="A48" s="118">
        <v>44500</v>
      </c>
      <c r="B48" s="114">
        <f>+'SEF-48 pg.8'!Z41</f>
        <v>14497.877649119629</v>
      </c>
      <c r="C48" s="117">
        <f t="shared" si="6"/>
        <v>116406.85809628233</v>
      </c>
      <c r="D48" s="116"/>
      <c r="E48" s="114">
        <f t="shared" si="9"/>
        <v>0</v>
      </c>
      <c r="F48" s="114">
        <f t="shared" si="0"/>
        <v>-3044.5543063151222</v>
      </c>
      <c r="G48" s="114">
        <f t="shared" si="7"/>
        <v>-24445.440200219287</v>
      </c>
      <c r="H48" s="115">
        <f t="shared" si="8"/>
        <v>91961.417896063038</v>
      </c>
      <c r="I48" s="114">
        <f t="shared" si="1"/>
        <v>50419.922937761039</v>
      </c>
      <c r="J48" s="114">
        <f t="shared" si="2"/>
        <v>0</v>
      </c>
      <c r="K48" s="114">
        <f t="shared" si="3"/>
        <v>50419.922937761039</v>
      </c>
      <c r="L48" s="114">
        <f t="shared" si="4"/>
        <v>-10588.183816929819</v>
      </c>
      <c r="M48" s="114">
        <f t="shared" si="5"/>
        <v>39831.739120831218</v>
      </c>
      <c r="N48" s="127"/>
      <c r="O48" s="126"/>
      <c r="P48" s="126"/>
      <c r="Q48" s="126"/>
      <c r="R48" s="126"/>
    </row>
    <row r="49" spans="1:18" s="109" customFormat="1" x14ac:dyDescent="0.25">
      <c r="A49" s="118">
        <v>44530</v>
      </c>
      <c r="B49" s="114">
        <f>+'SEF-48 pg.8'!Z42</f>
        <v>15496.923166566246</v>
      </c>
      <c r="C49" s="117">
        <f t="shared" si="6"/>
        <v>131903.78126284858</v>
      </c>
      <c r="D49" s="116"/>
      <c r="E49" s="114">
        <f t="shared" si="9"/>
        <v>0</v>
      </c>
      <c r="F49" s="114">
        <f t="shared" si="0"/>
        <v>-3254.3538649789116</v>
      </c>
      <c r="G49" s="114">
        <f t="shared" si="7"/>
        <v>-27699.794065198199</v>
      </c>
      <c r="H49" s="115">
        <f t="shared" si="8"/>
        <v>104203.98719765039</v>
      </c>
      <c r="I49" s="114">
        <f t="shared" si="1"/>
        <v>59952.519273043901</v>
      </c>
      <c r="J49" s="114">
        <f t="shared" si="2"/>
        <v>0</v>
      </c>
      <c r="K49" s="114">
        <f t="shared" si="3"/>
        <v>59952.519273043901</v>
      </c>
      <c r="L49" s="114">
        <f t="shared" si="4"/>
        <v>-12590.029047339218</v>
      </c>
      <c r="M49" s="114">
        <f t="shared" si="5"/>
        <v>47362.490225704685</v>
      </c>
      <c r="N49" s="127"/>
      <c r="O49" s="126"/>
      <c r="P49" s="126"/>
      <c r="Q49" s="126"/>
      <c r="R49" s="126"/>
    </row>
    <row r="50" spans="1:18" s="109" customFormat="1" x14ac:dyDescent="0.25">
      <c r="A50" s="118">
        <v>44561</v>
      </c>
      <c r="B50" s="114">
        <f>+'SEF-48 pg.8'!Z43</f>
        <v>16495.968684012863</v>
      </c>
      <c r="C50" s="117">
        <f t="shared" si="6"/>
        <v>148399.74994686144</v>
      </c>
      <c r="D50" s="116"/>
      <c r="E50" s="114">
        <f t="shared" si="9"/>
        <v>0</v>
      </c>
      <c r="F50" s="114">
        <f t="shared" si="0"/>
        <v>-3464.153423642701</v>
      </c>
      <c r="G50" s="114">
        <f t="shared" si="7"/>
        <v>-31163.947488840899</v>
      </c>
      <c r="H50" s="115">
        <f t="shared" si="8"/>
        <v>117235.80245802054</v>
      </c>
      <c r="I50" s="114">
        <f t="shared" si="1"/>
        <v>70470.775942368011</v>
      </c>
      <c r="J50" s="114">
        <f t="shared" si="2"/>
        <v>0</v>
      </c>
      <c r="K50" s="114">
        <f t="shared" si="3"/>
        <v>70470.775942368011</v>
      </c>
      <c r="L50" s="114">
        <f t="shared" si="4"/>
        <v>-14798.86294789728</v>
      </c>
      <c r="M50" s="114">
        <f t="shared" si="5"/>
        <v>55671.912994470731</v>
      </c>
      <c r="N50" s="127"/>
      <c r="O50" s="126"/>
      <c r="P50" s="126"/>
      <c r="Q50" s="126"/>
      <c r="R50" s="126"/>
    </row>
    <row r="51" spans="1:18" s="109" customFormat="1" x14ac:dyDescent="0.25">
      <c r="A51" s="125">
        <v>44592</v>
      </c>
      <c r="B51" s="122">
        <f>+'SEF-48 pg.8'!Z44</f>
        <v>17495.014201459482</v>
      </c>
      <c r="C51" s="124">
        <f t="shared" si="6"/>
        <v>165894.76414832092</v>
      </c>
      <c r="D51" s="123"/>
      <c r="E51" s="122">
        <f t="shared" si="9"/>
        <v>0</v>
      </c>
      <c r="F51" s="122">
        <f t="shared" si="0"/>
        <v>-3673.9529823064913</v>
      </c>
      <c r="G51" s="122">
        <f t="shared" si="7"/>
        <v>-34837.90047114739</v>
      </c>
      <c r="H51" s="121">
        <f t="shared" si="8"/>
        <v>131056.86367717353</v>
      </c>
      <c r="I51" s="120">
        <f t="shared" si="1"/>
        <v>81980.820043559579</v>
      </c>
      <c r="J51" s="119">
        <f t="shared" si="2"/>
        <v>0</v>
      </c>
      <c r="K51" s="119">
        <f t="shared" si="3"/>
        <v>81980.820043559579</v>
      </c>
      <c r="L51" s="119">
        <f t="shared" si="4"/>
        <v>-17215.972209147509</v>
      </c>
      <c r="M51" s="119">
        <f t="shared" si="5"/>
        <v>64764.847834412067</v>
      </c>
      <c r="N51" s="127"/>
      <c r="O51" s="126"/>
      <c r="P51" s="126"/>
      <c r="Q51" s="126"/>
      <c r="R51" s="126"/>
    </row>
    <row r="52" spans="1:18" s="109" customFormat="1" x14ac:dyDescent="0.25">
      <c r="A52" s="125">
        <v>44620</v>
      </c>
      <c r="B52" s="122">
        <f>+'SEF-48 pg.8'!Z45</f>
        <v>18494.059718906101</v>
      </c>
      <c r="C52" s="124">
        <f t="shared" si="6"/>
        <v>184388.82386722701</v>
      </c>
      <c r="D52" s="123"/>
      <c r="E52" s="122">
        <f t="shared" si="9"/>
        <v>0</v>
      </c>
      <c r="F52" s="122">
        <f t="shared" si="0"/>
        <v>-3883.7525409702812</v>
      </c>
      <c r="G52" s="122">
        <f t="shared" si="7"/>
        <v>-38721.653012117669</v>
      </c>
      <c r="H52" s="121">
        <f t="shared" si="8"/>
        <v>145667.17085510935</v>
      </c>
      <c r="I52" s="120">
        <f t="shared" si="1"/>
        <v>94485.548460186852</v>
      </c>
      <c r="J52" s="119">
        <f t="shared" si="2"/>
        <v>0</v>
      </c>
      <c r="K52" s="119">
        <f t="shared" si="3"/>
        <v>94485.548460186852</v>
      </c>
      <c r="L52" s="119">
        <f t="shared" si="4"/>
        <v>-19841.965176639238</v>
      </c>
      <c r="M52" s="119">
        <f t="shared" si="5"/>
        <v>74643.583283547618</v>
      </c>
      <c r="N52" s="127"/>
      <c r="O52" s="126"/>
      <c r="P52" s="126"/>
      <c r="Q52" s="126"/>
      <c r="R52" s="126"/>
    </row>
    <row r="53" spans="1:18" s="109" customFormat="1" x14ac:dyDescent="0.25">
      <c r="A53" s="125">
        <v>44651</v>
      </c>
      <c r="B53" s="122">
        <f>+'SEF-48 pg.8'!Z46</f>
        <v>19493.10523635272</v>
      </c>
      <c r="C53" s="124">
        <f t="shared" si="6"/>
        <v>203881.92910357972</v>
      </c>
      <c r="D53" s="123"/>
      <c r="E53" s="122">
        <f t="shared" si="9"/>
        <v>0</v>
      </c>
      <c r="F53" s="122">
        <f t="shared" si="0"/>
        <v>-4093.5520996340711</v>
      </c>
      <c r="G53" s="122">
        <f t="shared" si="7"/>
        <v>-42815.20511175174</v>
      </c>
      <c r="H53" s="121">
        <f t="shared" si="8"/>
        <v>161066.72399182798</v>
      </c>
      <c r="I53" s="120">
        <f t="shared" si="1"/>
        <v>107986.34597782453</v>
      </c>
      <c r="J53" s="119">
        <f t="shared" si="2"/>
        <v>0</v>
      </c>
      <c r="K53" s="119">
        <f t="shared" si="3"/>
        <v>107986.34597782453</v>
      </c>
      <c r="L53" s="119">
        <f t="shared" si="4"/>
        <v>-22677.132655343154</v>
      </c>
      <c r="M53" s="119">
        <f t="shared" si="5"/>
        <v>85309.213322481373</v>
      </c>
      <c r="N53" s="127"/>
      <c r="O53" s="126"/>
      <c r="P53" s="126"/>
      <c r="Q53" s="126"/>
      <c r="R53" s="126"/>
    </row>
    <row r="54" spans="1:18" s="109" customFormat="1" x14ac:dyDescent="0.25">
      <c r="A54" s="125">
        <v>44681</v>
      </c>
      <c r="B54" s="122">
        <f>+'SEF-48 pg.8'!Z47</f>
        <v>20492.150753799338</v>
      </c>
      <c r="C54" s="124">
        <f t="shared" si="6"/>
        <v>224374.07985737905</v>
      </c>
      <c r="D54" s="123"/>
      <c r="E54" s="122">
        <f t="shared" si="9"/>
        <v>0</v>
      </c>
      <c r="F54" s="122">
        <f t="shared" si="0"/>
        <v>-4303.3516582978609</v>
      </c>
      <c r="G54" s="122">
        <f t="shared" si="7"/>
        <v>-47118.556770049603</v>
      </c>
      <c r="H54" s="121">
        <f t="shared" si="8"/>
        <v>177255.52308732946</v>
      </c>
      <c r="I54" s="120">
        <f t="shared" si="1"/>
        <v>122484.5722965668</v>
      </c>
      <c r="J54" s="119">
        <f t="shared" si="2"/>
        <v>0</v>
      </c>
      <c r="K54" s="119">
        <f t="shared" si="3"/>
        <v>122484.5722965668</v>
      </c>
      <c r="L54" s="119">
        <f t="shared" si="4"/>
        <v>-25721.760182279031</v>
      </c>
      <c r="M54" s="119">
        <f t="shared" si="5"/>
        <v>96762.812114287764</v>
      </c>
      <c r="N54" s="127"/>
      <c r="O54" s="126"/>
      <c r="P54" s="126"/>
      <c r="Q54" s="126"/>
      <c r="R54" s="126"/>
    </row>
    <row r="55" spans="1:18" s="109" customFormat="1" x14ac:dyDescent="0.25">
      <c r="A55" s="125">
        <v>44712</v>
      </c>
      <c r="B55" s="122">
        <f>+'SEF-48 pg.8'!Z48</f>
        <v>21491.196271245957</v>
      </c>
      <c r="C55" s="124">
        <f t="shared" si="6"/>
        <v>245865.276128625</v>
      </c>
      <c r="D55" s="123"/>
      <c r="E55" s="122">
        <f t="shared" si="9"/>
        <v>0</v>
      </c>
      <c r="F55" s="122">
        <f t="shared" ref="F55:F86" si="10">-(B55*$F$9)+(D55*$F$9)</f>
        <v>-4513.1512169616508</v>
      </c>
      <c r="G55" s="122">
        <f t="shared" si="7"/>
        <v>-51631.70798701125</v>
      </c>
      <c r="H55" s="121">
        <f t="shared" si="8"/>
        <v>194233.56814161374</v>
      </c>
      <c r="I55" s="120">
        <f t="shared" ref="I55:I86" si="11">(C43+C55+SUM(C44:C54)*2)/24</f>
        <v>137981.39651361454</v>
      </c>
      <c r="J55" s="119">
        <f t="shared" ref="J55:J86" si="12">(E43+E55+SUM(E44:E54)*2)/24</f>
        <v>0</v>
      </c>
      <c r="K55" s="119">
        <f t="shared" ref="K55:K86" si="13">I55+J55</f>
        <v>137981.39651361454</v>
      </c>
      <c r="L55" s="119">
        <f t="shared" ref="L55:L86" si="14">(G43+G55+SUM(G44:G54)*2)/24</f>
        <v>-28976.093267859051</v>
      </c>
      <c r="M55" s="119">
        <f t="shared" ref="M55:M86" si="15">K55+L55</f>
        <v>109005.30324575549</v>
      </c>
      <c r="N55" s="127"/>
      <c r="O55" s="126"/>
      <c r="P55" s="126"/>
      <c r="Q55" s="126"/>
      <c r="R55" s="126"/>
    </row>
    <row r="56" spans="1:18" s="109" customFormat="1" x14ac:dyDescent="0.25">
      <c r="A56" s="125">
        <v>44742</v>
      </c>
      <c r="B56" s="122">
        <f>+'SEF-48 pg.8'!Z49</f>
        <v>22490.241788692576</v>
      </c>
      <c r="C56" s="124">
        <f t="shared" ref="C56:C87" si="16">+B56+C55</f>
        <v>268355.51791731757</v>
      </c>
      <c r="D56" s="123"/>
      <c r="E56" s="122">
        <f t="shared" si="9"/>
        <v>0</v>
      </c>
      <c r="F56" s="122">
        <f t="shared" si="10"/>
        <v>-4722.9507756254407</v>
      </c>
      <c r="G56" s="122">
        <f t="shared" ref="G56:G87" si="17">G55+F56</f>
        <v>-56354.658762636689</v>
      </c>
      <c r="H56" s="121">
        <f t="shared" ref="H56:H87" si="18">C56+E56+G56</f>
        <v>212000.85915468089</v>
      </c>
      <c r="I56" s="120">
        <f t="shared" si="11"/>
        <v>154477.30839073411</v>
      </c>
      <c r="J56" s="119">
        <f t="shared" si="12"/>
        <v>0</v>
      </c>
      <c r="K56" s="119">
        <f t="shared" si="13"/>
        <v>154477.30839073411</v>
      </c>
      <c r="L56" s="119">
        <f t="shared" si="14"/>
        <v>-32440.234762054155</v>
      </c>
      <c r="M56" s="119">
        <f t="shared" si="15"/>
        <v>122037.07362867995</v>
      </c>
      <c r="N56" s="127"/>
      <c r="O56" s="126"/>
      <c r="P56" s="126"/>
      <c r="Q56" s="126"/>
      <c r="R56" s="126"/>
    </row>
    <row r="57" spans="1:18" s="109" customFormat="1" x14ac:dyDescent="0.25">
      <c r="A57" s="125">
        <v>44773</v>
      </c>
      <c r="B57" s="122">
        <f>+'SEF-48 pg.8'!Z50</f>
        <v>23489.287306139195</v>
      </c>
      <c r="C57" s="124">
        <f t="shared" si="16"/>
        <v>291844.80522345676</v>
      </c>
      <c r="D57" s="123"/>
      <c r="E57" s="122">
        <f t="shared" si="9"/>
        <v>0</v>
      </c>
      <c r="F57" s="122">
        <f t="shared" si="10"/>
        <v>-4932.7503342892305</v>
      </c>
      <c r="G57" s="122">
        <f t="shared" si="17"/>
        <v>-61287.40909692592</v>
      </c>
      <c r="H57" s="121">
        <f t="shared" si="18"/>
        <v>230557.39612653083</v>
      </c>
      <c r="I57" s="120">
        <f t="shared" si="11"/>
        <v>171972.29735209415</v>
      </c>
      <c r="J57" s="119">
        <f t="shared" si="12"/>
        <v>0</v>
      </c>
      <c r="K57" s="119">
        <f t="shared" si="13"/>
        <v>171972.29735209415</v>
      </c>
      <c r="L57" s="119">
        <f t="shared" si="14"/>
        <v>-36114.182443939768</v>
      </c>
      <c r="M57" s="119">
        <f t="shared" si="15"/>
        <v>135858.11490815438</v>
      </c>
      <c r="N57" s="127"/>
      <c r="O57" s="126"/>
      <c r="P57" s="126"/>
      <c r="Q57" s="126"/>
      <c r="R57" s="126"/>
    </row>
    <row r="58" spans="1:18" s="109" customFormat="1" x14ac:dyDescent="0.25">
      <c r="A58" s="125">
        <v>44804</v>
      </c>
      <c r="B58" s="122">
        <f>+'SEF-48 pg.8'!Z51</f>
        <v>24488.33282358581</v>
      </c>
      <c r="C58" s="124">
        <f t="shared" si="16"/>
        <v>316333.13804704259</v>
      </c>
      <c r="D58" s="123"/>
      <c r="E58" s="122">
        <f t="shared" si="9"/>
        <v>0</v>
      </c>
      <c r="F58" s="122">
        <f t="shared" si="10"/>
        <v>-5142.5498929530195</v>
      </c>
      <c r="G58" s="122">
        <f t="shared" si="17"/>
        <v>-66429.958989878942</v>
      </c>
      <c r="H58" s="121">
        <f t="shared" si="18"/>
        <v>249903.17905716365</v>
      </c>
      <c r="I58" s="120">
        <f t="shared" si="11"/>
        <v>190466.35076502725</v>
      </c>
      <c r="J58" s="119">
        <f t="shared" si="12"/>
        <v>0</v>
      </c>
      <c r="K58" s="119">
        <f t="shared" si="13"/>
        <v>190466.35076502725</v>
      </c>
      <c r="L58" s="119">
        <f t="shared" si="14"/>
        <v>-39997.933660655726</v>
      </c>
      <c r="M58" s="119">
        <f t="shared" si="15"/>
        <v>150468.41710437153</v>
      </c>
      <c r="N58" s="127"/>
      <c r="O58" s="126"/>
      <c r="P58" s="126"/>
      <c r="Q58" s="126"/>
      <c r="R58" s="126"/>
    </row>
    <row r="59" spans="1:18" s="109" customFormat="1" x14ac:dyDescent="0.25">
      <c r="A59" s="125">
        <v>44834</v>
      </c>
      <c r="B59" s="122">
        <f>+'SEF-48 pg.8'!Z52</f>
        <v>25487.378341032429</v>
      </c>
      <c r="C59" s="124">
        <f t="shared" si="16"/>
        <v>341820.51638807502</v>
      </c>
      <c r="D59" s="123"/>
      <c r="E59" s="122">
        <f t="shared" si="9"/>
        <v>0</v>
      </c>
      <c r="F59" s="122">
        <f t="shared" si="10"/>
        <v>-5352.3494516168103</v>
      </c>
      <c r="G59" s="122">
        <f t="shared" si="17"/>
        <v>-71782.308441495756</v>
      </c>
      <c r="H59" s="121">
        <f t="shared" si="18"/>
        <v>270038.20794657926</v>
      </c>
      <c r="I59" s="120">
        <f t="shared" si="11"/>
        <v>209959.45600137999</v>
      </c>
      <c r="J59" s="119">
        <f t="shared" si="12"/>
        <v>0</v>
      </c>
      <c r="K59" s="119">
        <f t="shared" si="13"/>
        <v>209959.45600137999</v>
      </c>
      <c r="L59" s="119">
        <f t="shared" si="14"/>
        <v>-44091.485760289797</v>
      </c>
      <c r="M59" s="119">
        <f t="shared" si="15"/>
        <v>165867.9702410902</v>
      </c>
      <c r="N59" s="127"/>
      <c r="O59" s="126"/>
      <c r="P59" s="126"/>
      <c r="Q59" s="126"/>
      <c r="R59" s="126"/>
    </row>
    <row r="60" spans="1:18" s="109" customFormat="1" x14ac:dyDescent="0.25">
      <c r="A60" s="125">
        <v>44865</v>
      </c>
      <c r="B60" s="122">
        <f>+'SEF-48 pg.8'!Z53</f>
        <v>26486.423858479051</v>
      </c>
      <c r="C60" s="124">
        <f t="shared" si="16"/>
        <v>368306.94024655409</v>
      </c>
      <c r="D60" s="123"/>
      <c r="E60" s="122">
        <f t="shared" si="9"/>
        <v>0</v>
      </c>
      <c r="F60" s="122">
        <f t="shared" si="10"/>
        <v>-5562.1490102806001</v>
      </c>
      <c r="G60" s="122">
        <f t="shared" si="17"/>
        <v>-77344.457451776354</v>
      </c>
      <c r="H60" s="121">
        <f t="shared" si="18"/>
        <v>290962.48279477772</v>
      </c>
      <c r="I60" s="120">
        <f t="shared" si="11"/>
        <v>230451.60675517932</v>
      </c>
      <c r="J60" s="119">
        <f t="shared" si="12"/>
        <v>0</v>
      </c>
      <c r="K60" s="119">
        <f t="shared" si="13"/>
        <v>230451.60675517932</v>
      </c>
      <c r="L60" s="119">
        <f t="shared" si="14"/>
        <v>-48394.837418587646</v>
      </c>
      <c r="M60" s="119">
        <f t="shared" si="15"/>
        <v>182056.76933659168</v>
      </c>
      <c r="N60" s="127"/>
      <c r="O60" s="126"/>
      <c r="P60" s="126"/>
      <c r="Q60" s="126"/>
      <c r="R60" s="126"/>
    </row>
    <row r="61" spans="1:18" s="109" customFormat="1" x14ac:dyDescent="0.25">
      <c r="A61" s="125">
        <v>44895</v>
      </c>
      <c r="B61" s="122">
        <f>+'SEF-48 pg.8'!Z54</f>
        <v>27485.469375925662</v>
      </c>
      <c r="C61" s="124">
        <f t="shared" si="16"/>
        <v>395792.40962247975</v>
      </c>
      <c r="D61" s="123"/>
      <c r="E61" s="122">
        <f t="shared" si="9"/>
        <v>0</v>
      </c>
      <c r="F61" s="122">
        <f t="shared" si="10"/>
        <v>-5771.9485689443891</v>
      </c>
      <c r="G61" s="122">
        <f t="shared" si="17"/>
        <v>-83116.406020720737</v>
      </c>
      <c r="H61" s="121">
        <f t="shared" si="18"/>
        <v>312676.00360175903</v>
      </c>
      <c r="I61" s="120">
        <f t="shared" si="11"/>
        <v>251942.8030264253</v>
      </c>
      <c r="J61" s="119">
        <f t="shared" si="12"/>
        <v>0</v>
      </c>
      <c r="K61" s="119">
        <f t="shared" si="13"/>
        <v>251942.8030264253</v>
      </c>
      <c r="L61" s="119">
        <f t="shared" si="14"/>
        <v>-52907.9886355493</v>
      </c>
      <c r="M61" s="119">
        <f t="shared" si="15"/>
        <v>199034.81439087601</v>
      </c>
      <c r="N61" s="127"/>
      <c r="O61" s="126"/>
      <c r="P61" s="126"/>
      <c r="Q61" s="126"/>
      <c r="R61" s="126"/>
    </row>
    <row r="62" spans="1:18" s="109" customFormat="1" x14ac:dyDescent="0.25">
      <c r="A62" s="125">
        <v>44926</v>
      </c>
      <c r="B62" s="122">
        <f>+'SEF-48 pg.8'!Z55</f>
        <v>28484.514893372281</v>
      </c>
      <c r="C62" s="124">
        <f t="shared" si="16"/>
        <v>424276.92451585201</v>
      </c>
      <c r="D62" s="123"/>
      <c r="E62" s="122">
        <f t="shared" si="9"/>
        <v>0</v>
      </c>
      <c r="F62" s="122">
        <f t="shared" si="10"/>
        <v>-5981.7481276081789</v>
      </c>
      <c r="G62" s="122">
        <f t="shared" si="17"/>
        <v>-89098.154148328918</v>
      </c>
      <c r="H62" s="121">
        <f t="shared" si="18"/>
        <v>335178.77036752307</v>
      </c>
      <c r="I62" s="120">
        <f t="shared" si="11"/>
        <v>274433.04481511784</v>
      </c>
      <c r="J62" s="119">
        <f t="shared" si="12"/>
        <v>0</v>
      </c>
      <c r="K62" s="119">
        <f t="shared" si="13"/>
        <v>274433.04481511784</v>
      </c>
      <c r="L62" s="119">
        <f t="shared" si="14"/>
        <v>-57630.939411174739</v>
      </c>
      <c r="M62" s="119">
        <f t="shared" si="15"/>
        <v>216802.1054039431</v>
      </c>
      <c r="N62" s="127"/>
      <c r="O62" s="126"/>
      <c r="P62" s="126"/>
      <c r="Q62" s="126"/>
      <c r="R62" s="126"/>
    </row>
    <row r="63" spans="1:18" s="109" customFormat="1" x14ac:dyDescent="0.25">
      <c r="A63" s="118">
        <v>44957</v>
      </c>
      <c r="B63" s="114"/>
      <c r="C63" s="117">
        <f t="shared" si="16"/>
        <v>424276.92451585201</v>
      </c>
      <c r="D63" s="116">
        <f t="shared" ref="D63:D110" si="19">+C63/48</f>
        <v>8839.1025940802501</v>
      </c>
      <c r="E63" s="114">
        <f t="shared" si="9"/>
        <v>-8839.1025940802501</v>
      </c>
      <c r="F63" s="114">
        <f t="shared" si="10"/>
        <v>1856.2115447568524</v>
      </c>
      <c r="G63" s="114">
        <f t="shared" si="17"/>
        <v>-87241.942603572068</v>
      </c>
      <c r="H63" s="115">
        <f t="shared" si="18"/>
        <v>328195.8793181997</v>
      </c>
      <c r="I63" s="114">
        <f t="shared" si="11"/>
        <v>296693.85043747292</v>
      </c>
      <c r="J63" s="114">
        <f t="shared" si="12"/>
        <v>-368.29594142001042</v>
      </c>
      <c r="K63" s="114">
        <f t="shared" si="13"/>
        <v>296325.55449605291</v>
      </c>
      <c r="L63" s="114">
        <f t="shared" si="14"/>
        <v>-62228.366444171108</v>
      </c>
      <c r="M63" s="114">
        <f t="shared" si="15"/>
        <v>234097.18805188179</v>
      </c>
      <c r="N63" s="127"/>
      <c r="O63" s="126"/>
      <c r="P63" s="126"/>
      <c r="Q63" s="126"/>
      <c r="R63" s="126"/>
    </row>
    <row r="64" spans="1:18" s="109" customFormat="1" x14ac:dyDescent="0.25">
      <c r="A64" s="118">
        <v>44985</v>
      </c>
      <c r="B64" s="114"/>
      <c r="C64" s="117">
        <f t="shared" si="16"/>
        <v>424276.92451585201</v>
      </c>
      <c r="D64" s="116">
        <f t="shared" si="19"/>
        <v>8839.1025940802501</v>
      </c>
      <c r="E64" s="114">
        <f t="shared" si="9"/>
        <v>-17678.2051881605</v>
      </c>
      <c r="F64" s="114">
        <f t="shared" si="10"/>
        <v>1856.2115447568524</v>
      </c>
      <c r="G64" s="114">
        <f t="shared" si="17"/>
        <v>-85385.731058815218</v>
      </c>
      <c r="H64" s="115">
        <f t="shared" si="18"/>
        <v>321212.98826887627</v>
      </c>
      <c r="I64" s="114">
        <f t="shared" si="11"/>
        <v>317455.11131314607</v>
      </c>
      <c r="J64" s="114">
        <f t="shared" si="12"/>
        <v>-1473.1837656800417</v>
      </c>
      <c r="K64" s="114">
        <f t="shared" si="13"/>
        <v>315981.92754746601</v>
      </c>
      <c r="L64" s="114">
        <f t="shared" si="14"/>
        <v>-66356.204784967864</v>
      </c>
      <c r="M64" s="114">
        <f t="shared" si="15"/>
        <v>249625.72276249813</v>
      </c>
      <c r="N64" s="127"/>
      <c r="O64" s="126"/>
      <c r="P64" s="126"/>
      <c r="Q64" s="126"/>
      <c r="R64" s="126"/>
    </row>
    <row r="65" spans="1:18" s="109" customFormat="1" x14ac:dyDescent="0.25">
      <c r="A65" s="118">
        <v>45016</v>
      </c>
      <c r="B65" s="114"/>
      <c r="C65" s="117">
        <f t="shared" si="16"/>
        <v>424276.92451585201</v>
      </c>
      <c r="D65" s="116">
        <f t="shared" si="19"/>
        <v>8839.1025940802501</v>
      </c>
      <c r="E65" s="114">
        <f t="shared" si="9"/>
        <v>-26517.30778224075</v>
      </c>
      <c r="F65" s="114">
        <f t="shared" si="10"/>
        <v>1856.2115447568524</v>
      </c>
      <c r="G65" s="114">
        <f t="shared" si="17"/>
        <v>-83529.519514058367</v>
      </c>
      <c r="H65" s="115">
        <f t="shared" si="18"/>
        <v>314230.0972195529</v>
      </c>
      <c r="I65" s="114">
        <f t="shared" si="11"/>
        <v>336633.57364901673</v>
      </c>
      <c r="J65" s="114">
        <f t="shared" si="12"/>
        <v>-3314.6634727800938</v>
      </c>
      <c r="K65" s="114">
        <f t="shared" si="13"/>
        <v>333318.91017623665</v>
      </c>
      <c r="L65" s="114">
        <f t="shared" si="14"/>
        <v>-69996.971137009707</v>
      </c>
      <c r="M65" s="114">
        <f t="shared" si="15"/>
        <v>263321.93903922697</v>
      </c>
      <c r="N65" s="127"/>
      <c r="O65" s="126"/>
      <c r="P65" s="126"/>
      <c r="Q65" s="126"/>
      <c r="R65" s="126"/>
    </row>
    <row r="66" spans="1:18" s="109" customFormat="1" x14ac:dyDescent="0.25">
      <c r="A66" s="118">
        <v>45046</v>
      </c>
      <c r="B66" s="114"/>
      <c r="C66" s="117">
        <f t="shared" si="16"/>
        <v>424276.92451585201</v>
      </c>
      <c r="D66" s="116">
        <f t="shared" si="19"/>
        <v>8839.1025940802501</v>
      </c>
      <c r="E66" s="114">
        <f t="shared" si="9"/>
        <v>-35356.410376321001</v>
      </c>
      <c r="F66" s="114">
        <f t="shared" si="10"/>
        <v>1856.2115447568524</v>
      </c>
      <c r="G66" s="114">
        <f t="shared" si="17"/>
        <v>-81673.307969301517</v>
      </c>
      <c r="H66" s="115">
        <f t="shared" si="18"/>
        <v>307247.20617022947</v>
      </c>
      <c r="I66" s="114">
        <f t="shared" si="11"/>
        <v>354145.98365196452</v>
      </c>
      <c r="J66" s="114">
        <f t="shared" si="12"/>
        <v>-5892.7350627201668</v>
      </c>
      <c r="K66" s="114">
        <f t="shared" si="13"/>
        <v>348253.24858924432</v>
      </c>
      <c r="L66" s="114">
        <f t="shared" si="14"/>
        <v>-73133.182203741322</v>
      </c>
      <c r="M66" s="114">
        <f t="shared" si="15"/>
        <v>275120.06638550299</v>
      </c>
      <c r="N66" s="127"/>
      <c r="O66" s="126"/>
      <c r="P66" s="126"/>
      <c r="Q66" s="126"/>
      <c r="R66" s="126"/>
    </row>
    <row r="67" spans="1:18" s="109" customFormat="1" x14ac:dyDescent="0.25">
      <c r="A67" s="118">
        <v>45077</v>
      </c>
      <c r="B67" s="114"/>
      <c r="C67" s="117">
        <f t="shared" si="16"/>
        <v>424276.92451585201</v>
      </c>
      <c r="D67" s="116">
        <f t="shared" si="19"/>
        <v>8839.1025940802501</v>
      </c>
      <c r="E67" s="114">
        <f t="shared" si="9"/>
        <v>-44195.512970401251</v>
      </c>
      <c r="F67" s="114">
        <f t="shared" si="10"/>
        <v>1856.2115447568524</v>
      </c>
      <c r="G67" s="114">
        <f t="shared" si="17"/>
        <v>-79817.096424544667</v>
      </c>
      <c r="H67" s="115">
        <f t="shared" si="18"/>
        <v>300264.3151209061</v>
      </c>
      <c r="I67" s="114">
        <f t="shared" si="11"/>
        <v>369909.08752886858</v>
      </c>
      <c r="J67" s="114">
        <f t="shared" si="12"/>
        <v>-9207.3985355002606</v>
      </c>
      <c r="K67" s="114">
        <f t="shared" si="13"/>
        <v>360701.6889933683</v>
      </c>
      <c r="L67" s="114">
        <f t="shared" si="14"/>
        <v>-75747.354688607375</v>
      </c>
      <c r="M67" s="114">
        <f t="shared" si="15"/>
        <v>284954.33430476091</v>
      </c>
      <c r="N67" s="127"/>
      <c r="O67" s="126"/>
      <c r="P67" s="126"/>
      <c r="Q67" s="126"/>
      <c r="R67" s="126"/>
    </row>
    <row r="68" spans="1:18" s="109" customFormat="1" x14ac:dyDescent="0.25">
      <c r="A68" s="118">
        <v>45107</v>
      </c>
      <c r="B68" s="114"/>
      <c r="C68" s="117">
        <f t="shared" si="16"/>
        <v>424276.92451585201</v>
      </c>
      <c r="D68" s="116">
        <f t="shared" si="19"/>
        <v>8839.1025940802501</v>
      </c>
      <c r="E68" s="114">
        <f t="shared" ref="E68:E99" si="20">E67-D68</f>
        <v>-53034.615564481501</v>
      </c>
      <c r="F68" s="114">
        <f t="shared" si="10"/>
        <v>1856.2115447568524</v>
      </c>
      <c r="G68" s="114">
        <f t="shared" si="17"/>
        <v>-77960.884879787816</v>
      </c>
      <c r="H68" s="115">
        <f t="shared" si="18"/>
        <v>293281.42407158273</v>
      </c>
      <c r="I68" s="114">
        <f t="shared" si="11"/>
        <v>383839.63148660865</v>
      </c>
      <c r="J68" s="114">
        <f t="shared" si="12"/>
        <v>-13258.653891120373</v>
      </c>
      <c r="K68" s="114">
        <f t="shared" si="13"/>
        <v>370580.97759548825</v>
      </c>
      <c r="L68" s="114">
        <f t="shared" si="14"/>
        <v>-77822.005295052557</v>
      </c>
      <c r="M68" s="114">
        <f t="shared" si="15"/>
        <v>292758.97230043571</v>
      </c>
      <c r="N68" s="127"/>
      <c r="O68" s="126"/>
      <c r="P68" s="126"/>
      <c r="Q68" s="126"/>
      <c r="R68" s="126"/>
    </row>
    <row r="69" spans="1:18" s="109" customFormat="1" x14ac:dyDescent="0.25">
      <c r="A69" s="118">
        <v>45138</v>
      </c>
      <c r="B69" s="114"/>
      <c r="C69" s="117">
        <f t="shared" si="16"/>
        <v>424276.92451585201</v>
      </c>
      <c r="D69" s="116">
        <f t="shared" si="19"/>
        <v>8839.1025940802501</v>
      </c>
      <c r="E69" s="114">
        <f t="shared" si="20"/>
        <v>-61873.718158561751</v>
      </c>
      <c r="F69" s="114">
        <f t="shared" si="10"/>
        <v>1856.2115447568524</v>
      </c>
      <c r="G69" s="114">
        <f t="shared" si="17"/>
        <v>-76104.673335030966</v>
      </c>
      <c r="H69" s="115">
        <f t="shared" si="18"/>
        <v>286298.5330222593</v>
      </c>
      <c r="I69" s="114">
        <f t="shared" si="11"/>
        <v>395854.36173206405</v>
      </c>
      <c r="J69" s="114">
        <f t="shared" si="12"/>
        <v>-18046.501129580509</v>
      </c>
      <c r="K69" s="114">
        <f t="shared" si="13"/>
        <v>377807.86060248356</v>
      </c>
      <c r="L69" s="114">
        <f t="shared" si="14"/>
        <v>-79339.650726521577</v>
      </c>
      <c r="M69" s="114">
        <f t="shared" si="15"/>
        <v>298468.209875962</v>
      </c>
      <c r="N69" s="127"/>
      <c r="O69" s="126"/>
      <c r="P69" s="126"/>
      <c r="Q69" s="126"/>
      <c r="R69" s="126"/>
    </row>
    <row r="70" spans="1:18" s="109" customFormat="1" x14ac:dyDescent="0.25">
      <c r="A70" s="118">
        <v>45169</v>
      </c>
      <c r="B70" s="114"/>
      <c r="C70" s="117">
        <f t="shared" si="16"/>
        <v>424276.92451585201</v>
      </c>
      <c r="D70" s="116">
        <f t="shared" si="19"/>
        <v>8839.1025940802501</v>
      </c>
      <c r="E70" s="114">
        <f t="shared" si="20"/>
        <v>-70712.820752642001</v>
      </c>
      <c r="F70" s="114">
        <f t="shared" si="10"/>
        <v>1856.2115447568524</v>
      </c>
      <c r="G70" s="114">
        <f t="shared" si="17"/>
        <v>-74248.461790274116</v>
      </c>
      <c r="H70" s="115">
        <f t="shared" si="18"/>
        <v>279315.64197293587</v>
      </c>
      <c r="I70" s="114">
        <f t="shared" si="11"/>
        <v>405870.02447211422</v>
      </c>
      <c r="J70" s="114">
        <f t="shared" si="12"/>
        <v>-23570.940250880667</v>
      </c>
      <c r="K70" s="114">
        <f t="shared" si="13"/>
        <v>382299.08422123356</v>
      </c>
      <c r="L70" s="114">
        <f t="shared" si="14"/>
        <v>-80282.807686459084</v>
      </c>
      <c r="M70" s="114">
        <f t="shared" si="15"/>
        <v>302016.27653477446</v>
      </c>
      <c r="N70" s="127"/>
      <c r="O70" s="126"/>
      <c r="P70" s="126"/>
      <c r="Q70" s="126"/>
      <c r="R70" s="126"/>
    </row>
    <row r="71" spans="1:18" s="109" customFormat="1" x14ac:dyDescent="0.25">
      <c r="A71" s="118">
        <v>45199</v>
      </c>
      <c r="B71" s="114"/>
      <c r="C71" s="117">
        <f t="shared" si="16"/>
        <v>424276.92451585201</v>
      </c>
      <c r="D71" s="116">
        <f t="shared" si="19"/>
        <v>8839.1025940802501</v>
      </c>
      <c r="E71" s="114">
        <f t="shared" si="20"/>
        <v>-79551.923346722251</v>
      </c>
      <c r="F71" s="114">
        <f t="shared" si="10"/>
        <v>1856.2115447568524</v>
      </c>
      <c r="G71" s="114">
        <f t="shared" si="17"/>
        <v>-72392.250245517265</v>
      </c>
      <c r="H71" s="115">
        <f t="shared" si="18"/>
        <v>272332.7509236125</v>
      </c>
      <c r="I71" s="114">
        <f t="shared" si="11"/>
        <v>413803.36591363867</v>
      </c>
      <c r="J71" s="114">
        <f t="shared" si="12"/>
        <v>-29831.971255020846</v>
      </c>
      <c r="K71" s="114">
        <f t="shared" si="13"/>
        <v>383971.39465861785</v>
      </c>
      <c r="L71" s="114">
        <f t="shared" si="14"/>
        <v>-80633.992878309786</v>
      </c>
      <c r="M71" s="114">
        <f t="shared" si="15"/>
        <v>303337.40178030805</v>
      </c>
      <c r="N71" s="127"/>
      <c r="O71" s="126"/>
      <c r="P71" s="126"/>
      <c r="Q71" s="126"/>
      <c r="R71" s="126"/>
    </row>
    <row r="72" spans="1:18" s="109" customFormat="1" x14ac:dyDescent="0.25">
      <c r="A72" s="118">
        <v>45230</v>
      </c>
      <c r="B72" s="114"/>
      <c r="C72" s="117">
        <f t="shared" si="16"/>
        <v>424276.92451585201</v>
      </c>
      <c r="D72" s="116">
        <f t="shared" si="19"/>
        <v>8839.1025940802501</v>
      </c>
      <c r="E72" s="114">
        <f t="shared" si="20"/>
        <v>-88391.025940802501</v>
      </c>
      <c r="F72" s="114">
        <f t="shared" si="10"/>
        <v>1856.2115447568524</v>
      </c>
      <c r="G72" s="114">
        <f t="shared" si="17"/>
        <v>-70536.038700760415</v>
      </c>
      <c r="H72" s="115">
        <f t="shared" si="18"/>
        <v>265349.85987428908</v>
      </c>
      <c r="I72" s="114">
        <f t="shared" si="11"/>
        <v>419571.13226351683</v>
      </c>
      <c r="J72" s="114">
        <f t="shared" si="12"/>
        <v>-36829.594142001042</v>
      </c>
      <c r="K72" s="114">
        <f t="shared" si="13"/>
        <v>382741.53812151577</v>
      </c>
      <c r="L72" s="114">
        <f t="shared" si="14"/>
        <v>-80375.723005518332</v>
      </c>
      <c r="M72" s="114">
        <f t="shared" si="15"/>
        <v>302365.81511599745</v>
      </c>
      <c r="N72" s="127"/>
      <c r="O72" s="126"/>
      <c r="P72" s="126"/>
      <c r="Q72" s="126"/>
      <c r="R72" s="126"/>
    </row>
    <row r="73" spans="1:18" s="109" customFormat="1" x14ac:dyDescent="0.25">
      <c r="A73" s="118">
        <v>45260</v>
      </c>
      <c r="B73" s="114"/>
      <c r="C73" s="117">
        <f t="shared" si="16"/>
        <v>424276.92451585201</v>
      </c>
      <c r="D73" s="116">
        <f t="shared" si="19"/>
        <v>8839.1025940802501</v>
      </c>
      <c r="E73" s="114">
        <f t="shared" si="20"/>
        <v>-97230.128534882751</v>
      </c>
      <c r="F73" s="114">
        <f t="shared" si="10"/>
        <v>1856.2115447568524</v>
      </c>
      <c r="G73" s="114">
        <f t="shared" si="17"/>
        <v>-68679.827156003565</v>
      </c>
      <c r="H73" s="115">
        <f t="shared" si="18"/>
        <v>258366.9688249657</v>
      </c>
      <c r="I73" s="114">
        <f t="shared" si="11"/>
        <v>423090.06972862803</v>
      </c>
      <c r="J73" s="114">
        <f t="shared" si="12"/>
        <v>-44563.808911821259</v>
      </c>
      <c r="K73" s="114">
        <f t="shared" si="13"/>
        <v>378526.26081680675</v>
      </c>
      <c r="L73" s="114">
        <f t="shared" si="14"/>
        <v>-79490.514771529459</v>
      </c>
      <c r="M73" s="114">
        <f t="shared" si="15"/>
        <v>299035.74604527728</v>
      </c>
    </row>
    <row r="74" spans="1:18" s="109" customFormat="1" x14ac:dyDescent="0.25">
      <c r="A74" s="118">
        <v>45291</v>
      </c>
      <c r="B74" s="114"/>
      <c r="C74" s="117">
        <f t="shared" si="16"/>
        <v>424276.92451585201</v>
      </c>
      <c r="D74" s="116">
        <f t="shared" si="19"/>
        <v>8839.1025940802501</v>
      </c>
      <c r="E74" s="114">
        <f t="shared" si="20"/>
        <v>-106069.231128963</v>
      </c>
      <c r="F74" s="114">
        <f t="shared" si="10"/>
        <v>1856.2115447568524</v>
      </c>
      <c r="G74" s="114">
        <f t="shared" si="17"/>
        <v>-66823.615611246714</v>
      </c>
      <c r="H74" s="115">
        <f t="shared" si="18"/>
        <v>251384.07777564228</v>
      </c>
      <c r="I74" s="114">
        <f t="shared" si="11"/>
        <v>424276.92451585183</v>
      </c>
      <c r="J74" s="114">
        <f t="shared" si="12"/>
        <v>-53034.615564481501</v>
      </c>
      <c r="K74" s="114">
        <f t="shared" si="13"/>
        <v>371242.3089513703</v>
      </c>
      <c r="L74" s="114">
        <f t="shared" si="14"/>
        <v>-77960.884879787816</v>
      </c>
      <c r="M74" s="114">
        <f t="shared" si="15"/>
        <v>293281.4240715825</v>
      </c>
    </row>
    <row r="75" spans="1:18" s="109" customFormat="1" x14ac:dyDescent="0.25">
      <c r="A75" s="125">
        <v>45322</v>
      </c>
      <c r="B75" s="122"/>
      <c r="C75" s="124">
        <f t="shared" si="16"/>
        <v>424276.92451585201</v>
      </c>
      <c r="D75" s="123">
        <f t="shared" si="19"/>
        <v>8839.1025940802501</v>
      </c>
      <c r="E75" s="122">
        <f t="shared" si="20"/>
        <v>-114908.33372304325</v>
      </c>
      <c r="F75" s="122">
        <f t="shared" si="10"/>
        <v>1856.2115447568524</v>
      </c>
      <c r="G75" s="122">
        <f t="shared" si="17"/>
        <v>-64967.404066489864</v>
      </c>
      <c r="H75" s="121">
        <f t="shared" si="18"/>
        <v>244401.18672631888</v>
      </c>
      <c r="I75" s="120">
        <f t="shared" si="11"/>
        <v>424276.92451585183</v>
      </c>
      <c r="J75" s="119">
        <f t="shared" si="12"/>
        <v>-61873.718158561758</v>
      </c>
      <c r="K75" s="119">
        <f t="shared" si="13"/>
        <v>362403.2063572901</v>
      </c>
      <c r="L75" s="119">
        <f t="shared" si="14"/>
        <v>-76104.673335030966</v>
      </c>
      <c r="M75" s="119">
        <f t="shared" si="15"/>
        <v>286298.53302225913</v>
      </c>
    </row>
    <row r="76" spans="1:18" s="109" customFormat="1" x14ac:dyDescent="0.25">
      <c r="A76" s="125">
        <v>45351</v>
      </c>
      <c r="B76" s="122"/>
      <c r="C76" s="124">
        <f t="shared" si="16"/>
        <v>424276.92451585201</v>
      </c>
      <c r="D76" s="123">
        <f t="shared" si="19"/>
        <v>8839.1025940802501</v>
      </c>
      <c r="E76" s="122">
        <f t="shared" si="20"/>
        <v>-123747.4363171235</v>
      </c>
      <c r="F76" s="122">
        <f t="shared" si="10"/>
        <v>1856.2115447568524</v>
      </c>
      <c r="G76" s="122">
        <f t="shared" si="17"/>
        <v>-63111.192521733014</v>
      </c>
      <c r="H76" s="121">
        <f t="shared" si="18"/>
        <v>237418.29567699553</v>
      </c>
      <c r="I76" s="120">
        <f t="shared" si="11"/>
        <v>424276.92451585183</v>
      </c>
      <c r="J76" s="119">
        <f t="shared" si="12"/>
        <v>-70712.820752642001</v>
      </c>
      <c r="K76" s="119">
        <f t="shared" si="13"/>
        <v>353564.10376320983</v>
      </c>
      <c r="L76" s="119">
        <f t="shared" si="14"/>
        <v>-74248.461790274116</v>
      </c>
      <c r="M76" s="119">
        <f t="shared" si="15"/>
        <v>279315.6419729357</v>
      </c>
    </row>
    <row r="77" spans="1:18" s="109" customFormat="1" x14ac:dyDescent="0.25">
      <c r="A77" s="125">
        <v>45382</v>
      </c>
      <c r="B77" s="122"/>
      <c r="C77" s="124">
        <f t="shared" si="16"/>
        <v>424276.92451585201</v>
      </c>
      <c r="D77" s="123">
        <f t="shared" si="19"/>
        <v>8839.1025940802501</v>
      </c>
      <c r="E77" s="122">
        <f t="shared" si="20"/>
        <v>-132586.53891120374</v>
      </c>
      <c r="F77" s="122">
        <f t="shared" si="10"/>
        <v>1856.2115447568524</v>
      </c>
      <c r="G77" s="122">
        <f t="shared" si="17"/>
        <v>-61254.980976976163</v>
      </c>
      <c r="H77" s="121">
        <f t="shared" si="18"/>
        <v>230435.40462767211</v>
      </c>
      <c r="I77" s="120">
        <f t="shared" si="11"/>
        <v>424276.92451585183</v>
      </c>
      <c r="J77" s="119">
        <f t="shared" si="12"/>
        <v>-79551.923346722251</v>
      </c>
      <c r="K77" s="119">
        <f t="shared" si="13"/>
        <v>344725.00116912957</v>
      </c>
      <c r="L77" s="119">
        <f t="shared" si="14"/>
        <v>-72392.250245517265</v>
      </c>
      <c r="M77" s="119">
        <f t="shared" si="15"/>
        <v>272332.75092361227</v>
      </c>
    </row>
    <row r="78" spans="1:18" s="109" customFormat="1" x14ac:dyDescent="0.25">
      <c r="A78" s="125">
        <v>45412</v>
      </c>
      <c r="B78" s="122"/>
      <c r="C78" s="124">
        <f t="shared" si="16"/>
        <v>424276.92451585201</v>
      </c>
      <c r="D78" s="123">
        <f t="shared" si="19"/>
        <v>8839.1025940802501</v>
      </c>
      <c r="E78" s="122">
        <f t="shared" si="20"/>
        <v>-141425.641505284</v>
      </c>
      <c r="F78" s="122">
        <f t="shared" si="10"/>
        <v>1856.2115447568524</v>
      </c>
      <c r="G78" s="122">
        <f t="shared" si="17"/>
        <v>-59398.769432219313</v>
      </c>
      <c r="H78" s="121">
        <f t="shared" si="18"/>
        <v>223452.51357834868</v>
      </c>
      <c r="I78" s="120">
        <f t="shared" si="11"/>
        <v>424276.92451585183</v>
      </c>
      <c r="J78" s="119">
        <f t="shared" si="12"/>
        <v>-88391.025940802487</v>
      </c>
      <c r="K78" s="119">
        <f t="shared" si="13"/>
        <v>335885.89857504936</v>
      </c>
      <c r="L78" s="119">
        <f t="shared" si="14"/>
        <v>-70536.038700760429</v>
      </c>
      <c r="M78" s="119">
        <f t="shared" si="15"/>
        <v>265349.8598742889</v>
      </c>
    </row>
    <row r="79" spans="1:18" s="109" customFormat="1" x14ac:dyDescent="0.25">
      <c r="A79" s="125">
        <v>45443</v>
      </c>
      <c r="B79" s="122"/>
      <c r="C79" s="124">
        <f t="shared" si="16"/>
        <v>424276.92451585201</v>
      </c>
      <c r="D79" s="123">
        <f t="shared" si="19"/>
        <v>8839.1025940802501</v>
      </c>
      <c r="E79" s="122">
        <f t="shared" si="20"/>
        <v>-150264.74409936427</v>
      </c>
      <c r="F79" s="122">
        <f t="shared" si="10"/>
        <v>1856.2115447568524</v>
      </c>
      <c r="G79" s="122">
        <f t="shared" si="17"/>
        <v>-57542.557887462463</v>
      </c>
      <c r="H79" s="121">
        <f t="shared" si="18"/>
        <v>216469.62252902528</v>
      </c>
      <c r="I79" s="120">
        <f t="shared" si="11"/>
        <v>424276.92451585183</v>
      </c>
      <c r="J79" s="119">
        <f t="shared" si="12"/>
        <v>-97230.128534882751</v>
      </c>
      <c r="K79" s="119">
        <f t="shared" si="13"/>
        <v>327046.79598096909</v>
      </c>
      <c r="L79" s="119">
        <f t="shared" si="14"/>
        <v>-68679.827156003579</v>
      </c>
      <c r="M79" s="119">
        <f t="shared" si="15"/>
        <v>258366.96882496553</v>
      </c>
    </row>
    <row r="80" spans="1:18" s="109" customFormat="1" x14ac:dyDescent="0.25">
      <c r="A80" s="125">
        <v>45473</v>
      </c>
      <c r="B80" s="122"/>
      <c r="C80" s="124">
        <f t="shared" si="16"/>
        <v>424276.92451585201</v>
      </c>
      <c r="D80" s="123">
        <f t="shared" si="19"/>
        <v>8839.1025940802501</v>
      </c>
      <c r="E80" s="122">
        <f t="shared" si="20"/>
        <v>-159103.84669344453</v>
      </c>
      <c r="F80" s="122">
        <f t="shared" si="10"/>
        <v>1856.2115447568524</v>
      </c>
      <c r="G80" s="122">
        <f t="shared" si="17"/>
        <v>-55686.346342705612</v>
      </c>
      <c r="H80" s="121">
        <f t="shared" si="18"/>
        <v>209486.73147970188</v>
      </c>
      <c r="I80" s="120">
        <f t="shared" si="11"/>
        <v>424276.92451585183</v>
      </c>
      <c r="J80" s="119">
        <f t="shared" si="12"/>
        <v>-106069.231128963</v>
      </c>
      <c r="K80" s="119">
        <f t="shared" si="13"/>
        <v>318207.69338688883</v>
      </c>
      <c r="L80" s="119">
        <f t="shared" si="14"/>
        <v>-66823.615611246714</v>
      </c>
      <c r="M80" s="119">
        <f t="shared" si="15"/>
        <v>251384.0777756421</v>
      </c>
    </row>
    <row r="81" spans="1:13" s="109" customFormat="1" x14ac:dyDescent="0.25">
      <c r="A81" s="125">
        <v>45504</v>
      </c>
      <c r="B81" s="122"/>
      <c r="C81" s="124">
        <f t="shared" si="16"/>
        <v>424276.92451585201</v>
      </c>
      <c r="D81" s="123">
        <f t="shared" si="19"/>
        <v>8839.1025940802501</v>
      </c>
      <c r="E81" s="122">
        <f t="shared" si="20"/>
        <v>-167942.9492875248</v>
      </c>
      <c r="F81" s="122">
        <f t="shared" si="10"/>
        <v>1856.2115447568524</v>
      </c>
      <c r="G81" s="122">
        <f t="shared" si="17"/>
        <v>-53830.134797948762</v>
      </c>
      <c r="H81" s="121">
        <f t="shared" si="18"/>
        <v>202503.84043037845</v>
      </c>
      <c r="I81" s="120">
        <f t="shared" si="11"/>
        <v>424276.92451585183</v>
      </c>
      <c r="J81" s="119">
        <f t="shared" si="12"/>
        <v>-114908.33372304327</v>
      </c>
      <c r="K81" s="119">
        <f t="shared" si="13"/>
        <v>309368.59079280857</v>
      </c>
      <c r="L81" s="119">
        <f t="shared" si="14"/>
        <v>-64967.404066489871</v>
      </c>
      <c r="M81" s="119">
        <f t="shared" si="15"/>
        <v>244401.1867263187</v>
      </c>
    </row>
    <row r="82" spans="1:13" s="109" customFormat="1" x14ac:dyDescent="0.25">
      <c r="A82" s="125">
        <v>45535</v>
      </c>
      <c r="B82" s="122"/>
      <c r="C82" s="124">
        <f t="shared" si="16"/>
        <v>424276.92451585201</v>
      </c>
      <c r="D82" s="123">
        <f t="shared" si="19"/>
        <v>8839.1025940802501</v>
      </c>
      <c r="E82" s="122">
        <f t="shared" si="20"/>
        <v>-176782.05188160506</v>
      </c>
      <c r="F82" s="122">
        <f t="shared" si="10"/>
        <v>1856.2115447568524</v>
      </c>
      <c r="G82" s="122">
        <f t="shared" si="17"/>
        <v>-51973.923253191911</v>
      </c>
      <c r="H82" s="121">
        <f t="shared" si="18"/>
        <v>195520.94938105502</v>
      </c>
      <c r="I82" s="120">
        <f t="shared" si="11"/>
        <v>424276.92451585183</v>
      </c>
      <c r="J82" s="119">
        <f t="shared" si="12"/>
        <v>-123747.43631712352</v>
      </c>
      <c r="K82" s="119">
        <f t="shared" si="13"/>
        <v>300529.4881987283</v>
      </c>
      <c r="L82" s="119">
        <f t="shared" si="14"/>
        <v>-63111.192521733006</v>
      </c>
      <c r="M82" s="119">
        <f t="shared" si="15"/>
        <v>237418.2956769953</v>
      </c>
    </row>
    <row r="83" spans="1:13" s="109" customFormat="1" x14ac:dyDescent="0.25">
      <c r="A83" s="125">
        <v>45565</v>
      </c>
      <c r="B83" s="122"/>
      <c r="C83" s="124">
        <f t="shared" si="16"/>
        <v>424276.92451585201</v>
      </c>
      <c r="D83" s="123">
        <f t="shared" si="19"/>
        <v>8839.1025940802501</v>
      </c>
      <c r="E83" s="122">
        <f t="shared" si="20"/>
        <v>-185621.15447568533</v>
      </c>
      <c r="F83" s="122">
        <f t="shared" si="10"/>
        <v>1856.2115447568524</v>
      </c>
      <c r="G83" s="122">
        <f t="shared" si="17"/>
        <v>-50117.711708435061</v>
      </c>
      <c r="H83" s="121">
        <f t="shared" si="18"/>
        <v>188538.05833173162</v>
      </c>
      <c r="I83" s="120">
        <f t="shared" si="11"/>
        <v>424276.92451585183</v>
      </c>
      <c r="J83" s="119">
        <f t="shared" si="12"/>
        <v>-132586.5389112038</v>
      </c>
      <c r="K83" s="119">
        <f t="shared" si="13"/>
        <v>291690.38560464804</v>
      </c>
      <c r="L83" s="119">
        <f t="shared" si="14"/>
        <v>-61254.980976976163</v>
      </c>
      <c r="M83" s="119">
        <f t="shared" si="15"/>
        <v>230435.40462767187</v>
      </c>
    </row>
    <row r="84" spans="1:13" s="109" customFormat="1" x14ac:dyDescent="0.25">
      <c r="A84" s="125">
        <v>45596</v>
      </c>
      <c r="B84" s="122"/>
      <c r="C84" s="124">
        <f t="shared" si="16"/>
        <v>424276.92451585201</v>
      </c>
      <c r="D84" s="123">
        <f t="shared" si="19"/>
        <v>8839.1025940802501</v>
      </c>
      <c r="E84" s="122">
        <f t="shared" si="20"/>
        <v>-194460.25706976559</v>
      </c>
      <c r="F84" s="122">
        <f t="shared" si="10"/>
        <v>1856.2115447568524</v>
      </c>
      <c r="G84" s="122">
        <f t="shared" si="17"/>
        <v>-48261.500163678211</v>
      </c>
      <c r="H84" s="121">
        <f t="shared" si="18"/>
        <v>181555.16728240822</v>
      </c>
      <c r="I84" s="120">
        <f t="shared" si="11"/>
        <v>424276.92451585183</v>
      </c>
      <c r="J84" s="119">
        <f t="shared" si="12"/>
        <v>-141425.64150528403</v>
      </c>
      <c r="K84" s="119">
        <f t="shared" si="13"/>
        <v>282851.28301056777</v>
      </c>
      <c r="L84" s="119">
        <f t="shared" si="14"/>
        <v>-59398.76943221932</v>
      </c>
      <c r="M84" s="119">
        <f t="shared" si="15"/>
        <v>223452.51357834844</v>
      </c>
    </row>
    <row r="85" spans="1:13" s="109" customFormat="1" x14ac:dyDescent="0.25">
      <c r="A85" s="125">
        <v>45626</v>
      </c>
      <c r="B85" s="122"/>
      <c r="C85" s="124">
        <f t="shared" si="16"/>
        <v>424276.92451585201</v>
      </c>
      <c r="D85" s="123">
        <f t="shared" si="19"/>
        <v>8839.1025940802501</v>
      </c>
      <c r="E85" s="122">
        <f t="shared" si="20"/>
        <v>-203299.35966384585</v>
      </c>
      <c r="F85" s="122">
        <f t="shared" si="10"/>
        <v>1856.2115447568524</v>
      </c>
      <c r="G85" s="122">
        <f t="shared" si="17"/>
        <v>-46405.28861892136</v>
      </c>
      <c r="H85" s="121">
        <f t="shared" si="18"/>
        <v>174572.27623308479</v>
      </c>
      <c r="I85" s="120">
        <f t="shared" si="11"/>
        <v>424276.92451585183</v>
      </c>
      <c r="J85" s="119">
        <f t="shared" si="12"/>
        <v>-150264.7440993643</v>
      </c>
      <c r="K85" s="119">
        <f t="shared" si="13"/>
        <v>274012.18041648751</v>
      </c>
      <c r="L85" s="119">
        <f t="shared" si="14"/>
        <v>-57542.557887462463</v>
      </c>
      <c r="M85" s="119">
        <f t="shared" si="15"/>
        <v>216469.62252902504</v>
      </c>
    </row>
    <row r="86" spans="1:13" s="109" customFormat="1" x14ac:dyDescent="0.25">
      <c r="A86" s="125">
        <v>45657</v>
      </c>
      <c r="B86" s="122"/>
      <c r="C86" s="124">
        <f t="shared" si="16"/>
        <v>424276.92451585201</v>
      </c>
      <c r="D86" s="123">
        <f t="shared" si="19"/>
        <v>8839.1025940802501</v>
      </c>
      <c r="E86" s="122">
        <f t="shared" si="20"/>
        <v>-212138.46225792612</v>
      </c>
      <c r="F86" s="122">
        <f t="shared" si="10"/>
        <v>1856.2115447568524</v>
      </c>
      <c r="G86" s="122">
        <f t="shared" si="17"/>
        <v>-44549.07707416451</v>
      </c>
      <c r="H86" s="121">
        <f t="shared" si="18"/>
        <v>167589.38518376136</v>
      </c>
      <c r="I86" s="120">
        <f t="shared" si="11"/>
        <v>424276.92451585183</v>
      </c>
      <c r="J86" s="119">
        <f t="shared" si="12"/>
        <v>-159103.84669344453</v>
      </c>
      <c r="K86" s="119">
        <f t="shared" si="13"/>
        <v>265173.0778224073</v>
      </c>
      <c r="L86" s="119">
        <f t="shared" si="14"/>
        <v>-55686.346342705619</v>
      </c>
      <c r="M86" s="119">
        <f t="shared" si="15"/>
        <v>209486.73147970167</v>
      </c>
    </row>
    <row r="87" spans="1:13" s="109" customFormat="1" x14ac:dyDescent="0.25">
      <c r="A87" s="118">
        <v>45688</v>
      </c>
      <c r="B87" s="114"/>
      <c r="C87" s="117">
        <f t="shared" si="16"/>
        <v>424276.92451585201</v>
      </c>
      <c r="D87" s="116">
        <f t="shared" si="19"/>
        <v>8839.1025940802501</v>
      </c>
      <c r="E87" s="114">
        <f t="shared" si="20"/>
        <v>-220977.56485200638</v>
      </c>
      <c r="F87" s="114">
        <f t="shared" ref="F87:F122" si="21">-(B87*$F$9)+(D87*$F$9)</f>
        <v>1856.2115447568524</v>
      </c>
      <c r="G87" s="114">
        <f t="shared" si="17"/>
        <v>-42692.86552940766</v>
      </c>
      <c r="H87" s="115">
        <f t="shared" si="18"/>
        <v>160606.49413443796</v>
      </c>
      <c r="I87" s="114">
        <f t="shared" ref="I87:I118" si="22">(C75+C87+SUM(C76:C86)*2)/24</f>
        <v>424276.92451585183</v>
      </c>
      <c r="J87" s="114">
        <f t="shared" ref="J87:J118" si="23">(E75+E87+SUM(E76:E86)*2)/24</f>
        <v>-167942.94928752483</v>
      </c>
      <c r="K87" s="114">
        <f t="shared" ref="K87:K118" si="24">I87+J87</f>
        <v>256333.97522832701</v>
      </c>
      <c r="L87" s="114">
        <f t="shared" ref="L87:L118" si="25">(G75+G87+SUM(G76:G86)*2)/24</f>
        <v>-53830.134797948769</v>
      </c>
      <c r="M87" s="114">
        <f t="shared" ref="M87:M118" si="26">K87+L87</f>
        <v>202503.84043037824</v>
      </c>
    </row>
    <row r="88" spans="1:13" s="109" customFormat="1" x14ac:dyDescent="0.25">
      <c r="A88" s="118">
        <v>45716</v>
      </c>
      <c r="B88" s="114"/>
      <c r="C88" s="117">
        <f t="shared" ref="C88:C119" si="27">+B88+C87</f>
        <v>424276.92451585201</v>
      </c>
      <c r="D88" s="116">
        <f t="shared" si="19"/>
        <v>8839.1025940802501</v>
      </c>
      <c r="E88" s="114">
        <f t="shared" si="20"/>
        <v>-229816.66744608665</v>
      </c>
      <c r="F88" s="114">
        <f t="shared" si="21"/>
        <v>1856.2115447568524</v>
      </c>
      <c r="G88" s="114">
        <f t="shared" ref="G88:G119" si="28">G87+F88</f>
        <v>-40836.653984650809</v>
      </c>
      <c r="H88" s="115">
        <f t="shared" ref="H88:H119" si="29">C88+E88+G88</f>
        <v>153623.60308511456</v>
      </c>
      <c r="I88" s="114">
        <f t="shared" si="22"/>
        <v>424276.92451585183</v>
      </c>
      <c r="J88" s="114">
        <f t="shared" si="23"/>
        <v>-176782.05188160506</v>
      </c>
      <c r="K88" s="114">
        <f t="shared" si="24"/>
        <v>247494.87263424677</v>
      </c>
      <c r="L88" s="114">
        <f t="shared" si="25"/>
        <v>-51973.923253191897</v>
      </c>
      <c r="M88" s="114">
        <f t="shared" si="26"/>
        <v>195520.94938105487</v>
      </c>
    </row>
    <row r="89" spans="1:13" s="109" customFormat="1" x14ac:dyDescent="0.25">
      <c r="A89" s="118">
        <v>45747</v>
      </c>
      <c r="B89" s="114"/>
      <c r="C89" s="117">
        <f t="shared" si="27"/>
        <v>424276.92451585201</v>
      </c>
      <c r="D89" s="116">
        <f t="shared" si="19"/>
        <v>8839.1025940802501</v>
      </c>
      <c r="E89" s="114">
        <f t="shared" si="20"/>
        <v>-238655.77004016691</v>
      </c>
      <c r="F89" s="114">
        <f t="shared" si="21"/>
        <v>1856.2115447568524</v>
      </c>
      <c r="G89" s="114">
        <f t="shared" si="28"/>
        <v>-38980.442439893959</v>
      </c>
      <c r="H89" s="115">
        <f t="shared" si="29"/>
        <v>146640.71203579113</v>
      </c>
      <c r="I89" s="114">
        <f t="shared" si="22"/>
        <v>424276.92451585183</v>
      </c>
      <c r="J89" s="114">
        <f t="shared" si="23"/>
        <v>-185621.15447568533</v>
      </c>
      <c r="K89" s="114">
        <f t="shared" si="24"/>
        <v>238655.77004016651</v>
      </c>
      <c r="L89" s="114">
        <f t="shared" si="25"/>
        <v>-50117.711708435068</v>
      </c>
      <c r="M89" s="114">
        <f t="shared" si="26"/>
        <v>188538.05833173144</v>
      </c>
    </row>
    <row r="90" spans="1:13" s="109" customFormat="1" x14ac:dyDescent="0.25">
      <c r="A90" s="118">
        <v>45777</v>
      </c>
      <c r="B90" s="114"/>
      <c r="C90" s="117">
        <f t="shared" si="27"/>
        <v>424276.92451585201</v>
      </c>
      <c r="D90" s="116">
        <f t="shared" si="19"/>
        <v>8839.1025940802501</v>
      </c>
      <c r="E90" s="114">
        <f t="shared" si="20"/>
        <v>-247494.87263424718</v>
      </c>
      <c r="F90" s="114">
        <f t="shared" si="21"/>
        <v>1856.2115447568524</v>
      </c>
      <c r="G90" s="114">
        <f t="shared" si="28"/>
        <v>-37124.230895137109</v>
      </c>
      <c r="H90" s="115">
        <f t="shared" si="29"/>
        <v>139657.8209864677</v>
      </c>
      <c r="I90" s="114">
        <f t="shared" si="22"/>
        <v>424276.92451585183</v>
      </c>
      <c r="J90" s="114">
        <f t="shared" si="23"/>
        <v>-194460.25706976559</v>
      </c>
      <c r="K90" s="114">
        <f t="shared" si="24"/>
        <v>229816.66744608624</v>
      </c>
      <c r="L90" s="114">
        <f t="shared" si="25"/>
        <v>-48261.500163678204</v>
      </c>
      <c r="M90" s="114">
        <f t="shared" si="26"/>
        <v>181555.16728240805</v>
      </c>
    </row>
    <row r="91" spans="1:13" s="109" customFormat="1" x14ac:dyDescent="0.25">
      <c r="A91" s="118">
        <v>45808</v>
      </c>
      <c r="B91" s="114"/>
      <c r="C91" s="117">
        <f t="shared" si="27"/>
        <v>424276.92451585201</v>
      </c>
      <c r="D91" s="116">
        <f t="shared" si="19"/>
        <v>8839.1025940802501</v>
      </c>
      <c r="E91" s="114">
        <f t="shared" si="20"/>
        <v>-256333.97522832744</v>
      </c>
      <c r="F91" s="114">
        <f t="shared" si="21"/>
        <v>1856.2115447568524</v>
      </c>
      <c r="G91" s="114">
        <f t="shared" si="28"/>
        <v>-35268.019350380258</v>
      </c>
      <c r="H91" s="115">
        <f t="shared" si="29"/>
        <v>132674.9299371443</v>
      </c>
      <c r="I91" s="114">
        <f t="shared" si="22"/>
        <v>424276.92451585183</v>
      </c>
      <c r="J91" s="114">
        <f t="shared" si="23"/>
        <v>-203299.35966384588</v>
      </c>
      <c r="K91" s="114">
        <f t="shared" si="24"/>
        <v>220977.56485200595</v>
      </c>
      <c r="L91" s="114">
        <f t="shared" si="25"/>
        <v>-46405.28861892136</v>
      </c>
      <c r="M91" s="114">
        <f t="shared" si="26"/>
        <v>174572.27623308459</v>
      </c>
    </row>
    <row r="92" spans="1:13" s="109" customFormat="1" x14ac:dyDescent="0.25">
      <c r="A92" s="118">
        <v>45838</v>
      </c>
      <c r="B92" s="114"/>
      <c r="C92" s="117">
        <f t="shared" si="27"/>
        <v>424276.92451585201</v>
      </c>
      <c r="D92" s="116">
        <f t="shared" si="19"/>
        <v>8839.1025940802501</v>
      </c>
      <c r="E92" s="114">
        <f t="shared" si="20"/>
        <v>-265173.07782240771</v>
      </c>
      <c r="F92" s="114">
        <f t="shared" si="21"/>
        <v>1856.2115447568524</v>
      </c>
      <c r="G92" s="114">
        <f t="shared" si="28"/>
        <v>-33411.807805623408</v>
      </c>
      <c r="H92" s="115">
        <f t="shared" si="29"/>
        <v>125692.03888782089</v>
      </c>
      <c r="I92" s="114">
        <f t="shared" si="22"/>
        <v>424276.92451585183</v>
      </c>
      <c r="J92" s="114">
        <f t="shared" si="23"/>
        <v>-212138.46225792612</v>
      </c>
      <c r="K92" s="114">
        <f t="shared" si="24"/>
        <v>212138.46225792571</v>
      </c>
      <c r="L92" s="114">
        <f t="shared" si="25"/>
        <v>-44549.077074164517</v>
      </c>
      <c r="M92" s="114">
        <f t="shared" si="26"/>
        <v>167589.38518376119</v>
      </c>
    </row>
    <row r="93" spans="1:13" s="109" customFormat="1" x14ac:dyDescent="0.25">
      <c r="A93" s="118">
        <v>45869</v>
      </c>
      <c r="B93" s="114"/>
      <c r="C93" s="117">
        <f t="shared" si="27"/>
        <v>424276.92451585201</v>
      </c>
      <c r="D93" s="116">
        <f t="shared" si="19"/>
        <v>8839.1025940802501</v>
      </c>
      <c r="E93" s="114">
        <f t="shared" si="20"/>
        <v>-274012.18041648797</v>
      </c>
      <c r="F93" s="114">
        <f t="shared" si="21"/>
        <v>1856.2115447568524</v>
      </c>
      <c r="G93" s="114">
        <f t="shared" si="28"/>
        <v>-31555.596260866554</v>
      </c>
      <c r="H93" s="115">
        <f t="shared" si="29"/>
        <v>118709.14783849748</v>
      </c>
      <c r="I93" s="114">
        <f t="shared" si="22"/>
        <v>424276.92451585183</v>
      </c>
      <c r="J93" s="114">
        <f t="shared" si="23"/>
        <v>-220977.56485200638</v>
      </c>
      <c r="K93" s="114">
        <f t="shared" si="24"/>
        <v>203299.35966384545</v>
      </c>
      <c r="L93" s="114">
        <f t="shared" si="25"/>
        <v>-42692.86552940766</v>
      </c>
      <c r="M93" s="114">
        <f t="shared" si="26"/>
        <v>160606.49413443779</v>
      </c>
    </row>
    <row r="94" spans="1:13" s="109" customFormat="1" x14ac:dyDescent="0.25">
      <c r="A94" s="118">
        <v>45900</v>
      </c>
      <c r="B94" s="114"/>
      <c r="C94" s="117">
        <f t="shared" si="27"/>
        <v>424276.92451585201</v>
      </c>
      <c r="D94" s="116">
        <f t="shared" si="19"/>
        <v>8839.1025940802501</v>
      </c>
      <c r="E94" s="114">
        <f t="shared" si="20"/>
        <v>-282851.28301056824</v>
      </c>
      <c r="F94" s="114">
        <f t="shared" si="21"/>
        <v>1856.2115447568524</v>
      </c>
      <c r="G94" s="114">
        <f t="shared" si="28"/>
        <v>-29699.3847161097</v>
      </c>
      <c r="H94" s="115">
        <f t="shared" si="29"/>
        <v>111726.25678917408</v>
      </c>
      <c r="I94" s="114">
        <f t="shared" si="22"/>
        <v>424276.92451585183</v>
      </c>
      <c r="J94" s="114">
        <f t="shared" si="23"/>
        <v>-229816.66744608668</v>
      </c>
      <c r="K94" s="114">
        <f t="shared" si="24"/>
        <v>194460.25706976515</v>
      </c>
      <c r="L94" s="114">
        <f t="shared" si="25"/>
        <v>-40836.653984650817</v>
      </c>
      <c r="M94" s="114">
        <f t="shared" si="26"/>
        <v>153623.60308511433</v>
      </c>
    </row>
    <row r="95" spans="1:13" s="109" customFormat="1" x14ac:dyDescent="0.25">
      <c r="A95" s="118">
        <v>45930</v>
      </c>
      <c r="B95" s="114"/>
      <c r="C95" s="117">
        <f t="shared" si="27"/>
        <v>424276.92451585201</v>
      </c>
      <c r="D95" s="116">
        <f t="shared" si="19"/>
        <v>8839.1025940802501</v>
      </c>
      <c r="E95" s="114">
        <f t="shared" si="20"/>
        <v>-291690.3856046485</v>
      </c>
      <c r="F95" s="114">
        <f t="shared" si="21"/>
        <v>1856.2115447568524</v>
      </c>
      <c r="G95" s="114">
        <f t="shared" si="28"/>
        <v>-27843.173171352846</v>
      </c>
      <c r="H95" s="115">
        <f t="shared" si="29"/>
        <v>104743.36573985066</v>
      </c>
      <c r="I95" s="114">
        <f t="shared" si="22"/>
        <v>424276.92451585183</v>
      </c>
      <c r="J95" s="114">
        <f t="shared" si="23"/>
        <v>-238655.77004016691</v>
      </c>
      <c r="K95" s="114">
        <f t="shared" si="24"/>
        <v>185621.15447568492</v>
      </c>
      <c r="L95" s="114">
        <f t="shared" si="25"/>
        <v>-38980.442439893966</v>
      </c>
      <c r="M95" s="114">
        <f t="shared" si="26"/>
        <v>146640.71203579096</v>
      </c>
    </row>
    <row r="96" spans="1:13" s="109" customFormat="1" x14ac:dyDescent="0.25">
      <c r="A96" s="118">
        <v>45961</v>
      </c>
      <c r="B96" s="114"/>
      <c r="C96" s="117">
        <f t="shared" si="27"/>
        <v>424276.92451585201</v>
      </c>
      <c r="D96" s="116">
        <f t="shared" si="19"/>
        <v>8839.1025940802501</v>
      </c>
      <c r="E96" s="114">
        <f t="shared" si="20"/>
        <v>-300529.48819872877</v>
      </c>
      <c r="F96" s="114">
        <f t="shared" si="21"/>
        <v>1856.2115447568524</v>
      </c>
      <c r="G96" s="114">
        <f t="shared" si="28"/>
        <v>-25986.961626595992</v>
      </c>
      <c r="H96" s="115">
        <f t="shared" si="29"/>
        <v>97760.474690527248</v>
      </c>
      <c r="I96" s="114">
        <f t="shared" si="22"/>
        <v>424276.92451585183</v>
      </c>
      <c r="J96" s="114">
        <f t="shared" si="23"/>
        <v>-247494.87263424718</v>
      </c>
      <c r="K96" s="114">
        <f t="shared" si="24"/>
        <v>176782.05188160465</v>
      </c>
      <c r="L96" s="114">
        <f t="shared" si="25"/>
        <v>-37124.230895137101</v>
      </c>
      <c r="M96" s="114">
        <f t="shared" si="26"/>
        <v>139657.82098646756</v>
      </c>
    </row>
    <row r="97" spans="1:13" s="109" customFormat="1" x14ac:dyDescent="0.25">
      <c r="A97" s="118">
        <v>45991</v>
      </c>
      <c r="B97" s="114"/>
      <c r="C97" s="117">
        <f t="shared" si="27"/>
        <v>424276.92451585201</v>
      </c>
      <c r="D97" s="116">
        <f t="shared" si="19"/>
        <v>8839.1025940802501</v>
      </c>
      <c r="E97" s="114">
        <f t="shared" si="20"/>
        <v>-309368.59079280903</v>
      </c>
      <c r="F97" s="114">
        <f t="shared" si="21"/>
        <v>1856.2115447568524</v>
      </c>
      <c r="G97" s="114">
        <f t="shared" si="28"/>
        <v>-24130.750081839138</v>
      </c>
      <c r="H97" s="115">
        <f t="shared" si="29"/>
        <v>90777.583641203833</v>
      </c>
      <c r="I97" s="114">
        <f t="shared" si="22"/>
        <v>424276.92451585183</v>
      </c>
      <c r="J97" s="114">
        <f t="shared" si="23"/>
        <v>-256333.97522832741</v>
      </c>
      <c r="K97" s="114">
        <f t="shared" si="24"/>
        <v>167942.94928752442</v>
      </c>
      <c r="L97" s="114">
        <f t="shared" si="25"/>
        <v>-35268.019350380251</v>
      </c>
      <c r="M97" s="114">
        <f t="shared" si="26"/>
        <v>132674.92993714416</v>
      </c>
    </row>
    <row r="98" spans="1:13" s="109" customFormat="1" x14ac:dyDescent="0.25">
      <c r="A98" s="118">
        <v>46022</v>
      </c>
      <c r="B98" s="114"/>
      <c r="C98" s="117">
        <f t="shared" si="27"/>
        <v>424276.92451585201</v>
      </c>
      <c r="D98" s="116">
        <f t="shared" si="19"/>
        <v>8839.1025940802501</v>
      </c>
      <c r="E98" s="114">
        <f t="shared" si="20"/>
        <v>-318207.6933868893</v>
      </c>
      <c r="F98" s="114">
        <f t="shared" si="21"/>
        <v>1856.2115447568524</v>
      </c>
      <c r="G98" s="114">
        <f t="shared" si="28"/>
        <v>-22274.538537082284</v>
      </c>
      <c r="H98" s="115">
        <f t="shared" si="29"/>
        <v>83794.692591880419</v>
      </c>
      <c r="I98" s="114">
        <f t="shared" si="22"/>
        <v>424276.92451585183</v>
      </c>
      <c r="J98" s="114">
        <f t="shared" si="23"/>
        <v>-265173.07782240777</v>
      </c>
      <c r="K98" s="114">
        <f t="shared" si="24"/>
        <v>159103.84669344407</v>
      </c>
      <c r="L98" s="114">
        <f t="shared" si="25"/>
        <v>-33411.807805623401</v>
      </c>
      <c r="M98" s="114">
        <f t="shared" si="26"/>
        <v>125692.03888782067</v>
      </c>
    </row>
    <row r="99" spans="1:13" s="109" customFormat="1" x14ac:dyDescent="0.25">
      <c r="A99" s="125">
        <v>46053</v>
      </c>
      <c r="B99" s="122"/>
      <c r="C99" s="124">
        <f t="shared" si="27"/>
        <v>424276.92451585201</v>
      </c>
      <c r="D99" s="123">
        <f t="shared" si="19"/>
        <v>8839.1025940802501</v>
      </c>
      <c r="E99" s="122">
        <f t="shared" si="20"/>
        <v>-327046.79598096956</v>
      </c>
      <c r="F99" s="122">
        <f t="shared" si="21"/>
        <v>1856.2115447568524</v>
      </c>
      <c r="G99" s="122">
        <f t="shared" si="28"/>
        <v>-20418.32699232543</v>
      </c>
      <c r="H99" s="121">
        <f t="shared" si="29"/>
        <v>76811.801542557019</v>
      </c>
      <c r="I99" s="120">
        <f t="shared" si="22"/>
        <v>424276.92451585183</v>
      </c>
      <c r="J99" s="119">
        <f t="shared" si="23"/>
        <v>-274012.18041648803</v>
      </c>
      <c r="K99" s="119">
        <f t="shared" si="24"/>
        <v>150264.7440993638</v>
      </c>
      <c r="L99" s="119">
        <f t="shared" si="25"/>
        <v>-31555.596260866554</v>
      </c>
      <c r="M99" s="119">
        <f t="shared" si="26"/>
        <v>118709.14783849724</v>
      </c>
    </row>
    <row r="100" spans="1:13" s="109" customFormat="1" x14ac:dyDescent="0.25">
      <c r="A100" s="125">
        <v>46081</v>
      </c>
      <c r="B100" s="122"/>
      <c r="C100" s="124">
        <f t="shared" si="27"/>
        <v>424276.92451585201</v>
      </c>
      <c r="D100" s="123">
        <f t="shared" si="19"/>
        <v>8839.1025940802501</v>
      </c>
      <c r="E100" s="122">
        <f t="shared" ref="E100:E131" si="30">E99-D100</f>
        <v>-335885.89857504983</v>
      </c>
      <c r="F100" s="122">
        <f t="shared" si="21"/>
        <v>1856.2115447568524</v>
      </c>
      <c r="G100" s="122">
        <f t="shared" si="28"/>
        <v>-18562.115447568576</v>
      </c>
      <c r="H100" s="121">
        <f t="shared" si="29"/>
        <v>69828.910493233605</v>
      </c>
      <c r="I100" s="120">
        <f t="shared" si="22"/>
        <v>424276.92451585183</v>
      </c>
      <c r="J100" s="119">
        <f t="shared" si="23"/>
        <v>-282851.28301056824</v>
      </c>
      <c r="K100" s="119">
        <f t="shared" si="24"/>
        <v>141425.64150528359</v>
      </c>
      <c r="L100" s="119">
        <f t="shared" si="25"/>
        <v>-29699.384716109693</v>
      </c>
      <c r="M100" s="119">
        <f t="shared" si="26"/>
        <v>111726.2567891739</v>
      </c>
    </row>
    <row r="101" spans="1:13" x14ac:dyDescent="0.25">
      <c r="A101" s="125">
        <v>46112</v>
      </c>
      <c r="B101" s="122"/>
      <c r="C101" s="124">
        <f t="shared" si="27"/>
        <v>424276.92451585201</v>
      </c>
      <c r="D101" s="123">
        <f t="shared" si="19"/>
        <v>8839.1025940802501</v>
      </c>
      <c r="E101" s="122">
        <f t="shared" si="30"/>
        <v>-344725.00116913009</v>
      </c>
      <c r="F101" s="122">
        <f t="shared" si="21"/>
        <v>1856.2115447568524</v>
      </c>
      <c r="G101" s="122">
        <f t="shared" si="28"/>
        <v>-16705.903902811722</v>
      </c>
      <c r="H101" s="121">
        <f t="shared" si="29"/>
        <v>62846.019443910191</v>
      </c>
      <c r="I101" s="120">
        <f t="shared" si="22"/>
        <v>424276.92451585183</v>
      </c>
      <c r="J101" s="119">
        <f t="shared" si="23"/>
        <v>-291690.3856046485</v>
      </c>
      <c r="K101" s="119">
        <f t="shared" si="24"/>
        <v>132586.53891120333</v>
      </c>
      <c r="L101" s="119">
        <f t="shared" si="25"/>
        <v>-27843.173171352842</v>
      </c>
      <c r="M101" s="119">
        <f t="shared" si="26"/>
        <v>104743.36573985049</v>
      </c>
    </row>
    <row r="102" spans="1:13" x14ac:dyDescent="0.25">
      <c r="A102" s="125">
        <v>46142</v>
      </c>
      <c r="B102" s="122"/>
      <c r="C102" s="124">
        <f t="shared" si="27"/>
        <v>424276.92451585201</v>
      </c>
      <c r="D102" s="123">
        <f t="shared" si="19"/>
        <v>8839.1025940802501</v>
      </c>
      <c r="E102" s="122">
        <f t="shared" si="30"/>
        <v>-353564.10376321035</v>
      </c>
      <c r="F102" s="122">
        <f t="shared" si="21"/>
        <v>1856.2115447568524</v>
      </c>
      <c r="G102" s="122">
        <f t="shared" si="28"/>
        <v>-14849.69235805487</v>
      </c>
      <c r="H102" s="121">
        <f t="shared" si="29"/>
        <v>55863.128394586784</v>
      </c>
      <c r="I102" s="120">
        <f t="shared" si="22"/>
        <v>424276.92451585183</v>
      </c>
      <c r="J102" s="119">
        <f t="shared" si="23"/>
        <v>-300529.48819872882</v>
      </c>
      <c r="K102" s="119">
        <f t="shared" si="24"/>
        <v>123747.43631712301</v>
      </c>
      <c r="L102" s="119">
        <f t="shared" si="25"/>
        <v>-25986.961626595992</v>
      </c>
      <c r="M102" s="119">
        <f t="shared" si="26"/>
        <v>97760.474690527015</v>
      </c>
    </row>
    <row r="103" spans="1:13" x14ac:dyDescent="0.25">
      <c r="A103" s="125">
        <v>46173</v>
      </c>
      <c r="B103" s="122"/>
      <c r="C103" s="124">
        <f t="shared" si="27"/>
        <v>424276.92451585201</v>
      </c>
      <c r="D103" s="123">
        <f t="shared" si="19"/>
        <v>8839.1025940802501</v>
      </c>
      <c r="E103" s="122">
        <f t="shared" si="30"/>
        <v>-362403.20635729062</v>
      </c>
      <c r="F103" s="122">
        <f t="shared" si="21"/>
        <v>1856.2115447568524</v>
      </c>
      <c r="G103" s="122">
        <f t="shared" si="28"/>
        <v>-12993.480813298018</v>
      </c>
      <c r="H103" s="121">
        <f t="shared" si="29"/>
        <v>48880.237345263369</v>
      </c>
      <c r="I103" s="120">
        <f t="shared" si="22"/>
        <v>424276.92451585183</v>
      </c>
      <c r="J103" s="119">
        <f t="shared" si="23"/>
        <v>-309368.59079280903</v>
      </c>
      <c r="K103" s="119">
        <f t="shared" si="24"/>
        <v>114908.3337230428</v>
      </c>
      <c r="L103" s="119">
        <f t="shared" si="25"/>
        <v>-24130.750081839142</v>
      </c>
      <c r="M103" s="119">
        <f t="shared" si="26"/>
        <v>90777.583641203659</v>
      </c>
    </row>
    <row r="104" spans="1:13" x14ac:dyDescent="0.25">
      <c r="A104" s="125">
        <v>46203</v>
      </c>
      <c r="B104" s="122"/>
      <c r="C104" s="124">
        <f t="shared" si="27"/>
        <v>424276.92451585201</v>
      </c>
      <c r="D104" s="123">
        <f t="shared" si="19"/>
        <v>8839.1025940802501</v>
      </c>
      <c r="E104" s="122">
        <f t="shared" si="30"/>
        <v>-371242.30895137088</v>
      </c>
      <c r="F104" s="122">
        <f t="shared" si="21"/>
        <v>1856.2115447568524</v>
      </c>
      <c r="G104" s="122">
        <f t="shared" si="28"/>
        <v>-11137.269268541166</v>
      </c>
      <c r="H104" s="121">
        <f t="shared" si="29"/>
        <v>41897.346295939955</v>
      </c>
      <c r="I104" s="120">
        <f t="shared" si="22"/>
        <v>424276.92451585183</v>
      </c>
      <c r="J104" s="119">
        <f t="shared" si="23"/>
        <v>-318207.6933868893</v>
      </c>
      <c r="K104" s="119">
        <f t="shared" si="24"/>
        <v>106069.23112896254</v>
      </c>
      <c r="L104" s="119">
        <f t="shared" si="25"/>
        <v>-22274.538537082288</v>
      </c>
      <c r="M104" s="119">
        <f t="shared" si="26"/>
        <v>83794.692591880244</v>
      </c>
    </row>
    <row r="105" spans="1:13" x14ac:dyDescent="0.25">
      <c r="A105" s="125">
        <v>46234</v>
      </c>
      <c r="B105" s="122"/>
      <c r="C105" s="124">
        <f t="shared" si="27"/>
        <v>424276.92451585201</v>
      </c>
      <c r="D105" s="123">
        <f t="shared" si="19"/>
        <v>8839.1025940802501</v>
      </c>
      <c r="E105" s="122">
        <f t="shared" si="30"/>
        <v>-380081.41154545115</v>
      </c>
      <c r="F105" s="122">
        <f t="shared" si="21"/>
        <v>1856.2115447568524</v>
      </c>
      <c r="G105" s="122">
        <f t="shared" si="28"/>
        <v>-9281.0577237843136</v>
      </c>
      <c r="H105" s="121">
        <f t="shared" si="29"/>
        <v>34914.455246616548</v>
      </c>
      <c r="I105" s="120">
        <f t="shared" si="22"/>
        <v>424276.92451585183</v>
      </c>
      <c r="J105" s="119">
        <f t="shared" si="23"/>
        <v>-327046.7959809695</v>
      </c>
      <c r="K105" s="119">
        <f t="shared" si="24"/>
        <v>97230.128534882329</v>
      </c>
      <c r="L105" s="119">
        <f t="shared" si="25"/>
        <v>-20418.32699232543</v>
      </c>
      <c r="M105" s="119">
        <f t="shared" si="26"/>
        <v>76811.801542556903</v>
      </c>
    </row>
    <row r="106" spans="1:13" x14ac:dyDescent="0.25">
      <c r="A106" s="125">
        <v>46265</v>
      </c>
      <c r="B106" s="122"/>
      <c r="C106" s="124">
        <f t="shared" si="27"/>
        <v>424276.92451585201</v>
      </c>
      <c r="D106" s="123">
        <f t="shared" si="19"/>
        <v>8839.1025940802501</v>
      </c>
      <c r="E106" s="122">
        <f t="shared" si="30"/>
        <v>-388920.51413953141</v>
      </c>
      <c r="F106" s="122">
        <f t="shared" si="21"/>
        <v>1856.2115447568524</v>
      </c>
      <c r="G106" s="122">
        <f t="shared" si="28"/>
        <v>-7424.8461790274614</v>
      </c>
      <c r="H106" s="121">
        <f t="shared" si="29"/>
        <v>27931.564197293133</v>
      </c>
      <c r="I106" s="120">
        <f t="shared" si="22"/>
        <v>424276.92451585183</v>
      </c>
      <c r="J106" s="119">
        <f t="shared" si="23"/>
        <v>-335885.89857504988</v>
      </c>
      <c r="K106" s="119">
        <f t="shared" si="24"/>
        <v>88391.025940801948</v>
      </c>
      <c r="L106" s="119">
        <f t="shared" si="25"/>
        <v>-18562.11544756858</v>
      </c>
      <c r="M106" s="119">
        <f t="shared" si="26"/>
        <v>69828.910493233372</v>
      </c>
    </row>
    <row r="107" spans="1:13" x14ac:dyDescent="0.25">
      <c r="A107" s="125">
        <v>46295</v>
      </c>
      <c r="B107" s="122"/>
      <c r="C107" s="124">
        <f t="shared" si="27"/>
        <v>424276.92451585201</v>
      </c>
      <c r="D107" s="123">
        <f t="shared" si="19"/>
        <v>8839.1025940802501</v>
      </c>
      <c r="E107" s="122">
        <f t="shared" si="30"/>
        <v>-397759.61673361168</v>
      </c>
      <c r="F107" s="122">
        <f t="shared" si="21"/>
        <v>1856.2115447568524</v>
      </c>
      <c r="G107" s="122">
        <f t="shared" si="28"/>
        <v>-5568.6346342706092</v>
      </c>
      <c r="H107" s="121">
        <f t="shared" si="29"/>
        <v>20948.673147969719</v>
      </c>
      <c r="I107" s="120">
        <f t="shared" si="22"/>
        <v>424276.92451585183</v>
      </c>
      <c r="J107" s="119">
        <f t="shared" si="23"/>
        <v>-344725.00116913015</v>
      </c>
      <c r="K107" s="119">
        <f t="shared" si="24"/>
        <v>79551.923346721684</v>
      </c>
      <c r="L107" s="119">
        <f t="shared" si="25"/>
        <v>-16705.903902811726</v>
      </c>
      <c r="M107" s="119">
        <f t="shared" si="26"/>
        <v>62846.019443909958</v>
      </c>
    </row>
    <row r="108" spans="1:13" x14ac:dyDescent="0.25">
      <c r="A108" s="125">
        <v>46326</v>
      </c>
      <c r="B108" s="122"/>
      <c r="C108" s="124">
        <f t="shared" si="27"/>
        <v>424276.92451585201</v>
      </c>
      <c r="D108" s="123">
        <f t="shared" si="19"/>
        <v>8839.1025940802501</v>
      </c>
      <c r="E108" s="122">
        <f t="shared" si="30"/>
        <v>-406598.71932769194</v>
      </c>
      <c r="F108" s="122">
        <f t="shared" si="21"/>
        <v>1856.2115447568524</v>
      </c>
      <c r="G108" s="122">
        <f t="shared" si="28"/>
        <v>-3712.4230895137571</v>
      </c>
      <c r="H108" s="121">
        <f t="shared" si="29"/>
        <v>13965.782098646307</v>
      </c>
      <c r="I108" s="120">
        <f t="shared" si="22"/>
        <v>424276.92451585183</v>
      </c>
      <c r="J108" s="119">
        <f t="shared" si="23"/>
        <v>-353564.10376321035</v>
      </c>
      <c r="K108" s="119">
        <f t="shared" si="24"/>
        <v>70712.820752641477</v>
      </c>
      <c r="L108" s="119">
        <f t="shared" si="25"/>
        <v>-14849.69235805487</v>
      </c>
      <c r="M108" s="119">
        <f t="shared" si="26"/>
        <v>55863.128394586609</v>
      </c>
    </row>
    <row r="109" spans="1:13" x14ac:dyDescent="0.25">
      <c r="A109" s="125">
        <v>46356</v>
      </c>
      <c r="B109" s="122"/>
      <c r="C109" s="124">
        <f t="shared" si="27"/>
        <v>424276.92451585201</v>
      </c>
      <c r="D109" s="123">
        <f t="shared" si="19"/>
        <v>8839.1025940802501</v>
      </c>
      <c r="E109" s="122">
        <f t="shared" si="30"/>
        <v>-415437.82192177221</v>
      </c>
      <c r="F109" s="122">
        <f t="shared" si="21"/>
        <v>1856.2115447568524</v>
      </c>
      <c r="G109" s="122">
        <f t="shared" si="28"/>
        <v>-1856.2115447569047</v>
      </c>
      <c r="H109" s="121">
        <f t="shared" si="29"/>
        <v>6982.8910493228941</v>
      </c>
      <c r="I109" s="120">
        <f t="shared" si="22"/>
        <v>424276.92451585183</v>
      </c>
      <c r="J109" s="119">
        <f t="shared" si="23"/>
        <v>-362403.20635729068</v>
      </c>
      <c r="K109" s="119">
        <f t="shared" si="24"/>
        <v>61873.718158561154</v>
      </c>
      <c r="L109" s="119">
        <f t="shared" si="25"/>
        <v>-12993.480813298023</v>
      </c>
      <c r="M109" s="119">
        <f t="shared" si="26"/>
        <v>48880.237345263129</v>
      </c>
    </row>
    <row r="110" spans="1:13" x14ac:dyDescent="0.25">
      <c r="A110" s="125">
        <v>46387</v>
      </c>
      <c r="B110" s="122"/>
      <c r="C110" s="124">
        <f t="shared" si="27"/>
        <v>424276.92451585201</v>
      </c>
      <c r="D110" s="123">
        <f t="shared" si="19"/>
        <v>8839.1025940802501</v>
      </c>
      <c r="E110" s="122">
        <f t="shared" si="30"/>
        <v>-424276.92451585247</v>
      </c>
      <c r="F110" s="122">
        <f t="shared" si="21"/>
        <v>1856.2115447568524</v>
      </c>
      <c r="G110" s="122">
        <f t="shared" si="28"/>
        <v>-5.2295945351943374E-11</v>
      </c>
      <c r="H110" s="121">
        <f t="shared" si="29"/>
        <v>-5.1795723265968263E-10</v>
      </c>
      <c r="I110" s="120">
        <f t="shared" si="22"/>
        <v>424276.92451585183</v>
      </c>
      <c r="J110" s="119">
        <f t="shared" si="23"/>
        <v>-371242.30895137088</v>
      </c>
      <c r="K110" s="119">
        <f t="shared" si="24"/>
        <v>53034.615564480948</v>
      </c>
      <c r="L110" s="119">
        <f t="shared" si="25"/>
        <v>-11137.269268541168</v>
      </c>
      <c r="M110" s="119">
        <f t="shared" si="26"/>
        <v>41897.34629593978</v>
      </c>
    </row>
    <row r="111" spans="1:13" x14ac:dyDescent="0.25">
      <c r="A111" s="118">
        <v>46418</v>
      </c>
      <c r="B111" s="114"/>
      <c r="C111" s="117">
        <f t="shared" si="27"/>
        <v>424276.92451585201</v>
      </c>
      <c r="D111" s="116"/>
      <c r="E111" s="114">
        <f t="shared" si="30"/>
        <v>-424276.92451585247</v>
      </c>
      <c r="F111" s="114">
        <f t="shared" si="21"/>
        <v>0</v>
      </c>
      <c r="G111" s="114">
        <f t="shared" si="28"/>
        <v>-5.2295945351943374E-11</v>
      </c>
      <c r="H111" s="115">
        <f t="shared" si="29"/>
        <v>-5.1795723265968263E-10</v>
      </c>
      <c r="I111" s="114">
        <f t="shared" si="22"/>
        <v>424276.92451585183</v>
      </c>
      <c r="J111" s="114">
        <f t="shared" si="23"/>
        <v>-379713.11560403113</v>
      </c>
      <c r="K111" s="114">
        <f t="shared" si="24"/>
        <v>44563.808911820699</v>
      </c>
      <c r="L111" s="114">
        <f t="shared" si="25"/>
        <v>-9358.3998714825157</v>
      </c>
      <c r="M111" s="114">
        <f t="shared" si="26"/>
        <v>35205.409040338185</v>
      </c>
    </row>
    <row r="112" spans="1:13" x14ac:dyDescent="0.25">
      <c r="A112" s="118">
        <v>46446</v>
      </c>
      <c r="B112" s="114"/>
      <c r="C112" s="117">
        <f t="shared" si="27"/>
        <v>424276.92451585201</v>
      </c>
      <c r="D112" s="116"/>
      <c r="E112" s="114">
        <f t="shared" si="30"/>
        <v>-424276.92451585247</v>
      </c>
      <c r="F112" s="114">
        <f t="shared" si="21"/>
        <v>0</v>
      </c>
      <c r="G112" s="114">
        <f t="shared" si="28"/>
        <v>-5.2295945351943374E-11</v>
      </c>
      <c r="H112" s="115">
        <f t="shared" si="29"/>
        <v>-5.1795723265968263E-10</v>
      </c>
      <c r="I112" s="114">
        <f t="shared" si="22"/>
        <v>424276.92451585183</v>
      </c>
      <c r="J112" s="114">
        <f t="shared" si="23"/>
        <v>-387447.33037385135</v>
      </c>
      <c r="K112" s="114">
        <f t="shared" si="24"/>
        <v>36829.594142000482</v>
      </c>
      <c r="L112" s="114">
        <f t="shared" si="25"/>
        <v>-7734.2147698202716</v>
      </c>
      <c r="M112" s="114">
        <f t="shared" si="26"/>
        <v>29095.37937218021</v>
      </c>
    </row>
    <row r="113" spans="1:13" x14ac:dyDescent="0.25">
      <c r="A113" s="118">
        <v>46477</v>
      </c>
      <c r="B113" s="114"/>
      <c r="C113" s="117">
        <f t="shared" si="27"/>
        <v>424276.92451585201</v>
      </c>
      <c r="D113" s="116"/>
      <c r="E113" s="114">
        <f t="shared" si="30"/>
        <v>-424276.92451585247</v>
      </c>
      <c r="F113" s="114">
        <f t="shared" si="21"/>
        <v>0</v>
      </c>
      <c r="G113" s="114">
        <f t="shared" si="28"/>
        <v>-5.2295945351943374E-11</v>
      </c>
      <c r="H113" s="115">
        <f t="shared" si="29"/>
        <v>-5.1795723265968263E-10</v>
      </c>
      <c r="I113" s="114">
        <f t="shared" si="22"/>
        <v>424276.92451585183</v>
      </c>
      <c r="J113" s="114">
        <f t="shared" si="23"/>
        <v>-394444.95326083171</v>
      </c>
      <c r="K113" s="114">
        <f t="shared" si="24"/>
        <v>29831.971255020122</v>
      </c>
      <c r="L113" s="114">
        <f t="shared" si="25"/>
        <v>-6264.7139635544308</v>
      </c>
      <c r="M113" s="114">
        <f t="shared" si="26"/>
        <v>23567.257291465692</v>
      </c>
    </row>
    <row r="114" spans="1:13" x14ac:dyDescent="0.25">
      <c r="A114" s="118">
        <v>46507</v>
      </c>
      <c r="B114" s="114"/>
      <c r="C114" s="117">
        <f t="shared" si="27"/>
        <v>424276.92451585201</v>
      </c>
      <c r="D114" s="116"/>
      <c r="E114" s="114">
        <f t="shared" si="30"/>
        <v>-424276.92451585247</v>
      </c>
      <c r="F114" s="114">
        <f t="shared" si="21"/>
        <v>0</v>
      </c>
      <c r="G114" s="114">
        <f t="shared" si="28"/>
        <v>-5.2295945351943374E-11</v>
      </c>
      <c r="H114" s="115">
        <f t="shared" si="29"/>
        <v>-5.1795723265968263E-10</v>
      </c>
      <c r="I114" s="114">
        <f t="shared" si="22"/>
        <v>424276.92451585183</v>
      </c>
      <c r="J114" s="114">
        <f t="shared" si="23"/>
        <v>-400705.98426497186</v>
      </c>
      <c r="K114" s="114">
        <f t="shared" si="24"/>
        <v>23570.940250879969</v>
      </c>
      <c r="L114" s="114">
        <f t="shared" si="25"/>
        <v>-4949.8974526849906</v>
      </c>
      <c r="M114" s="114">
        <f t="shared" si="26"/>
        <v>18621.042798194976</v>
      </c>
    </row>
    <row r="115" spans="1:13" x14ac:dyDescent="0.25">
      <c r="A115" s="118">
        <v>46538</v>
      </c>
      <c r="B115" s="114"/>
      <c r="C115" s="117">
        <f t="shared" si="27"/>
        <v>424276.92451585201</v>
      </c>
      <c r="D115" s="116"/>
      <c r="E115" s="114">
        <f t="shared" si="30"/>
        <v>-424276.92451585247</v>
      </c>
      <c r="F115" s="114">
        <f t="shared" si="21"/>
        <v>0</v>
      </c>
      <c r="G115" s="114">
        <f t="shared" si="28"/>
        <v>-5.2295945351943374E-11</v>
      </c>
      <c r="H115" s="115">
        <f t="shared" si="29"/>
        <v>-5.1795723265968263E-10</v>
      </c>
      <c r="I115" s="114">
        <f t="shared" si="22"/>
        <v>424276.92451585183</v>
      </c>
      <c r="J115" s="114">
        <f t="shared" si="23"/>
        <v>-406230.42338627204</v>
      </c>
      <c r="K115" s="114">
        <f t="shared" si="24"/>
        <v>18046.501129579789</v>
      </c>
      <c r="L115" s="114">
        <f t="shared" si="25"/>
        <v>-3789.7652372119578</v>
      </c>
      <c r="M115" s="114">
        <f t="shared" si="26"/>
        <v>14256.735892367831</v>
      </c>
    </row>
    <row r="116" spans="1:13" x14ac:dyDescent="0.25">
      <c r="A116" s="118">
        <v>46568</v>
      </c>
      <c r="B116" s="114"/>
      <c r="C116" s="117">
        <f t="shared" si="27"/>
        <v>424276.92451585201</v>
      </c>
      <c r="D116" s="116"/>
      <c r="E116" s="114">
        <f t="shared" si="30"/>
        <v>-424276.92451585247</v>
      </c>
      <c r="F116" s="114">
        <f t="shared" si="21"/>
        <v>0</v>
      </c>
      <c r="G116" s="114">
        <f t="shared" si="28"/>
        <v>-5.2295945351943374E-11</v>
      </c>
      <c r="H116" s="115">
        <f t="shared" si="29"/>
        <v>-5.1795723265968263E-10</v>
      </c>
      <c r="I116" s="114">
        <f t="shared" si="22"/>
        <v>424276.92451585183</v>
      </c>
      <c r="J116" s="114">
        <f t="shared" si="23"/>
        <v>-411018.27062473213</v>
      </c>
      <c r="K116" s="114">
        <f t="shared" si="24"/>
        <v>13258.653891119699</v>
      </c>
      <c r="L116" s="114">
        <f t="shared" si="25"/>
        <v>-2784.3173171353301</v>
      </c>
      <c r="M116" s="114">
        <f t="shared" si="26"/>
        <v>10474.336573984368</v>
      </c>
    </row>
    <row r="117" spans="1:13" x14ac:dyDescent="0.25">
      <c r="A117" s="118">
        <v>46599</v>
      </c>
      <c r="B117" s="114"/>
      <c r="C117" s="117">
        <f t="shared" si="27"/>
        <v>424276.92451585201</v>
      </c>
      <c r="D117" s="116"/>
      <c r="E117" s="114">
        <f t="shared" si="30"/>
        <v>-424276.92451585247</v>
      </c>
      <c r="F117" s="114">
        <f t="shared" si="21"/>
        <v>0</v>
      </c>
      <c r="G117" s="114">
        <f t="shared" si="28"/>
        <v>-5.2295945351943374E-11</v>
      </c>
      <c r="H117" s="115">
        <f t="shared" si="29"/>
        <v>-5.1795723265968263E-10</v>
      </c>
      <c r="I117" s="114">
        <f t="shared" si="22"/>
        <v>424276.92451585183</v>
      </c>
      <c r="J117" s="114">
        <f t="shared" si="23"/>
        <v>-415069.52598035237</v>
      </c>
      <c r="K117" s="114">
        <f t="shared" si="24"/>
        <v>9207.3985354994657</v>
      </c>
      <c r="L117" s="114">
        <f t="shared" si="25"/>
        <v>-1933.5536924551061</v>
      </c>
      <c r="M117" s="114">
        <f t="shared" si="26"/>
        <v>7273.8448430443595</v>
      </c>
    </row>
    <row r="118" spans="1:13" x14ac:dyDescent="0.25">
      <c r="A118" s="118">
        <v>46630</v>
      </c>
      <c r="B118" s="114"/>
      <c r="C118" s="117">
        <f t="shared" si="27"/>
        <v>424276.92451585201</v>
      </c>
      <c r="D118" s="116"/>
      <c r="E118" s="114">
        <f t="shared" si="30"/>
        <v>-424276.92451585247</v>
      </c>
      <c r="F118" s="114">
        <f t="shared" si="21"/>
        <v>0</v>
      </c>
      <c r="G118" s="114">
        <f t="shared" si="28"/>
        <v>-5.2295945351943374E-11</v>
      </c>
      <c r="H118" s="115">
        <f t="shared" si="29"/>
        <v>-5.1795723265968263E-10</v>
      </c>
      <c r="I118" s="114">
        <f t="shared" si="22"/>
        <v>424276.92451585183</v>
      </c>
      <c r="J118" s="114">
        <f t="shared" si="23"/>
        <v>-418384.18945313239</v>
      </c>
      <c r="K118" s="114">
        <f t="shared" si="24"/>
        <v>5892.7350627194392</v>
      </c>
      <c r="L118" s="114">
        <f t="shared" si="25"/>
        <v>-1237.4743631712875</v>
      </c>
      <c r="M118" s="114">
        <f t="shared" si="26"/>
        <v>4655.2606995481519</v>
      </c>
    </row>
    <row r="119" spans="1:13" x14ac:dyDescent="0.25">
      <c r="A119" s="118">
        <v>46660</v>
      </c>
      <c r="B119" s="114"/>
      <c r="C119" s="117">
        <f t="shared" si="27"/>
        <v>424276.92451585201</v>
      </c>
      <c r="D119" s="116"/>
      <c r="E119" s="114">
        <f t="shared" si="30"/>
        <v>-424276.92451585247</v>
      </c>
      <c r="F119" s="114">
        <f t="shared" si="21"/>
        <v>0</v>
      </c>
      <c r="G119" s="114">
        <f t="shared" si="28"/>
        <v>-5.2295945351943374E-11</v>
      </c>
      <c r="H119" s="115">
        <f t="shared" si="29"/>
        <v>-5.1795723265968263E-10</v>
      </c>
      <c r="I119" s="114">
        <f t="shared" ref="I119:I150" si="31">(C107+C119+SUM(C108:C118)*2)/24</f>
        <v>424276.92451585183</v>
      </c>
      <c r="J119" s="114">
        <f t="shared" ref="J119:J150" si="32">(E107+E119+SUM(E108:E118)*2)/24</f>
        <v>-420962.26104307245</v>
      </c>
      <c r="K119" s="114">
        <f t="shared" ref="K119:K150" si="33">I119+J119</f>
        <v>3314.6634727793862</v>
      </c>
      <c r="L119" s="114">
        <f t="shared" ref="L119:L150" si="34">(G107+G119+SUM(G108:G118)*2)/24</f>
        <v>-696.0793292838722</v>
      </c>
      <c r="M119" s="114">
        <f t="shared" ref="M119:M150" si="35">K119+L119</f>
        <v>2618.5841434955141</v>
      </c>
    </row>
    <row r="120" spans="1:13" x14ac:dyDescent="0.25">
      <c r="A120" s="118">
        <v>46691</v>
      </c>
      <c r="B120" s="114"/>
      <c r="C120" s="117">
        <f t="shared" ref="C120:C151" si="36">+B120+C119</f>
        <v>424276.92451585201</v>
      </c>
      <c r="D120" s="116"/>
      <c r="E120" s="114">
        <f t="shared" si="30"/>
        <v>-424276.92451585247</v>
      </c>
      <c r="F120" s="114">
        <f t="shared" si="21"/>
        <v>0</v>
      </c>
      <c r="G120" s="114">
        <f t="shared" ref="G120:G151" si="37">G119+F120</f>
        <v>-5.2295945351943374E-11</v>
      </c>
      <c r="H120" s="115">
        <f t="shared" ref="H120:H151" si="38">C120+E120+G120</f>
        <v>-5.1795723265968263E-10</v>
      </c>
      <c r="I120" s="114">
        <f t="shared" si="31"/>
        <v>424276.92451585183</v>
      </c>
      <c r="J120" s="114">
        <f t="shared" si="32"/>
        <v>-422803.74075017258</v>
      </c>
      <c r="K120" s="114">
        <f t="shared" si="33"/>
        <v>1473.1837656792486</v>
      </c>
      <c r="L120" s="114">
        <f t="shared" si="34"/>
        <v>-309.36859079286103</v>
      </c>
      <c r="M120" s="114">
        <f t="shared" si="35"/>
        <v>1163.8151748863875</v>
      </c>
    </row>
    <row r="121" spans="1:13" x14ac:dyDescent="0.25">
      <c r="A121" s="118">
        <v>46721</v>
      </c>
      <c r="B121" s="114"/>
      <c r="C121" s="117">
        <f t="shared" si="36"/>
        <v>424276.92451585201</v>
      </c>
      <c r="D121" s="116"/>
      <c r="E121" s="114">
        <f t="shared" si="30"/>
        <v>-424276.92451585247</v>
      </c>
      <c r="F121" s="114">
        <f t="shared" si="21"/>
        <v>0</v>
      </c>
      <c r="G121" s="114">
        <f t="shared" si="37"/>
        <v>-5.2295945351943374E-11</v>
      </c>
      <c r="H121" s="115">
        <f t="shared" si="38"/>
        <v>-5.1795723265968263E-10</v>
      </c>
      <c r="I121" s="114">
        <f t="shared" si="31"/>
        <v>424276.92451585183</v>
      </c>
      <c r="J121" s="114">
        <f t="shared" si="32"/>
        <v>-423908.62857443257</v>
      </c>
      <c r="K121" s="114">
        <f t="shared" si="33"/>
        <v>368.29594141925918</v>
      </c>
      <c r="L121" s="114">
        <f t="shared" si="34"/>
        <v>-77.342147698254479</v>
      </c>
      <c r="M121" s="114">
        <f t="shared" si="35"/>
        <v>290.95379372100467</v>
      </c>
    </row>
    <row r="122" spans="1:13" x14ac:dyDescent="0.25">
      <c r="A122" s="118">
        <v>46752</v>
      </c>
      <c r="B122" s="114"/>
      <c r="C122" s="117">
        <f t="shared" si="36"/>
        <v>424276.92451585201</v>
      </c>
      <c r="D122" s="116"/>
      <c r="E122" s="114">
        <f t="shared" si="30"/>
        <v>-424276.92451585247</v>
      </c>
      <c r="F122" s="114">
        <f t="shared" si="21"/>
        <v>0</v>
      </c>
      <c r="G122" s="114">
        <f t="shared" si="37"/>
        <v>-5.2295945351943374E-11</v>
      </c>
      <c r="H122" s="115">
        <f t="shared" si="38"/>
        <v>-5.1795723265968263E-10</v>
      </c>
      <c r="I122" s="114">
        <f t="shared" si="31"/>
        <v>424276.92451585183</v>
      </c>
      <c r="J122" s="114">
        <f t="shared" si="32"/>
        <v>-424276.92451585265</v>
      </c>
      <c r="K122" s="114">
        <f t="shared" si="33"/>
        <v>-8.149072527885437E-10</v>
      </c>
      <c r="L122" s="114">
        <f t="shared" si="34"/>
        <v>-5.2295945351943374E-11</v>
      </c>
      <c r="M122" s="114">
        <f t="shared" si="35"/>
        <v>-8.6720319814048707E-10</v>
      </c>
    </row>
    <row r="123" spans="1:13" x14ac:dyDescent="0.25">
      <c r="B123" s="113" t="s">
        <v>104</v>
      </c>
      <c r="C123" s="112">
        <f>+'SEF-48 pg.8'!Z57-C122</f>
        <v>0</v>
      </c>
    </row>
  </sheetData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76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D4" sqref="D4"/>
    </sheetView>
  </sheetViews>
  <sheetFormatPr defaultRowHeight="15" x14ac:dyDescent="0.25"/>
  <cols>
    <col min="1" max="1" width="13.28515625" bestFit="1" customWidth="1"/>
    <col min="2" max="2" width="15.140625" customWidth="1"/>
    <col min="3" max="3" width="11.5703125" bestFit="1" customWidth="1"/>
    <col min="4" max="4" width="11.85546875" bestFit="1" customWidth="1"/>
    <col min="5" max="5" width="15.140625" bestFit="1" customWidth="1"/>
    <col min="6" max="6" width="14.7109375" customWidth="1"/>
    <col min="7" max="7" width="5.5703125" customWidth="1"/>
    <col min="8" max="8" width="7.28515625" customWidth="1"/>
    <col min="9" max="9" width="11.28515625" bestFit="1" customWidth="1"/>
    <col min="11" max="11" width="3.5703125" customWidth="1"/>
    <col min="12" max="12" width="11.28515625" bestFit="1" customWidth="1"/>
    <col min="14" max="14" width="3.42578125" customWidth="1"/>
    <col min="15" max="15" width="11.5703125" bestFit="1" customWidth="1"/>
    <col min="16" max="16" width="10.5703125" bestFit="1" customWidth="1"/>
    <col min="19" max="19" width="4.42578125" customWidth="1"/>
    <col min="20" max="20" width="11.5703125" bestFit="1" customWidth="1"/>
    <col min="21" max="21" width="11.140625" bestFit="1" customWidth="1"/>
    <col min="23" max="23" width="9.5703125" bestFit="1" customWidth="1"/>
    <col min="24" max="24" width="6.28515625" bestFit="1" customWidth="1"/>
    <col min="25" max="25" width="13.42578125" bestFit="1" customWidth="1"/>
    <col min="26" max="26" width="10.42578125" bestFit="1" customWidth="1"/>
    <col min="27" max="27" width="10" bestFit="1" customWidth="1"/>
    <col min="28" max="28" width="11.140625" bestFit="1" customWidth="1"/>
    <col min="29" max="29" width="11.5703125" bestFit="1" customWidth="1"/>
  </cols>
  <sheetData>
    <row r="1" spans="1:28" x14ac:dyDescent="0.25">
      <c r="A1" s="231" t="s">
        <v>169</v>
      </c>
      <c r="E1" s="232" t="s">
        <v>171</v>
      </c>
    </row>
    <row r="2" spans="1:28" x14ac:dyDescent="0.25">
      <c r="A2" s="227" t="s">
        <v>168</v>
      </c>
      <c r="B2" s="230"/>
      <c r="E2" s="232" t="s">
        <v>170</v>
      </c>
      <c r="H2" s="229"/>
    </row>
    <row r="3" spans="1:28" x14ac:dyDescent="0.25">
      <c r="A3" s="227"/>
      <c r="B3" s="230"/>
      <c r="H3" s="229"/>
    </row>
    <row r="4" spans="1:28" x14ac:dyDescent="0.25">
      <c r="A4" s="107"/>
      <c r="B4" s="228"/>
    </row>
    <row r="5" spans="1:28" ht="15.75" thickBot="1" x14ac:dyDescent="0.3">
      <c r="A5" s="227" t="s">
        <v>167</v>
      </c>
      <c r="B5" s="185"/>
      <c r="O5" s="227" t="s">
        <v>166</v>
      </c>
      <c r="T5" s="227" t="s">
        <v>165</v>
      </c>
    </row>
    <row r="6" spans="1:28" x14ac:dyDescent="0.25">
      <c r="A6" s="233"/>
      <c r="B6" s="233"/>
      <c r="C6" s="233"/>
      <c r="D6" s="233"/>
      <c r="E6" s="233"/>
      <c r="F6" s="233"/>
      <c r="G6" s="226"/>
      <c r="I6" s="225">
        <v>0.65939999999999999</v>
      </c>
      <c r="J6" s="224"/>
      <c r="K6" s="1"/>
      <c r="L6" s="225">
        <v>0.34060000000000001</v>
      </c>
      <c r="M6" s="224"/>
      <c r="N6" s="1"/>
      <c r="O6" s="225" t="s">
        <v>10</v>
      </c>
      <c r="P6" s="224" t="s">
        <v>10</v>
      </c>
      <c r="Q6" s="225"/>
      <c r="R6" s="224"/>
      <c r="S6" s="1"/>
      <c r="T6" s="225" t="s">
        <v>11</v>
      </c>
      <c r="U6" s="224" t="s">
        <v>11</v>
      </c>
      <c r="V6" s="225"/>
      <c r="W6" s="224"/>
      <c r="X6" s="1"/>
      <c r="Y6" s="223" t="s">
        <v>164</v>
      </c>
      <c r="Z6" s="223" t="s">
        <v>164</v>
      </c>
      <c r="AA6" s="223" t="s">
        <v>163</v>
      </c>
      <c r="AB6" s="223"/>
    </row>
    <row r="7" spans="1:28" x14ac:dyDescent="0.25">
      <c r="A7" t="s">
        <v>162</v>
      </c>
      <c r="B7" s="222">
        <v>18603053</v>
      </c>
      <c r="C7" s="221"/>
      <c r="D7" s="216" t="s">
        <v>161</v>
      </c>
      <c r="E7" s="216">
        <v>18603063</v>
      </c>
      <c r="F7" s="216" t="s">
        <v>154</v>
      </c>
      <c r="G7" s="216"/>
      <c r="I7" s="220" t="s">
        <v>160</v>
      </c>
      <c r="J7" s="219" t="s">
        <v>160</v>
      </c>
      <c r="K7" s="1"/>
      <c r="L7" s="220" t="s">
        <v>159</v>
      </c>
      <c r="M7" s="219" t="s">
        <v>159</v>
      </c>
      <c r="N7" s="1"/>
      <c r="O7" s="220" t="s">
        <v>158</v>
      </c>
      <c r="P7" s="219" t="s">
        <v>158</v>
      </c>
      <c r="Q7" s="220" t="s">
        <v>157</v>
      </c>
      <c r="R7" s="219" t="s">
        <v>154</v>
      </c>
      <c r="S7" s="216"/>
      <c r="T7" s="220" t="s">
        <v>158</v>
      </c>
      <c r="U7" s="219" t="s">
        <v>158</v>
      </c>
      <c r="V7" s="220" t="s">
        <v>157</v>
      </c>
      <c r="W7" s="219" t="s">
        <v>154</v>
      </c>
      <c r="X7" s="1"/>
      <c r="Y7" s="218" t="s">
        <v>10</v>
      </c>
      <c r="Z7" s="218" t="s">
        <v>11</v>
      </c>
      <c r="AA7" s="218" t="s">
        <v>156</v>
      </c>
      <c r="AB7" s="218" t="s">
        <v>154</v>
      </c>
    </row>
    <row r="8" spans="1:28" x14ac:dyDescent="0.25">
      <c r="B8" s="217" t="s">
        <v>153</v>
      </c>
      <c r="C8" s="217" t="s">
        <v>152</v>
      </c>
      <c r="D8" s="216" t="s">
        <v>155</v>
      </c>
      <c r="E8" s="216" t="s">
        <v>151</v>
      </c>
      <c r="F8" s="216" t="s">
        <v>151</v>
      </c>
      <c r="G8" s="216"/>
      <c r="I8" s="215" t="s">
        <v>151</v>
      </c>
      <c r="J8" s="214" t="s">
        <v>154</v>
      </c>
      <c r="K8" s="1"/>
      <c r="L8" s="215" t="s">
        <v>151</v>
      </c>
      <c r="M8" s="214" t="s">
        <v>154</v>
      </c>
      <c r="N8" s="1"/>
      <c r="O8" s="215" t="s">
        <v>153</v>
      </c>
      <c r="P8" s="214" t="s">
        <v>152</v>
      </c>
      <c r="Q8" s="215" t="s">
        <v>151</v>
      </c>
      <c r="R8" s="214" t="s">
        <v>151</v>
      </c>
      <c r="S8" s="216"/>
      <c r="T8" s="215" t="s">
        <v>153</v>
      </c>
      <c r="U8" s="214" t="s">
        <v>152</v>
      </c>
      <c r="V8" s="215" t="s">
        <v>151</v>
      </c>
      <c r="W8" s="214" t="s">
        <v>151</v>
      </c>
      <c r="X8" s="1"/>
      <c r="Y8" s="213" t="s">
        <v>153</v>
      </c>
      <c r="Z8" s="213" t="s">
        <v>152</v>
      </c>
      <c r="AA8" s="213" t="s">
        <v>129</v>
      </c>
      <c r="AB8" s="213" t="s">
        <v>151</v>
      </c>
    </row>
    <row r="9" spans="1:28" ht="23.25" thickBot="1" x14ac:dyDescent="0.3">
      <c r="A9" s="212" t="s">
        <v>150</v>
      </c>
      <c r="B9" s="212" t="s">
        <v>149</v>
      </c>
      <c r="C9" s="212" t="s">
        <v>149</v>
      </c>
      <c r="D9" s="211" t="s">
        <v>148</v>
      </c>
      <c r="E9" s="209" t="s">
        <v>145</v>
      </c>
      <c r="F9" s="210" t="s">
        <v>145</v>
      </c>
      <c r="G9" s="209"/>
      <c r="I9" s="208" t="s">
        <v>145</v>
      </c>
      <c r="J9" s="207" t="s">
        <v>145</v>
      </c>
      <c r="K9" s="1"/>
      <c r="L9" s="208" t="s">
        <v>145</v>
      </c>
      <c r="M9" s="207" t="s">
        <v>145</v>
      </c>
      <c r="N9" s="1"/>
      <c r="O9" s="208" t="s">
        <v>147</v>
      </c>
      <c r="P9" s="207" t="s">
        <v>117</v>
      </c>
      <c r="Q9" s="208" t="s">
        <v>145</v>
      </c>
      <c r="R9" s="207" t="s">
        <v>145</v>
      </c>
      <c r="S9" s="209"/>
      <c r="T9" s="208" t="s">
        <v>147</v>
      </c>
      <c r="U9" s="207" t="s">
        <v>117</v>
      </c>
      <c r="V9" s="208" t="s">
        <v>145</v>
      </c>
      <c r="W9" s="207" t="s">
        <v>145</v>
      </c>
      <c r="X9" s="1"/>
      <c r="Y9" s="206" t="s">
        <v>147</v>
      </c>
      <c r="Z9" s="206" t="s">
        <v>117</v>
      </c>
      <c r="AA9" s="206" t="s">
        <v>146</v>
      </c>
      <c r="AB9" s="206" t="s">
        <v>145</v>
      </c>
    </row>
    <row r="10" spans="1:28" x14ac:dyDescent="0.25">
      <c r="A10" s="203"/>
      <c r="B10" s="205">
        <v>0</v>
      </c>
      <c r="C10" s="205">
        <v>0</v>
      </c>
      <c r="D10" s="205">
        <v>0</v>
      </c>
      <c r="E10" s="204"/>
      <c r="I10">
        <f t="shared" ref="I10:I55" si="0">+E10*$I$6</f>
        <v>0</v>
      </c>
      <c r="J10" s="185">
        <f>+I10</f>
        <v>0</v>
      </c>
      <c r="L10" s="175">
        <f t="shared" ref="L10:L55" si="1">+E10*$L$6</f>
        <v>0</v>
      </c>
      <c r="M10" s="185">
        <f>+L10</f>
        <v>0</v>
      </c>
      <c r="Y10" s="202"/>
      <c r="Z10" s="202"/>
      <c r="AA10" s="202"/>
      <c r="AB10" s="202"/>
    </row>
    <row r="11" spans="1:28" x14ac:dyDescent="0.25">
      <c r="A11" s="203">
        <v>43585</v>
      </c>
      <c r="B11" s="175">
        <v>0</v>
      </c>
      <c r="C11" s="185">
        <v>0</v>
      </c>
      <c r="D11" s="178">
        <v>3.4299999999999997E-2</v>
      </c>
      <c r="E11" s="175">
        <v>0</v>
      </c>
      <c r="F11" s="185">
        <v>0</v>
      </c>
      <c r="G11" s="185"/>
      <c r="I11" s="175">
        <f t="shared" si="0"/>
        <v>0</v>
      </c>
      <c r="J11" s="176">
        <f t="shared" ref="J11:J55" si="2">+I11+J10</f>
        <v>0</v>
      </c>
      <c r="L11" s="175">
        <f t="shared" si="1"/>
        <v>0</v>
      </c>
      <c r="M11" s="176">
        <f t="shared" ref="M11:M55" si="3">+L11+M10</f>
        <v>0</v>
      </c>
      <c r="Y11" s="202"/>
      <c r="Z11" s="202"/>
      <c r="AA11" s="202"/>
      <c r="AB11" s="202"/>
    </row>
    <row r="12" spans="1:28" x14ac:dyDescent="0.25">
      <c r="A12" s="179">
        <v>43616</v>
      </c>
      <c r="B12" s="175">
        <v>0</v>
      </c>
      <c r="C12" s="185">
        <f>C11+B12</f>
        <v>0</v>
      </c>
      <c r="D12" s="178">
        <v>3.4299999999999997E-2</v>
      </c>
      <c r="E12" s="175">
        <v>0</v>
      </c>
      <c r="F12" s="185">
        <f t="shared" ref="F12:F55" si="4">F11+E12</f>
        <v>0</v>
      </c>
      <c r="G12" s="185"/>
      <c r="I12" s="175">
        <f t="shared" si="0"/>
        <v>0</v>
      </c>
      <c r="J12" s="176">
        <f t="shared" si="2"/>
        <v>0</v>
      </c>
      <c r="L12" s="175">
        <f t="shared" si="1"/>
        <v>0</v>
      </c>
      <c r="M12" s="176">
        <f t="shared" si="3"/>
        <v>0</v>
      </c>
      <c r="Y12" s="202"/>
      <c r="Z12" s="202"/>
      <c r="AA12" s="202"/>
      <c r="AB12" s="202"/>
    </row>
    <row r="13" spans="1:28" x14ac:dyDescent="0.25">
      <c r="A13" s="179">
        <v>43646</v>
      </c>
      <c r="B13" s="175">
        <v>0</v>
      </c>
      <c r="C13" s="185">
        <f>C12+B13</f>
        <v>0</v>
      </c>
      <c r="D13" s="178">
        <v>3.4299999999999997E-2</v>
      </c>
      <c r="E13" s="175">
        <v>0</v>
      </c>
      <c r="F13" s="185">
        <f t="shared" si="4"/>
        <v>0</v>
      </c>
      <c r="G13" s="185"/>
      <c r="I13" s="175">
        <f t="shared" si="0"/>
        <v>0</v>
      </c>
      <c r="J13" s="176">
        <f t="shared" si="2"/>
        <v>0</v>
      </c>
      <c r="L13" s="175">
        <f t="shared" si="1"/>
        <v>0</v>
      </c>
      <c r="M13" s="176">
        <f t="shared" si="3"/>
        <v>0</v>
      </c>
      <c r="Y13" s="202"/>
      <c r="Z13" s="202"/>
      <c r="AA13" s="202"/>
      <c r="AB13" s="202"/>
    </row>
    <row r="14" spans="1:28" x14ac:dyDescent="0.25">
      <c r="A14" s="179">
        <v>43677</v>
      </c>
      <c r="B14" s="177">
        <v>0</v>
      </c>
      <c r="C14" s="185">
        <f>C13+B14</f>
        <v>0</v>
      </c>
      <c r="D14" s="178">
        <v>3.4299999999999997E-2</v>
      </c>
      <c r="E14" s="175">
        <v>0</v>
      </c>
      <c r="F14" s="185">
        <f t="shared" si="4"/>
        <v>0</v>
      </c>
      <c r="G14" s="185"/>
      <c r="I14" s="175">
        <f t="shared" si="0"/>
        <v>0</v>
      </c>
      <c r="J14" s="176">
        <f t="shared" si="2"/>
        <v>0</v>
      </c>
      <c r="L14" s="175">
        <f t="shared" si="1"/>
        <v>0</v>
      </c>
      <c r="M14" s="176">
        <f t="shared" si="3"/>
        <v>0</v>
      </c>
      <c r="Y14" s="202"/>
      <c r="Z14" s="202"/>
      <c r="AA14" s="202"/>
      <c r="AB14" s="202"/>
    </row>
    <row r="15" spans="1:28" x14ac:dyDescent="0.25">
      <c r="A15" s="179">
        <v>43708</v>
      </c>
      <c r="B15" s="177">
        <v>0</v>
      </c>
      <c r="C15" s="185">
        <f>C14+B15</f>
        <v>0</v>
      </c>
      <c r="D15" s="178">
        <v>3.4299999999999997E-2</v>
      </c>
      <c r="E15" s="177">
        <v>0</v>
      </c>
      <c r="F15" s="185">
        <f t="shared" si="4"/>
        <v>0</v>
      </c>
      <c r="G15" s="185"/>
      <c r="I15" s="175">
        <f t="shared" si="0"/>
        <v>0</v>
      </c>
      <c r="J15" s="176">
        <f t="shared" si="2"/>
        <v>0</v>
      </c>
      <c r="L15" s="175">
        <f t="shared" si="1"/>
        <v>0</v>
      </c>
      <c r="M15" s="176">
        <f t="shared" si="3"/>
        <v>0</v>
      </c>
      <c r="Y15" s="202"/>
      <c r="Z15" s="202"/>
      <c r="AA15" s="202"/>
      <c r="AB15" s="202"/>
    </row>
    <row r="16" spans="1:28" x14ac:dyDescent="0.25">
      <c r="A16" s="179">
        <v>43738</v>
      </c>
      <c r="B16" s="177">
        <v>202474.7</v>
      </c>
      <c r="C16" s="185">
        <f>C15+B16</f>
        <v>202474.7</v>
      </c>
      <c r="D16" s="178">
        <v>3.4299999999999997E-2</v>
      </c>
      <c r="E16" s="177">
        <f t="shared" ref="E16:E27" si="5">C16*(D16/12)</f>
        <v>578.74018416666661</v>
      </c>
      <c r="F16" s="185">
        <f t="shared" si="4"/>
        <v>578.74018416666661</v>
      </c>
      <c r="G16" s="185"/>
      <c r="I16" s="175">
        <f t="shared" si="0"/>
        <v>381.62127743949998</v>
      </c>
      <c r="J16" s="176">
        <f t="shared" si="2"/>
        <v>381.62127743949998</v>
      </c>
      <c r="L16" s="175">
        <f t="shared" si="1"/>
        <v>197.11890672716666</v>
      </c>
      <c r="M16" s="176">
        <f t="shared" si="3"/>
        <v>197.11890672716666</v>
      </c>
      <c r="Y16" s="189">
        <f t="shared" ref="Y16:Y55" si="6">+I16+Q16</f>
        <v>381.62127743949998</v>
      </c>
      <c r="Z16" s="189">
        <f t="shared" ref="Z16:Z55" si="7">+L16+V16</f>
        <v>197.11890672716666</v>
      </c>
      <c r="AA16" s="189">
        <f t="shared" ref="AA16:AA55" si="8">SUM(Y16:Z16)</f>
        <v>578.74018416666661</v>
      </c>
      <c r="AB16" s="189">
        <f>+AA16</f>
        <v>578.74018416666661</v>
      </c>
    </row>
    <row r="17" spans="1:28" x14ac:dyDescent="0.25">
      <c r="A17" s="179">
        <v>43769</v>
      </c>
      <c r="B17" s="177">
        <v>478842.81000000006</v>
      </c>
      <c r="C17" s="176">
        <f>C16+B17+1</f>
        <v>681318.51</v>
      </c>
      <c r="D17" s="178">
        <v>3.4299999999999997E-2</v>
      </c>
      <c r="E17" s="177">
        <f t="shared" si="5"/>
        <v>1947.4354077499997</v>
      </c>
      <c r="F17" s="176">
        <f t="shared" si="4"/>
        <v>2526.1755919166662</v>
      </c>
      <c r="G17" s="176"/>
      <c r="I17" s="175">
        <f t="shared" si="0"/>
        <v>1284.1389078703498</v>
      </c>
      <c r="J17" s="176">
        <f t="shared" si="2"/>
        <v>1665.7601853098499</v>
      </c>
      <c r="L17" s="175">
        <f t="shared" si="1"/>
        <v>663.2964998796499</v>
      </c>
      <c r="M17" s="176">
        <f t="shared" si="3"/>
        <v>860.41540660681653</v>
      </c>
      <c r="Y17" s="189">
        <f t="shared" si="6"/>
        <v>1284.1389078703498</v>
      </c>
      <c r="Z17" s="189">
        <f t="shared" si="7"/>
        <v>663.2964998796499</v>
      </c>
      <c r="AA17" s="189">
        <f t="shared" si="8"/>
        <v>1947.4354077499997</v>
      </c>
      <c r="AB17" s="189">
        <f t="shared" ref="AB17:AB55" si="9">+AA17+AB16</f>
        <v>2526.1755919166662</v>
      </c>
    </row>
    <row r="18" spans="1:28" x14ac:dyDescent="0.25">
      <c r="A18" s="179">
        <v>43799</v>
      </c>
      <c r="B18" s="177">
        <v>633244.44475000014</v>
      </c>
      <c r="C18" s="176">
        <f>C17+B18+1</f>
        <v>1314563.95475</v>
      </c>
      <c r="D18" s="178">
        <v>3.4299999999999997E-2</v>
      </c>
      <c r="E18" s="177">
        <f t="shared" si="5"/>
        <v>3757.4619706604162</v>
      </c>
      <c r="F18" s="176">
        <f t="shared" si="4"/>
        <v>6283.6375625770825</v>
      </c>
      <c r="G18" s="176"/>
      <c r="I18" s="175">
        <f t="shared" si="0"/>
        <v>2477.6704234534786</v>
      </c>
      <c r="J18" s="176">
        <f t="shared" si="2"/>
        <v>4143.4306087633286</v>
      </c>
      <c r="L18" s="175">
        <f t="shared" si="1"/>
        <v>1279.7915472069378</v>
      </c>
      <c r="M18" s="176">
        <f t="shared" si="3"/>
        <v>2140.2069538137544</v>
      </c>
      <c r="Y18" s="189">
        <f t="shared" si="6"/>
        <v>2477.6704234534786</v>
      </c>
      <c r="Z18" s="189">
        <f t="shared" si="7"/>
        <v>1279.7915472069378</v>
      </c>
      <c r="AA18" s="189">
        <f t="shared" si="8"/>
        <v>3757.4619706604162</v>
      </c>
      <c r="AB18" s="189">
        <f t="shared" si="9"/>
        <v>6283.6375625770825</v>
      </c>
    </row>
    <row r="19" spans="1:28" x14ac:dyDescent="0.25">
      <c r="A19" s="179">
        <v>43830</v>
      </c>
      <c r="B19" s="177">
        <v>716899.98983333341</v>
      </c>
      <c r="C19" s="176">
        <f t="shared" ref="C19:C28" si="10">C18+B19</f>
        <v>2031463.9445833336</v>
      </c>
      <c r="D19" s="178">
        <v>3.4299999999999997E-2</v>
      </c>
      <c r="E19" s="177">
        <f t="shared" si="5"/>
        <v>5806.6011082673613</v>
      </c>
      <c r="F19" s="176">
        <f t="shared" si="4"/>
        <v>12090.238670844443</v>
      </c>
      <c r="G19" s="176"/>
      <c r="I19" s="175">
        <f t="shared" si="0"/>
        <v>3828.8727707914977</v>
      </c>
      <c r="J19" s="176">
        <f t="shared" si="2"/>
        <v>7972.3033795548263</v>
      </c>
      <c r="L19" s="175">
        <f t="shared" si="1"/>
        <v>1977.7283374758633</v>
      </c>
      <c r="M19" s="176">
        <f t="shared" si="3"/>
        <v>4117.9352912896175</v>
      </c>
      <c r="Y19" s="189">
        <f t="shared" si="6"/>
        <v>3828.8727707914977</v>
      </c>
      <c r="Z19" s="189">
        <f t="shared" si="7"/>
        <v>1977.7283374758633</v>
      </c>
      <c r="AA19" s="189">
        <f t="shared" si="8"/>
        <v>5806.6011082673613</v>
      </c>
      <c r="AB19" s="189">
        <f t="shared" si="9"/>
        <v>12090.238670844443</v>
      </c>
    </row>
    <row r="20" spans="1:28" x14ac:dyDescent="0.25">
      <c r="A20" s="179">
        <v>43861</v>
      </c>
      <c r="B20" s="177">
        <v>720346.80016666674</v>
      </c>
      <c r="C20" s="176">
        <f t="shared" si="10"/>
        <v>2751810.7447500005</v>
      </c>
      <c r="D20" s="178">
        <v>3.4299999999999997E-2</v>
      </c>
      <c r="E20" s="177">
        <f t="shared" si="5"/>
        <v>7865.5923787437505</v>
      </c>
      <c r="F20" s="176">
        <f t="shared" si="4"/>
        <v>19955.831049588192</v>
      </c>
      <c r="G20" s="176"/>
      <c r="I20" s="175">
        <f t="shared" si="0"/>
        <v>5186.571614543629</v>
      </c>
      <c r="J20" s="176">
        <f t="shared" si="2"/>
        <v>13158.874994098456</v>
      </c>
      <c r="L20" s="175">
        <f t="shared" si="1"/>
        <v>2679.0207642001214</v>
      </c>
      <c r="M20" s="176">
        <f t="shared" si="3"/>
        <v>6796.9560554897389</v>
      </c>
      <c r="Y20" s="189">
        <f t="shared" si="6"/>
        <v>5186.571614543629</v>
      </c>
      <c r="Z20" s="189">
        <f t="shared" si="7"/>
        <v>2679.0207642001214</v>
      </c>
      <c r="AA20" s="189">
        <f t="shared" si="8"/>
        <v>7865.5923787437505</v>
      </c>
      <c r="AB20" s="189">
        <f t="shared" si="9"/>
        <v>19955.831049588192</v>
      </c>
    </row>
    <row r="21" spans="1:28" x14ac:dyDescent="0.25">
      <c r="A21" s="179">
        <v>43890</v>
      </c>
      <c r="B21" s="177">
        <v>758885.2701666666</v>
      </c>
      <c r="C21" s="176">
        <f t="shared" si="10"/>
        <v>3510696.0149166672</v>
      </c>
      <c r="D21" s="178">
        <v>3.4299999999999997E-2</v>
      </c>
      <c r="E21" s="177">
        <f t="shared" si="5"/>
        <v>10034.739442636806</v>
      </c>
      <c r="F21" s="176">
        <f t="shared" si="4"/>
        <v>29990.570492225001</v>
      </c>
      <c r="G21" s="176"/>
      <c r="I21" s="175">
        <f t="shared" si="0"/>
        <v>6616.90718847471</v>
      </c>
      <c r="J21" s="176">
        <f t="shared" si="2"/>
        <v>19775.782182573166</v>
      </c>
      <c r="L21" s="175">
        <f t="shared" si="1"/>
        <v>3417.8322541620964</v>
      </c>
      <c r="M21" s="176">
        <f t="shared" si="3"/>
        <v>10214.788309651834</v>
      </c>
      <c r="Y21" s="189">
        <f t="shared" si="6"/>
        <v>6616.90718847471</v>
      </c>
      <c r="Z21" s="189">
        <f t="shared" si="7"/>
        <v>3417.8322541620964</v>
      </c>
      <c r="AA21" s="189">
        <f t="shared" si="8"/>
        <v>10034.739442636806</v>
      </c>
      <c r="AB21" s="189">
        <f t="shared" si="9"/>
        <v>29990.570492225001</v>
      </c>
    </row>
    <row r="22" spans="1:28" x14ac:dyDescent="0.25">
      <c r="A22" s="179">
        <v>43921</v>
      </c>
      <c r="B22" s="177">
        <v>799983.26016666682</v>
      </c>
      <c r="C22" s="176">
        <f t="shared" si="10"/>
        <v>4310679.2750833342</v>
      </c>
      <c r="D22" s="178">
        <v>3.4299999999999997E-2</v>
      </c>
      <c r="E22" s="177">
        <f t="shared" si="5"/>
        <v>12321.358261279862</v>
      </c>
      <c r="F22" s="176">
        <f t="shared" si="4"/>
        <v>42311.928753504864</v>
      </c>
      <c r="G22" s="176"/>
      <c r="I22" s="175">
        <f t="shared" si="0"/>
        <v>8124.7036374879408</v>
      </c>
      <c r="J22" s="176">
        <f t="shared" si="2"/>
        <v>27900.485820061105</v>
      </c>
      <c r="L22" s="175">
        <f t="shared" si="1"/>
        <v>4196.654623791921</v>
      </c>
      <c r="M22" s="176">
        <f t="shared" si="3"/>
        <v>14411.442933443755</v>
      </c>
      <c r="Y22" s="189">
        <f t="shared" si="6"/>
        <v>8124.7036374879408</v>
      </c>
      <c r="Z22" s="189">
        <f t="shared" si="7"/>
        <v>4196.654623791921</v>
      </c>
      <c r="AA22" s="189">
        <f t="shared" si="8"/>
        <v>12321.358261279862</v>
      </c>
      <c r="AB22" s="189">
        <f t="shared" si="9"/>
        <v>42311.928753504864</v>
      </c>
    </row>
    <row r="23" spans="1:28" x14ac:dyDescent="0.25">
      <c r="A23" s="179">
        <v>43951</v>
      </c>
      <c r="B23" s="177">
        <v>803787.35016666679</v>
      </c>
      <c r="C23" s="176">
        <f t="shared" si="10"/>
        <v>5114466.6252500005</v>
      </c>
      <c r="D23" s="178">
        <v>3.4299999999999997E-2</v>
      </c>
      <c r="E23" s="177">
        <f t="shared" si="5"/>
        <v>14618.850437172916</v>
      </c>
      <c r="F23" s="176">
        <f t="shared" si="4"/>
        <v>56930.779190677778</v>
      </c>
      <c r="G23" s="176"/>
      <c r="H23" s="41"/>
      <c r="I23" s="175">
        <f t="shared" si="0"/>
        <v>9639.6699782718206</v>
      </c>
      <c r="J23" s="176">
        <f t="shared" si="2"/>
        <v>37540.155798332926</v>
      </c>
      <c r="L23" s="175">
        <f t="shared" si="1"/>
        <v>4979.1804589010953</v>
      </c>
      <c r="M23" s="176">
        <f t="shared" si="3"/>
        <v>19390.623392344853</v>
      </c>
      <c r="Y23" s="189">
        <f t="shared" si="6"/>
        <v>9639.6699782718206</v>
      </c>
      <c r="Z23" s="189">
        <f t="shared" si="7"/>
        <v>4979.1804589010953</v>
      </c>
      <c r="AA23" s="189">
        <f t="shared" si="8"/>
        <v>14618.850437172916</v>
      </c>
      <c r="AB23" s="189">
        <f t="shared" si="9"/>
        <v>56930.779190677778</v>
      </c>
    </row>
    <row r="24" spans="1:28" x14ac:dyDescent="0.25">
      <c r="A24" s="179">
        <v>43982</v>
      </c>
      <c r="B24" s="177">
        <v>805829.92016666662</v>
      </c>
      <c r="C24" s="176">
        <f t="shared" si="10"/>
        <v>5920296.5454166671</v>
      </c>
      <c r="D24" s="178">
        <v>3.4299999999999997E-2</v>
      </c>
      <c r="E24" s="177">
        <f t="shared" si="5"/>
        <v>16922.180958982637</v>
      </c>
      <c r="F24" s="176">
        <f t="shared" si="4"/>
        <v>73852.960149660415</v>
      </c>
      <c r="G24" s="176"/>
      <c r="H24" s="177"/>
      <c r="I24" s="175">
        <f t="shared" si="0"/>
        <v>11158.48612435315</v>
      </c>
      <c r="J24" s="176">
        <f t="shared" si="2"/>
        <v>48698.641922686074</v>
      </c>
      <c r="L24" s="175">
        <f t="shared" si="1"/>
        <v>5763.6948346294866</v>
      </c>
      <c r="M24" s="176">
        <f t="shared" si="3"/>
        <v>25154.318226974341</v>
      </c>
      <c r="Y24" s="189">
        <f t="shared" si="6"/>
        <v>11158.48612435315</v>
      </c>
      <c r="Z24" s="189">
        <f t="shared" si="7"/>
        <v>5763.6948346294866</v>
      </c>
      <c r="AA24" s="189">
        <f t="shared" si="8"/>
        <v>16922.180958982637</v>
      </c>
      <c r="AB24" s="189">
        <f t="shared" si="9"/>
        <v>73852.960149660415</v>
      </c>
    </row>
    <row r="25" spans="1:28" x14ac:dyDescent="0.25">
      <c r="A25" s="179">
        <v>44012</v>
      </c>
      <c r="B25" s="177">
        <v>812679.45325000002</v>
      </c>
      <c r="C25" s="176">
        <f t="shared" si="10"/>
        <v>6732975.9986666674</v>
      </c>
      <c r="D25" s="178">
        <v>3.4299999999999997E-2</v>
      </c>
      <c r="E25" s="177">
        <f t="shared" si="5"/>
        <v>19245.08972952222</v>
      </c>
      <c r="F25" s="176">
        <f t="shared" si="4"/>
        <v>93098.049879182639</v>
      </c>
      <c r="G25" s="176"/>
      <c r="H25" s="41"/>
      <c r="I25" s="175">
        <f t="shared" si="0"/>
        <v>12690.212167646952</v>
      </c>
      <c r="J25" s="176">
        <f t="shared" si="2"/>
        <v>61388.854090333029</v>
      </c>
      <c r="L25" s="175">
        <f t="shared" si="1"/>
        <v>6554.8775618752688</v>
      </c>
      <c r="M25" s="176">
        <f t="shared" si="3"/>
        <v>31709.195788849611</v>
      </c>
      <c r="Y25" s="189">
        <f t="shared" si="6"/>
        <v>12690.212167646952</v>
      </c>
      <c r="Z25" s="189">
        <f t="shared" si="7"/>
        <v>6554.8775618752688</v>
      </c>
      <c r="AA25" s="189">
        <f t="shared" si="8"/>
        <v>19245.08972952222</v>
      </c>
      <c r="AB25" s="189">
        <f t="shared" si="9"/>
        <v>93098.049879182639</v>
      </c>
    </row>
    <row r="26" spans="1:28" x14ac:dyDescent="0.25">
      <c r="A26" s="179">
        <v>44043</v>
      </c>
      <c r="B26" s="177">
        <v>1020039.6032500006</v>
      </c>
      <c r="C26" s="176">
        <f t="shared" si="10"/>
        <v>7753015.601916668</v>
      </c>
      <c r="D26" s="178">
        <v>3.4299999999999997E-2</v>
      </c>
      <c r="E26" s="177">
        <f t="shared" si="5"/>
        <v>22160.702928811806</v>
      </c>
      <c r="F26" s="176">
        <f t="shared" si="4"/>
        <v>115258.75280799445</v>
      </c>
      <c r="G26" s="176"/>
      <c r="H26" s="41"/>
      <c r="I26" s="175">
        <f t="shared" si="0"/>
        <v>14612.767511258506</v>
      </c>
      <c r="J26" s="176">
        <f t="shared" si="2"/>
        <v>76001.621601591527</v>
      </c>
      <c r="L26" s="175">
        <f t="shared" si="1"/>
        <v>7547.9354175533017</v>
      </c>
      <c r="M26" s="176">
        <f t="shared" si="3"/>
        <v>39257.131206402912</v>
      </c>
      <c r="O26" s="175">
        <v>0</v>
      </c>
      <c r="Q26" s="184">
        <f>+P26*$D26/12</f>
        <v>0</v>
      </c>
      <c r="T26" s="175">
        <v>101583.01308333334</v>
      </c>
      <c r="U26" s="185">
        <f>+T26</f>
        <v>101583.01308333334</v>
      </c>
      <c r="V26" s="184">
        <f t="shared" ref="V26:V55" si="11">+U26*$D26/12</f>
        <v>290.35811239652776</v>
      </c>
      <c r="W26" s="175">
        <f>+V26</f>
        <v>290.35811239652776</v>
      </c>
      <c r="Y26" s="189">
        <f t="shared" si="6"/>
        <v>14612.767511258506</v>
      </c>
      <c r="Z26" s="189">
        <f t="shared" si="7"/>
        <v>7838.2935299498295</v>
      </c>
      <c r="AA26" s="189">
        <f t="shared" si="8"/>
        <v>22451.061041208333</v>
      </c>
      <c r="AB26" s="189">
        <f t="shared" si="9"/>
        <v>115549.11092039097</v>
      </c>
    </row>
    <row r="27" spans="1:28" x14ac:dyDescent="0.25">
      <c r="A27" s="179">
        <v>44074</v>
      </c>
      <c r="B27" s="177">
        <v>1258160.7601666634</v>
      </c>
      <c r="C27" s="176">
        <f t="shared" si="10"/>
        <v>9011176.3620833308</v>
      </c>
      <c r="D27" s="178">
        <v>3.4299999999999997E-2</v>
      </c>
      <c r="E27" s="177">
        <f t="shared" si="5"/>
        <v>25756.945768288184</v>
      </c>
      <c r="F27" s="176">
        <f t="shared" si="4"/>
        <v>141015.69857628262</v>
      </c>
      <c r="G27" s="176"/>
      <c r="I27" s="175">
        <f t="shared" si="0"/>
        <v>16984.130039609227</v>
      </c>
      <c r="J27" s="176">
        <f t="shared" si="2"/>
        <v>92985.751641200754</v>
      </c>
      <c r="L27" s="175">
        <f t="shared" si="1"/>
        <v>8772.8157286789556</v>
      </c>
      <c r="M27" s="176">
        <f t="shared" si="3"/>
        <v>48029.946935081869</v>
      </c>
      <c r="O27" s="175">
        <v>0</v>
      </c>
      <c r="T27" s="175">
        <v>205655.15616666668</v>
      </c>
      <c r="U27" s="185">
        <f t="shared" ref="U27:U55" si="12">+T27+U26</f>
        <v>307238.16925000004</v>
      </c>
      <c r="V27" s="184">
        <f t="shared" si="11"/>
        <v>878.1891004395834</v>
      </c>
      <c r="W27" s="175">
        <f t="shared" ref="W27:W55" si="13">+V27+W26</f>
        <v>1168.5472128361112</v>
      </c>
      <c r="Y27" s="189">
        <f t="shared" si="6"/>
        <v>16984.130039609227</v>
      </c>
      <c r="Z27" s="189">
        <f t="shared" si="7"/>
        <v>9651.0048291185394</v>
      </c>
      <c r="AA27" s="189">
        <f t="shared" si="8"/>
        <v>26635.134868727764</v>
      </c>
      <c r="AB27" s="189">
        <f t="shared" si="9"/>
        <v>142184.24578911875</v>
      </c>
    </row>
    <row r="28" spans="1:28" x14ac:dyDescent="0.25">
      <c r="A28" s="179">
        <v>44104</v>
      </c>
      <c r="B28" s="177">
        <v>-8259751.6861666664</v>
      </c>
      <c r="C28" s="176">
        <f t="shared" si="10"/>
        <v>751424.6759166643</v>
      </c>
      <c r="D28" s="178">
        <f>+D27</f>
        <v>3.4299999999999997E-2</v>
      </c>
      <c r="E28" s="177">
        <f>-132515-V28</f>
        <v>-133990.87427839931</v>
      </c>
      <c r="F28" s="176">
        <f t="shared" si="4"/>
        <v>7024.824297883315</v>
      </c>
      <c r="G28" s="176"/>
      <c r="H28" t="s">
        <v>144</v>
      </c>
      <c r="I28" s="175">
        <f t="shared" si="0"/>
        <v>-88353.582499176497</v>
      </c>
      <c r="J28" s="176">
        <f t="shared" si="2"/>
        <v>4632.1691420242569</v>
      </c>
      <c r="L28" s="175">
        <f t="shared" si="1"/>
        <v>-45637.291779222804</v>
      </c>
      <c r="M28" s="176">
        <f t="shared" si="3"/>
        <v>2392.6551558590654</v>
      </c>
      <c r="O28" s="175">
        <v>0</v>
      </c>
      <c r="T28" s="175">
        <v>209102.68616666668</v>
      </c>
      <c r="U28" s="185">
        <f t="shared" si="12"/>
        <v>516340.85541666672</v>
      </c>
      <c r="V28" s="184">
        <f t="shared" si="11"/>
        <v>1475.8742783993057</v>
      </c>
      <c r="W28" s="175">
        <f t="shared" si="13"/>
        <v>2644.4214912354169</v>
      </c>
      <c r="Y28" s="189">
        <f t="shared" si="6"/>
        <v>-88353.582499176497</v>
      </c>
      <c r="Z28" s="189">
        <f t="shared" si="7"/>
        <v>-44161.417500823496</v>
      </c>
      <c r="AA28" s="189">
        <f t="shared" si="8"/>
        <v>-132515</v>
      </c>
      <c r="AB28" s="189">
        <f t="shared" si="9"/>
        <v>9669.2457891187514</v>
      </c>
    </row>
    <row r="29" spans="1:28" x14ac:dyDescent="0.25">
      <c r="A29" s="179">
        <v>44135</v>
      </c>
      <c r="B29" s="128">
        <v>217325.35</v>
      </c>
      <c r="C29" s="176">
        <f>C28+B29+1</f>
        <v>968751.02591666428</v>
      </c>
      <c r="D29" s="178">
        <v>3.2500000000000001E-2</v>
      </c>
      <c r="E29" s="177">
        <f t="shared" ref="E29:E55" si="14">C29*(D29/12)</f>
        <v>2623.7006951909657</v>
      </c>
      <c r="F29" s="176">
        <f t="shared" si="4"/>
        <v>9648.5249930742812</v>
      </c>
      <c r="G29" s="176"/>
      <c r="H29" s="177"/>
      <c r="I29" s="175">
        <f t="shared" si="0"/>
        <v>1730.0682384089228</v>
      </c>
      <c r="J29" s="176">
        <f t="shared" si="2"/>
        <v>6362.2373804331801</v>
      </c>
      <c r="L29" s="175">
        <f t="shared" si="1"/>
        <v>893.63245678204294</v>
      </c>
      <c r="M29" s="176">
        <f t="shared" si="3"/>
        <v>3286.2876126411084</v>
      </c>
      <c r="O29" s="175">
        <v>0</v>
      </c>
      <c r="T29" s="175">
        <v>213027.54616666667</v>
      </c>
      <c r="U29" s="185">
        <f t="shared" si="12"/>
        <v>729368.40158333338</v>
      </c>
      <c r="V29" s="184">
        <f t="shared" si="11"/>
        <v>1975.3727542881945</v>
      </c>
      <c r="W29" s="175">
        <f t="shared" si="13"/>
        <v>4619.7942455236116</v>
      </c>
      <c r="Y29" s="189">
        <f t="shared" si="6"/>
        <v>1730.0682384089228</v>
      </c>
      <c r="Z29" s="189">
        <f t="shared" si="7"/>
        <v>2869.0052110702372</v>
      </c>
      <c r="AA29" s="189">
        <f t="shared" si="8"/>
        <v>4599.0734494791595</v>
      </c>
      <c r="AB29" s="189">
        <f t="shared" si="9"/>
        <v>14268.319238597911</v>
      </c>
    </row>
    <row r="30" spans="1:28" x14ac:dyDescent="0.25">
      <c r="A30" s="179">
        <v>44165</v>
      </c>
      <c r="B30" s="128">
        <v>283947.61000000004</v>
      </c>
      <c r="C30" s="176">
        <f t="shared" ref="C30:C55" si="15">C29+B30</f>
        <v>1252698.6359166643</v>
      </c>
      <c r="D30" s="178">
        <v>3.2500000000000001E-2</v>
      </c>
      <c r="E30" s="177">
        <f t="shared" si="14"/>
        <v>3392.7254722742991</v>
      </c>
      <c r="F30" s="176">
        <f t="shared" si="4"/>
        <v>13041.250465348581</v>
      </c>
      <c r="G30" s="176"/>
      <c r="I30" s="175">
        <f t="shared" si="0"/>
        <v>2237.1631764176727</v>
      </c>
      <c r="J30" s="176">
        <f t="shared" si="2"/>
        <v>8599.4005568508528</v>
      </c>
      <c r="L30" s="175">
        <f t="shared" si="1"/>
        <v>1155.5622958566264</v>
      </c>
      <c r="M30" s="176">
        <f t="shared" si="3"/>
        <v>4441.8499084977348</v>
      </c>
      <c r="O30" s="175">
        <v>0</v>
      </c>
      <c r="T30" s="175">
        <v>216084.38616666666</v>
      </c>
      <c r="U30" s="185">
        <f t="shared" si="12"/>
        <v>945452.78775000002</v>
      </c>
      <c r="V30" s="184">
        <f t="shared" si="11"/>
        <v>2560.6013001562501</v>
      </c>
      <c r="W30" s="175">
        <f t="shared" si="13"/>
        <v>7180.3955456798612</v>
      </c>
      <c r="Y30" s="189">
        <f t="shared" si="6"/>
        <v>2237.1631764176727</v>
      </c>
      <c r="Z30" s="189">
        <f t="shared" si="7"/>
        <v>3716.1635960128765</v>
      </c>
      <c r="AA30" s="189">
        <f t="shared" si="8"/>
        <v>5953.3267724305497</v>
      </c>
      <c r="AB30" s="189">
        <f t="shared" si="9"/>
        <v>20221.646011028461</v>
      </c>
    </row>
    <row r="31" spans="1:28" x14ac:dyDescent="0.25">
      <c r="A31" s="179">
        <v>44196</v>
      </c>
      <c r="B31" s="177">
        <v>345991.38383333333</v>
      </c>
      <c r="C31" s="176">
        <f t="shared" si="15"/>
        <v>1598690.0197499976</v>
      </c>
      <c r="D31" s="178">
        <v>3.2500000000000001E-2</v>
      </c>
      <c r="E31" s="177">
        <f t="shared" si="14"/>
        <v>4329.7854701562437</v>
      </c>
      <c r="F31" s="176">
        <f t="shared" si="4"/>
        <v>17371.035935504824</v>
      </c>
      <c r="G31" s="176"/>
      <c r="H31" s="185"/>
      <c r="I31" s="175">
        <f t="shared" si="0"/>
        <v>2855.0605390210271</v>
      </c>
      <c r="J31" s="176">
        <f t="shared" si="2"/>
        <v>11454.46109587188</v>
      </c>
      <c r="L31" s="175">
        <f t="shared" si="1"/>
        <v>1474.7249311352166</v>
      </c>
      <c r="M31" s="176">
        <f t="shared" si="3"/>
        <v>5916.5748396329509</v>
      </c>
      <c r="O31" s="175">
        <v>0</v>
      </c>
      <c r="T31" s="175">
        <v>216204.55616666668</v>
      </c>
      <c r="U31" s="185">
        <f t="shared" si="12"/>
        <v>1161657.3439166667</v>
      </c>
      <c r="V31" s="184">
        <f t="shared" si="11"/>
        <v>3146.1553064409723</v>
      </c>
      <c r="W31" s="175">
        <f t="shared" si="13"/>
        <v>10326.550852120834</v>
      </c>
      <c r="Y31" s="189">
        <f t="shared" si="6"/>
        <v>2855.0605390210271</v>
      </c>
      <c r="Z31" s="189">
        <f t="shared" si="7"/>
        <v>4620.8802375761888</v>
      </c>
      <c r="AA31" s="189">
        <f t="shared" si="8"/>
        <v>7475.9407765972155</v>
      </c>
      <c r="AB31" s="189">
        <f t="shared" si="9"/>
        <v>27697.586787625674</v>
      </c>
    </row>
    <row r="32" spans="1:28" x14ac:dyDescent="0.25">
      <c r="A32" s="179">
        <v>44227</v>
      </c>
      <c r="B32" s="177">
        <v>381698.1476666666</v>
      </c>
      <c r="C32" s="176">
        <f t="shared" si="15"/>
        <v>1980388.1674166643</v>
      </c>
      <c r="D32" s="178">
        <v>3.2500000000000001E-2</v>
      </c>
      <c r="E32" s="177">
        <f t="shared" si="14"/>
        <v>5363.5512867534662</v>
      </c>
      <c r="F32" s="176">
        <f t="shared" si="4"/>
        <v>22734.587222258291</v>
      </c>
      <c r="G32" s="176"/>
      <c r="I32" s="175">
        <f t="shared" si="0"/>
        <v>3536.7257184852356</v>
      </c>
      <c r="J32" s="176">
        <f t="shared" si="2"/>
        <v>14991.186814357116</v>
      </c>
      <c r="L32" s="175">
        <f t="shared" si="1"/>
        <v>1826.8255682682307</v>
      </c>
      <c r="M32" s="176">
        <f t="shared" si="3"/>
        <v>7743.4004079011811</v>
      </c>
      <c r="O32" s="175">
        <v>0</v>
      </c>
      <c r="T32" s="175">
        <v>219405.56616666669</v>
      </c>
      <c r="U32" s="185">
        <f t="shared" si="12"/>
        <v>1381062.9100833335</v>
      </c>
      <c r="V32" s="184">
        <f t="shared" si="11"/>
        <v>3740.3787148090282</v>
      </c>
      <c r="W32" s="175">
        <f t="shared" si="13"/>
        <v>14066.929566929863</v>
      </c>
      <c r="Y32" s="189">
        <f t="shared" si="6"/>
        <v>3536.7257184852356</v>
      </c>
      <c r="Z32" s="189">
        <f t="shared" si="7"/>
        <v>5567.2042830772589</v>
      </c>
      <c r="AA32" s="189">
        <f t="shared" si="8"/>
        <v>9103.930001562494</v>
      </c>
      <c r="AB32" s="189">
        <f t="shared" si="9"/>
        <v>36801.516789188172</v>
      </c>
    </row>
    <row r="33" spans="1:30" x14ac:dyDescent="0.25">
      <c r="A33" s="179">
        <v>44255</v>
      </c>
      <c r="B33" s="177">
        <v>411265.68766666664</v>
      </c>
      <c r="C33" s="176">
        <f t="shared" si="15"/>
        <v>2391653.855083331</v>
      </c>
      <c r="D33" s="178">
        <v>3.2500000000000001E-2</v>
      </c>
      <c r="E33" s="177">
        <f t="shared" si="14"/>
        <v>6477.3958575173547</v>
      </c>
      <c r="F33" s="176">
        <f t="shared" si="4"/>
        <v>29211.983079775644</v>
      </c>
      <c r="G33" s="176"/>
      <c r="I33" s="175">
        <f t="shared" si="0"/>
        <v>4271.1948284469436</v>
      </c>
      <c r="J33" s="176">
        <f t="shared" si="2"/>
        <v>19262.381642804059</v>
      </c>
      <c r="L33" s="175">
        <f t="shared" si="1"/>
        <v>2206.2010290704111</v>
      </c>
      <c r="M33" s="176">
        <f t="shared" si="3"/>
        <v>9949.6014369715922</v>
      </c>
      <c r="O33" s="175">
        <v>0</v>
      </c>
      <c r="T33" s="175">
        <v>222596.79616666667</v>
      </c>
      <c r="U33" s="185">
        <f t="shared" si="12"/>
        <v>1603659.7062500003</v>
      </c>
      <c r="V33" s="184">
        <f t="shared" si="11"/>
        <v>4343.2450377604173</v>
      </c>
      <c r="W33" s="175">
        <f t="shared" si="13"/>
        <v>18410.174604690281</v>
      </c>
      <c r="Y33" s="189">
        <f t="shared" si="6"/>
        <v>4271.1948284469436</v>
      </c>
      <c r="Z33" s="189">
        <f t="shared" si="7"/>
        <v>6549.4460668308284</v>
      </c>
      <c r="AA33" s="189">
        <f t="shared" si="8"/>
        <v>10820.640895277771</v>
      </c>
      <c r="AB33" s="189">
        <f t="shared" si="9"/>
        <v>47622.157684465943</v>
      </c>
    </row>
    <row r="34" spans="1:30" x14ac:dyDescent="0.25">
      <c r="A34" s="179">
        <v>44286</v>
      </c>
      <c r="B34" s="177">
        <v>411307.02766666666</v>
      </c>
      <c r="C34" s="176">
        <f t="shared" si="15"/>
        <v>2802960.8827499975</v>
      </c>
      <c r="D34" s="178">
        <v>3.2500000000000001E-2</v>
      </c>
      <c r="E34" s="177">
        <f t="shared" si="14"/>
        <v>7591.3523907812432</v>
      </c>
      <c r="F34" s="176">
        <f t="shared" si="4"/>
        <v>36803.335470556885</v>
      </c>
      <c r="G34" s="176"/>
      <c r="I34" s="175">
        <f t="shared" si="0"/>
        <v>5005.737766481152</v>
      </c>
      <c r="J34" s="176">
        <f t="shared" si="2"/>
        <v>24268.119409285209</v>
      </c>
      <c r="L34" s="175">
        <f t="shared" si="1"/>
        <v>2585.6146243000917</v>
      </c>
      <c r="M34" s="176">
        <f t="shared" si="3"/>
        <v>12535.216061271683</v>
      </c>
      <c r="O34" s="175">
        <v>0</v>
      </c>
      <c r="T34" s="175">
        <v>222720.29616666667</v>
      </c>
      <c r="U34" s="185">
        <f t="shared" si="12"/>
        <v>1826380.0024166671</v>
      </c>
      <c r="V34" s="184">
        <f t="shared" si="11"/>
        <v>4946.4458398784736</v>
      </c>
      <c r="W34" s="175">
        <f t="shared" si="13"/>
        <v>23356.620444568754</v>
      </c>
      <c r="Y34" s="189">
        <f t="shared" si="6"/>
        <v>5005.737766481152</v>
      </c>
      <c r="Z34" s="189">
        <f t="shared" si="7"/>
        <v>7532.0604641785649</v>
      </c>
      <c r="AA34" s="189">
        <f t="shared" si="8"/>
        <v>12537.798230659717</v>
      </c>
      <c r="AB34" s="189">
        <f t="shared" si="9"/>
        <v>60159.955915125662</v>
      </c>
    </row>
    <row r="35" spans="1:30" x14ac:dyDescent="0.25">
      <c r="A35" s="179">
        <v>44316</v>
      </c>
      <c r="B35" s="177">
        <v>411333.93766666664</v>
      </c>
      <c r="C35" s="176">
        <f t="shared" si="15"/>
        <v>3214294.8204166642</v>
      </c>
      <c r="D35" s="178">
        <v>3.2500000000000001E-2</v>
      </c>
      <c r="E35" s="177">
        <f t="shared" si="14"/>
        <v>8705.3818052951319</v>
      </c>
      <c r="F35" s="176">
        <f t="shared" si="4"/>
        <v>45508.717275852017</v>
      </c>
      <c r="G35" s="176"/>
      <c r="I35" s="175">
        <f t="shared" si="0"/>
        <v>5740.3287624116101</v>
      </c>
      <c r="J35" s="176">
        <f t="shared" si="2"/>
        <v>30008.448171696818</v>
      </c>
      <c r="L35" s="175">
        <f t="shared" si="1"/>
        <v>2965.0530428835223</v>
      </c>
      <c r="M35" s="176">
        <f t="shared" si="3"/>
        <v>15500.269104155206</v>
      </c>
      <c r="O35" s="175">
        <v>0</v>
      </c>
      <c r="T35" s="175">
        <v>222795.84616666668</v>
      </c>
      <c r="U35" s="185">
        <f t="shared" si="12"/>
        <v>2049175.8485833337</v>
      </c>
      <c r="V35" s="184">
        <f t="shared" si="11"/>
        <v>5549.8512565798619</v>
      </c>
      <c r="W35" s="175">
        <f t="shared" si="13"/>
        <v>28906.471701148617</v>
      </c>
      <c r="Y35" s="189">
        <f t="shared" si="6"/>
        <v>5740.3287624116101</v>
      </c>
      <c r="Z35" s="189">
        <f t="shared" si="7"/>
        <v>8514.9042994633837</v>
      </c>
      <c r="AA35" s="189">
        <f t="shared" si="8"/>
        <v>14255.233061874995</v>
      </c>
      <c r="AB35" s="189">
        <f t="shared" si="9"/>
        <v>74415.188977000653</v>
      </c>
    </row>
    <row r="36" spans="1:30" x14ac:dyDescent="0.25">
      <c r="A36" s="179">
        <v>44347</v>
      </c>
      <c r="B36" s="177">
        <v>416093.47766666667</v>
      </c>
      <c r="C36" s="176">
        <f t="shared" si="15"/>
        <v>3630388.298083331</v>
      </c>
      <c r="D36" s="178">
        <v>3.2500000000000001E-2</v>
      </c>
      <c r="E36" s="177">
        <f t="shared" si="14"/>
        <v>9832.3016406423558</v>
      </c>
      <c r="F36" s="176">
        <f t="shared" si="4"/>
        <v>55341.018916494373</v>
      </c>
      <c r="G36" s="176"/>
      <c r="I36" s="175">
        <f t="shared" si="0"/>
        <v>6483.4197018395689</v>
      </c>
      <c r="J36" s="176">
        <f t="shared" si="2"/>
        <v>36491.867873536386</v>
      </c>
      <c r="L36" s="175">
        <f t="shared" si="1"/>
        <v>3348.8819388027864</v>
      </c>
      <c r="M36" s="176">
        <f t="shared" si="3"/>
        <v>18849.151042957994</v>
      </c>
      <c r="O36" s="175">
        <v>0</v>
      </c>
      <c r="T36" s="175">
        <v>222779.06616666669</v>
      </c>
      <c r="U36" s="185">
        <f t="shared" si="12"/>
        <v>2271954.9147500005</v>
      </c>
      <c r="V36" s="184">
        <f t="shared" si="11"/>
        <v>6153.2112274479186</v>
      </c>
      <c r="W36" s="175">
        <f t="shared" si="13"/>
        <v>35059.682928596536</v>
      </c>
      <c r="Y36" s="189">
        <f t="shared" si="6"/>
        <v>6483.4197018395689</v>
      </c>
      <c r="Z36" s="189">
        <f t="shared" si="7"/>
        <v>9502.0931662507046</v>
      </c>
      <c r="AA36" s="189">
        <f t="shared" si="8"/>
        <v>15985.512868090274</v>
      </c>
      <c r="AB36" s="189">
        <f t="shared" si="9"/>
        <v>90400.701845090924</v>
      </c>
    </row>
    <row r="37" spans="1:30" x14ac:dyDescent="0.25">
      <c r="A37" s="179">
        <v>44377</v>
      </c>
      <c r="B37" s="177">
        <v>429057.53450000001</v>
      </c>
      <c r="C37" s="176">
        <f t="shared" si="15"/>
        <v>4059445.832583331</v>
      </c>
      <c r="D37" s="178">
        <v>3.2500000000000001E-2</v>
      </c>
      <c r="E37" s="177">
        <f t="shared" si="14"/>
        <v>10994.332463246523</v>
      </c>
      <c r="F37" s="176">
        <f t="shared" si="4"/>
        <v>66335.351379740896</v>
      </c>
      <c r="G37" s="176"/>
      <c r="I37" s="175">
        <f t="shared" si="0"/>
        <v>7249.6628262647573</v>
      </c>
      <c r="J37" s="176">
        <f t="shared" si="2"/>
        <v>43741.530699801144</v>
      </c>
      <c r="L37" s="175">
        <f t="shared" si="1"/>
        <v>3744.669636981766</v>
      </c>
      <c r="M37" s="176">
        <f t="shared" si="3"/>
        <v>22593.820679939759</v>
      </c>
      <c r="O37" s="175">
        <v>0</v>
      </c>
      <c r="T37" s="175">
        <v>222779.14616666667</v>
      </c>
      <c r="U37" s="185">
        <f t="shared" si="12"/>
        <v>2494734.0609166673</v>
      </c>
      <c r="V37" s="184">
        <f t="shared" si="11"/>
        <v>6756.5714149826408</v>
      </c>
      <c r="W37" s="175">
        <f t="shared" si="13"/>
        <v>41816.254343579174</v>
      </c>
      <c r="Y37" s="189">
        <f t="shared" si="6"/>
        <v>7249.6628262647573</v>
      </c>
      <c r="Z37" s="189">
        <f t="shared" si="7"/>
        <v>10501.241051964407</v>
      </c>
      <c r="AA37" s="189">
        <f t="shared" si="8"/>
        <v>17750.903878229165</v>
      </c>
      <c r="AB37" s="189">
        <f t="shared" si="9"/>
        <v>108151.60572332008</v>
      </c>
    </row>
    <row r="38" spans="1:30" x14ac:dyDescent="0.25">
      <c r="A38" s="179">
        <v>44408</v>
      </c>
      <c r="B38" s="177">
        <v>429110.7145</v>
      </c>
      <c r="C38" s="176">
        <f t="shared" si="15"/>
        <v>4488556.5470833313</v>
      </c>
      <c r="D38" s="178">
        <v>3.2500000000000001E-2</v>
      </c>
      <c r="E38" s="177">
        <f t="shared" si="14"/>
        <v>12156.507315017356</v>
      </c>
      <c r="F38" s="176">
        <f t="shared" si="4"/>
        <v>78491.858694758252</v>
      </c>
      <c r="G38" s="176"/>
      <c r="I38" s="175">
        <f t="shared" si="0"/>
        <v>8016.0009235224443</v>
      </c>
      <c r="J38" s="176">
        <f t="shared" si="2"/>
        <v>51757.531623323586</v>
      </c>
      <c r="L38" s="175">
        <f t="shared" si="1"/>
        <v>4140.5063914949114</v>
      </c>
      <c r="M38" s="176">
        <f t="shared" si="3"/>
        <v>26734.327071434673</v>
      </c>
      <c r="O38" s="175">
        <v>0</v>
      </c>
      <c r="T38" s="175">
        <v>222779.15616666668</v>
      </c>
      <c r="U38" s="185">
        <f t="shared" si="12"/>
        <v>2717513.217083334</v>
      </c>
      <c r="V38" s="184">
        <f t="shared" si="11"/>
        <v>7359.9316296006973</v>
      </c>
      <c r="W38" s="175">
        <f t="shared" si="13"/>
        <v>49176.185973179869</v>
      </c>
      <c r="Y38" s="189">
        <f t="shared" si="6"/>
        <v>8016.0009235224443</v>
      </c>
      <c r="Z38" s="189">
        <f t="shared" si="7"/>
        <v>11500.438021095608</v>
      </c>
      <c r="AA38" s="189">
        <f t="shared" si="8"/>
        <v>19516.43894461805</v>
      </c>
      <c r="AB38" s="189">
        <f t="shared" si="9"/>
        <v>127668.04466793814</v>
      </c>
    </row>
    <row r="39" spans="1:30" s="41" customFormat="1" x14ac:dyDescent="0.25">
      <c r="A39" s="179">
        <v>44439</v>
      </c>
      <c r="B39" s="177">
        <v>429110.75449999998</v>
      </c>
      <c r="C39" s="176">
        <f t="shared" si="15"/>
        <v>4917667.3015833311</v>
      </c>
      <c r="D39" s="178">
        <v>3.2500000000000001E-2</v>
      </c>
      <c r="E39" s="177">
        <f t="shared" si="14"/>
        <v>13318.682275121522</v>
      </c>
      <c r="F39" s="176">
        <f t="shared" si="4"/>
        <v>91810.540969879774</v>
      </c>
      <c r="G39" s="176"/>
      <c r="I39" s="177">
        <f t="shared" si="0"/>
        <v>8782.339092215132</v>
      </c>
      <c r="J39" s="176">
        <f t="shared" si="2"/>
        <v>60539.870715538716</v>
      </c>
      <c r="L39" s="177">
        <f t="shared" si="1"/>
        <v>4536.3431829063902</v>
      </c>
      <c r="M39" s="176">
        <f t="shared" si="3"/>
        <v>31270.670254341065</v>
      </c>
      <c r="O39" s="177">
        <v>0</v>
      </c>
      <c r="T39" s="177">
        <v>222779.24616666668</v>
      </c>
      <c r="U39" s="176">
        <f t="shared" si="12"/>
        <v>2940292.4632500005</v>
      </c>
      <c r="V39" s="191">
        <f t="shared" si="11"/>
        <v>7963.2920879687517</v>
      </c>
      <c r="W39" s="177">
        <f t="shared" si="13"/>
        <v>57139.47806114862</v>
      </c>
      <c r="Y39" s="190">
        <f t="shared" si="6"/>
        <v>8782.339092215132</v>
      </c>
      <c r="Z39" s="190">
        <f t="shared" si="7"/>
        <v>12499.635270875142</v>
      </c>
      <c r="AA39" s="190">
        <f t="shared" si="8"/>
        <v>21281.974363090274</v>
      </c>
      <c r="AB39" s="190">
        <f t="shared" si="9"/>
        <v>148950.01903102841</v>
      </c>
    </row>
    <row r="40" spans="1:30" s="41" customFormat="1" x14ac:dyDescent="0.25">
      <c r="A40" s="179">
        <v>44469</v>
      </c>
      <c r="B40" s="177">
        <v>429110.71449999994</v>
      </c>
      <c r="C40" s="176">
        <f t="shared" si="15"/>
        <v>5346778.0160833308</v>
      </c>
      <c r="D40" s="178">
        <v>3.2500000000000001E-2</v>
      </c>
      <c r="E40" s="177">
        <f t="shared" si="14"/>
        <v>14480.857126892355</v>
      </c>
      <c r="F40" s="176">
        <f t="shared" si="4"/>
        <v>106291.39809677213</v>
      </c>
      <c r="G40" s="176"/>
      <c r="I40" s="177">
        <f t="shared" si="0"/>
        <v>9548.677189472819</v>
      </c>
      <c r="J40" s="176">
        <f t="shared" si="2"/>
        <v>70088.547905011539</v>
      </c>
      <c r="L40" s="177">
        <f t="shared" si="1"/>
        <v>4932.1799374195361</v>
      </c>
      <c r="M40" s="176">
        <f t="shared" si="3"/>
        <v>36202.850191760605</v>
      </c>
      <c r="O40" s="177">
        <v>94932.94</v>
      </c>
      <c r="P40" s="176">
        <f>+O40</f>
        <v>94932.94</v>
      </c>
      <c r="Q40" s="191">
        <f t="shared" ref="Q40:Q55" si="16">+P40*D40/12</f>
        <v>257.11004583333334</v>
      </c>
      <c r="R40" s="176">
        <f t="shared" ref="R40:R55" si="17">+Q40+R39</f>
        <v>257.11004583333334</v>
      </c>
      <c r="T40" s="177">
        <v>222779.11616666667</v>
      </c>
      <c r="U40" s="176">
        <f t="shared" si="12"/>
        <v>3163071.5794166671</v>
      </c>
      <c r="V40" s="191">
        <f t="shared" si="11"/>
        <v>8566.6521942534728</v>
      </c>
      <c r="W40" s="177">
        <f t="shared" si="13"/>
        <v>65706.130255402095</v>
      </c>
      <c r="Y40" s="190">
        <f t="shared" si="6"/>
        <v>9805.7872353061521</v>
      </c>
      <c r="Z40" s="190">
        <f t="shared" si="7"/>
        <v>13498.832131673009</v>
      </c>
      <c r="AA40" s="190">
        <f t="shared" si="8"/>
        <v>23304.619366979161</v>
      </c>
      <c r="AB40" s="190">
        <f t="shared" si="9"/>
        <v>172254.63839800758</v>
      </c>
    </row>
    <row r="41" spans="1:30" s="41" customFormat="1" x14ac:dyDescent="0.25">
      <c r="A41" s="179">
        <v>44500</v>
      </c>
      <c r="B41" s="128">
        <v>429119.34450000001</v>
      </c>
      <c r="C41" s="176">
        <f t="shared" si="15"/>
        <v>5775897.3605833305</v>
      </c>
      <c r="D41" s="178">
        <v>3.2500000000000001E-2</v>
      </c>
      <c r="E41" s="177">
        <f t="shared" si="14"/>
        <v>15643.055351579855</v>
      </c>
      <c r="F41" s="176">
        <f t="shared" si="4"/>
        <v>121934.45344835198</v>
      </c>
      <c r="G41" s="176"/>
      <c r="H41" s="192"/>
      <c r="I41" s="177">
        <f t="shared" si="0"/>
        <v>10315.030698831755</v>
      </c>
      <c r="J41" s="176">
        <f t="shared" si="2"/>
        <v>80403.5786038433</v>
      </c>
      <c r="L41" s="177">
        <f t="shared" si="1"/>
        <v>5328.0246527480986</v>
      </c>
      <c r="M41" s="176">
        <f t="shared" si="3"/>
        <v>41530.874844508704</v>
      </c>
      <c r="O41" s="177">
        <v>200288</v>
      </c>
      <c r="P41" s="176">
        <f t="shared" ref="P41:P55" si="18">+O41+P40</f>
        <v>295220.94</v>
      </c>
      <c r="Q41" s="191">
        <f t="shared" si="16"/>
        <v>799.55671250000012</v>
      </c>
      <c r="R41" s="176">
        <f t="shared" si="17"/>
        <v>1056.6667583333335</v>
      </c>
      <c r="T41" s="177">
        <v>222720.29616666667</v>
      </c>
      <c r="U41" s="176">
        <f t="shared" si="12"/>
        <v>3385791.8755833339</v>
      </c>
      <c r="V41" s="191">
        <f t="shared" si="11"/>
        <v>9169.85299637153</v>
      </c>
      <c r="W41" s="177">
        <f t="shared" si="13"/>
        <v>74875.983251773621</v>
      </c>
      <c r="Y41" s="190">
        <f t="shared" si="6"/>
        <v>11114.587411331755</v>
      </c>
      <c r="Z41" s="190">
        <f t="shared" si="7"/>
        <v>14497.877649119629</v>
      </c>
      <c r="AA41" s="190">
        <f t="shared" si="8"/>
        <v>25612.465060451384</v>
      </c>
      <c r="AB41" s="190">
        <f t="shared" si="9"/>
        <v>197867.10345845897</v>
      </c>
    </row>
    <row r="42" spans="1:30" s="41" customFormat="1" x14ac:dyDescent="0.25">
      <c r="A42" s="201">
        <v>44530</v>
      </c>
      <c r="B42" s="200">
        <v>429119.34450000001</v>
      </c>
      <c r="C42" s="197">
        <f t="shared" si="15"/>
        <v>6205016.7050833302</v>
      </c>
      <c r="D42" s="199">
        <v>3.2500000000000001E-2</v>
      </c>
      <c r="E42" s="195">
        <f t="shared" si="14"/>
        <v>16805.253576267354</v>
      </c>
      <c r="F42" s="197">
        <f t="shared" si="4"/>
        <v>138739.70702461933</v>
      </c>
      <c r="G42" s="197"/>
      <c r="H42" s="198" t="s">
        <v>143</v>
      </c>
      <c r="I42" s="195">
        <f t="shared" si="0"/>
        <v>11081.384208190693</v>
      </c>
      <c r="J42" s="197">
        <f t="shared" si="2"/>
        <v>91484.962812033991</v>
      </c>
      <c r="K42" s="194"/>
      <c r="L42" s="195">
        <f t="shared" si="1"/>
        <v>5723.869368076661</v>
      </c>
      <c r="M42" s="197">
        <f t="shared" si="3"/>
        <v>47254.744212585363</v>
      </c>
      <c r="N42" s="194"/>
      <c r="O42" s="195">
        <v>211621</v>
      </c>
      <c r="P42" s="197">
        <f t="shared" si="18"/>
        <v>506841.94</v>
      </c>
      <c r="Q42" s="196">
        <f t="shared" si="16"/>
        <v>1372.6969208333333</v>
      </c>
      <c r="R42" s="197">
        <f t="shared" si="17"/>
        <v>2429.3636791666668</v>
      </c>
      <c r="S42" s="194"/>
      <c r="T42" s="195">
        <v>222720.29616666667</v>
      </c>
      <c r="U42" s="197">
        <f t="shared" si="12"/>
        <v>3608512.1717500007</v>
      </c>
      <c r="V42" s="196">
        <f t="shared" si="11"/>
        <v>9773.0537984895855</v>
      </c>
      <c r="W42" s="195">
        <f t="shared" si="13"/>
        <v>84649.037050263199</v>
      </c>
      <c r="X42" s="194"/>
      <c r="Y42" s="193">
        <f t="shared" si="6"/>
        <v>12454.081129024027</v>
      </c>
      <c r="Z42" s="193">
        <f t="shared" si="7"/>
        <v>15496.923166566246</v>
      </c>
      <c r="AA42" s="193">
        <f t="shared" si="8"/>
        <v>27951.004295590275</v>
      </c>
      <c r="AB42" s="193">
        <f t="shared" si="9"/>
        <v>225818.10775404924</v>
      </c>
      <c r="AC42" s="176">
        <f>+AC76</f>
        <v>225819</v>
      </c>
      <c r="AD42" s="41" t="s">
        <v>142</v>
      </c>
    </row>
    <row r="43" spans="1:30" s="41" customFormat="1" x14ac:dyDescent="0.25">
      <c r="A43" s="179">
        <v>44561</v>
      </c>
      <c r="B43" s="187">
        <v>429119.34450000001</v>
      </c>
      <c r="C43" s="176">
        <f t="shared" si="15"/>
        <v>6634136.0495833298</v>
      </c>
      <c r="D43" s="178">
        <v>3.2500000000000001E-2</v>
      </c>
      <c r="E43" s="177">
        <f t="shared" si="14"/>
        <v>17967.451800954852</v>
      </c>
      <c r="F43" s="176">
        <f t="shared" si="4"/>
        <v>156707.15882557418</v>
      </c>
      <c r="G43" s="176"/>
      <c r="H43" s="192" t="s">
        <v>141</v>
      </c>
      <c r="I43" s="177">
        <f t="shared" si="0"/>
        <v>11847.737717549629</v>
      </c>
      <c r="J43" s="176">
        <f t="shared" si="2"/>
        <v>103332.70052958361</v>
      </c>
      <c r="L43" s="177">
        <f t="shared" si="1"/>
        <v>6119.7140834052225</v>
      </c>
      <c r="M43" s="176">
        <f t="shared" si="3"/>
        <v>53374.458295990582</v>
      </c>
      <c r="O43" s="177">
        <v>181331.66999999998</v>
      </c>
      <c r="P43" s="176">
        <f t="shared" si="18"/>
        <v>688173.61</v>
      </c>
      <c r="Q43" s="191">
        <f t="shared" si="16"/>
        <v>1863.8035270833334</v>
      </c>
      <c r="R43" s="176">
        <f t="shared" si="17"/>
        <v>4293.1672062500002</v>
      </c>
      <c r="T43" s="177">
        <v>222720.29616666667</v>
      </c>
      <c r="U43" s="176">
        <f t="shared" si="12"/>
        <v>3831232.4679166675</v>
      </c>
      <c r="V43" s="191">
        <f t="shared" si="11"/>
        <v>10376.254600607641</v>
      </c>
      <c r="W43" s="177">
        <f t="shared" si="13"/>
        <v>95025.291650870844</v>
      </c>
      <c r="Y43" s="190">
        <f t="shared" si="6"/>
        <v>13711.541244632963</v>
      </c>
      <c r="Z43" s="190">
        <f t="shared" si="7"/>
        <v>16495.968684012863</v>
      </c>
      <c r="AA43" s="190">
        <f t="shared" si="8"/>
        <v>30207.509928645828</v>
      </c>
      <c r="AB43" s="190">
        <f t="shared" si="9"/>
        <v>256025.61768269507</v>
      </c>
    </row>
    <row r="44" spans="1:30" s="41" customFormat="1" x14ac:dyDescent="0.25">
      <c r="A44" s="179">
        <v>44592</v>
      </c>
      <c r="B44" s="187">
        <v>429119.34450000001</v>
      </c>
      <c r="C44" s="176">
        <f t="shared" si="15"/>
        <v>7063255.3940833295</v>
      </c>
      <c r="D44" s="178">
        <v>3.2500000000000001E-2</v>
      </c>
      <c r="E44" s="177">
        <f t="shared" si="14"/>
        <v>19129.65002564235</v>
      </c>
      <c r="F44" s="176">
        <f t="shared" si="4"/>
        <v>175836.80885121654</v>
      </c>
      <c r="G44" s="176"/>
      <c r="H44" s="192" t="s">
        <v>141</v>
      </c>
      <c r="I44" s="177">
        <f t="shared" si="0"/>
        <v>12614.091226908566</v>
      </c>
      <c r="J44" s="176">
        <f t="shared" si="2"/>
        <v>115946.79175649218</v>
      </c>
      <c r="L44" s="177">
        <f t="shared" si="1"/>
        <v>6515.5587987337849</v>
      </c>
      <c r="M44" s="176">
        <f t="shared" si="3"/>
        <v>59890.017094724368</v>
      </c>
      <c r="O44" s="177">
        <v>224327.96</v>
      </c>
      <c r="P44" s="176">
        <f t="shared" si="18"/>
        <v>912501.57</v>
      </c>
      <c r="Q44" s="191">
        <f t="shared" si="16"/>
        <v>2471.3584187500001</v>
      </c>
      <c r="R44" s="176">
        <f t="shared" si="17"/>
        <v>6764.5256250000002</v>
      </c>
      <c r="T44" s="177">
        <v>222720.29616666667</v>
      </c>
      <c r="U44" s="176">
        <f t="shared" si="12"/>
        <v>4053952.7640833342</v>
      </c>
      <c r="V44" s="191">
        <f t="shared" si="11"/>
        <v>10979.455402725696</v>
      </c>
      <c r="W44" s="177">
        <f t="shared" si="13"/>
        <v>106004.74705359654</v>
      </c>
      <c r="Y44" s="190">
        <f t="shared" si="6"/>
        <v>15085.449645658566</v>
      </c>
      <c r="Z44" s="190">
        <f t="shared" si="7"/>
        <v>17495.014201459482</v>
      </c>
      <c r="AA44" s="190">
        <f t="shared" si="8"/>
        <v>32580.463847118048</v>
      </c>
      <c r="AB44" s="190">
        <f t="shared" si="9"/>
        <v>288606.08152981312</v>
      </c>
    </row>
    <row r="45" spans="1:30" x14ac:dyDescent="0.25">
      <c r="A45" s="179">
        <v>44620</v>
      </c>
      <c r="B45" s="187">
        <v>429119.34450000001</v>
      </c>
      <c r="C45" s="176">
        <f t="shared" si="15"/>
        <v>7492374.7385833291</v>
      </c>
      <c r="D45" s="178">
        <v>3.2500000000000001E-2</v>
      </c>
      <c r="E45" s="177">
        <f t="shared" si="14"/>
        <v>20291.848250329851</v>
      </c>
      <c r="F45" s="176">
        <f t="shared" si="4"/>
        <v>196128.65710154639</v>
      </c>
      <c r="G45" s="176"/>
      <c r="H45" s="186" t="s">
        <v>141</v>
      </c>
      <c r="I45" s="175">
        <f t="shared" si="0"/>
        <v>13380.444736267504</v>
      </c>
      <c r="J45" s="176">
        <f t="shared" si="2"/>
        <v>129327.23649275968</v>
      </c>
      <c r="L45" s="175">
        <f t="shared" si="1"/>
        <v>6911.4035140623473</v>
      </c>
      <c r="M45" s="176">
        <f t="shared" si="3"/>
        <v>66801.420608786721</v>
      </c>
      <c r="O45" s="175">
        <v>224327.96</v>
      </c>
      <c r="P45" s="185">
        <f t="shared" si="18"/>
        <v>1136829.53</v>
      </c>
      <c r="Q45" s="184">
        <f t="shared" si="16"/>
        <v>3078.9133104166667</v>
      </c>
      <c r="R45" s="185">
        <f t="shared" si="17"/>
        <v>9843.4389354166669</v>
      </c>
      <c r="T45" s="175">
        <v>222720.29616666667</v>
      </c>
      <c r="U45" s="185">
        <f t="shared" si="12"/>
        <v>4276673.060250001</v>
      </c>
      <c r="V45" s="184">
        <f t="shared" si="11"/>
        <v>11582.656204843754</v>
      </c>
      <c r="W45" s="175">
        <f t="shared" si="13"/>
        <v>117587.40325844029</v>
      </c>
      <c r="Y45" s="189">
        <f t="shared" si="6"/>
        <v>16459.35804668417</v>
      </c>
      <c r="Z45" s="189">
        <f t="shared" si="7"/>
        <v>18494.059718906101</v>
      </c>
      <c r="AA45" s="189">
        <f t="shared" si="8"/>
        <v>34953.417765590275</v>
      </c>
      <c r="AB45" s="189">
        <f t="shared" si="9"/>
        <v>323559.49929540337</v>
      </c>
    </row>
    <row r="46" spans="1:30" x14ac:dyDescent="0.25">
      <c r="A46" s="179">
        <v>44651</v>
      </c>
      <c r="B46" s="187">
        <v>429119.34450000001</v>
      </c>
      <c r="C46" s="176">
        <f t="shared" si="15"/>
        <v>7921494.0830833288</v>
      </c>
      <c r="D46" s="178">
        <v>3.2500000000000001E-2</v>
      </c>
      <c r="E46" s="177">
        <f t="shared" si="14"/>
        <v>21454.046475017349</v>
      </c>
      <c r="F46" s="176">
        <f t="shared" si="4"/>
        <v>217582.70357656374</v>
      </c>
      <c r="G46" s="176"/>
      <c r="H46" s="186" t="s">
        <v>141</v>
      </c>
      <c r="I46" s="175">
        <f t="shared" si="0"/>
        <v>14146.79824562644</v>
      </c>
      <c r="J46" s="176">
        <f t="shared" si="2"/>
        <v>143474.03473838611</v>
      </c>
      <c r="L46" s="175">
        <f t="shared" si="1"/>
        <v>7307.2482293909088</v>
      </c>
      <c r="M46" s="176">
        <f t="shared" si="3"/>
        <v>74108.668838177633</v>
      </c>
      <c r="O46" s="175">
        <v>224327.96</v>
      </c>
      <c r="P46" s="185">
        <f t="shared" si="18"/>
        <v>1361157.49</v>
      </c>
      <c r="Q46" s="184">
        <f t="shared" si="16"/>
        <v>3686.4682020833334</v>
      </c>
      <c r="R46" s="185">
        <f t="shared" si="17"/>
        <v>13529.9071375</v>
      </c>
      <c r="T46" s="175">
        <v>222720.29616666667</v>
      </c>
      <c r="U46" s="185">
        <f t="shared" si="12"/>
        <v>4499393.3564166678</v>
      </c>
      <c r="V46" s="184">
        <f t="shared" si="11"/>
        <v>12185.857006961809</v>
      </c>
      <c r="W46" s="175">
        <f t="shared" si="13"/>
        <v>129773.2602654021</v>
      </c>
      <c r="Y46" s="189">
        <f t="shared" si="6"/>
        <v>17833.266447709771</v>
      </c>
      <c r="Z46" s="189">
        <f t="shared" si="7"/>
        <v>19493.10523635272</v>
      </c>
      <c r="AA46" s="189">
        <f t="shared" si="8"/>
        <v>37326.371684062491</v>
      </c>
      <c r="AB46" s="189">
        <f t="shared" si="9"/>
        <v>360885.87097946584</v>
      </c>
    </row>
    <row r="47" spans="1:30" x14ac:dyDescent="0.25">
      <c r="A47" s="179">
        <v>44681</v>
      </c>
      <c r="B47" s="187">
        <v>429119.34450000001</v>
      </c>
      <c r="C47" s="176">
        <f t="shared" si="15"/>
        <v>8350613.4275833284</v>
      </c>
      <c r="D47" s="178">
        <v>3.2500000000000001E-2</v>
      </c>
      <c r="E47" s="177">
        <f t="shared" si="14"/>
        <v>22616.24469970485</v>
      </c>
      <c r="F47" s="176">
        <f t="shared" si="4"/>
        <v>240198.94827626858</v>
      </c>
      <c r="G47" s="176"/>
      <c r="H47" s="186" t="s">
        <v>141</v>
      </c>
      <c r="I47" s="175">
        <f t="shared" si="0"/>
        <v>14913.151754985378</v>
      </c>
      <c r="J47" s="176">
        <f t="shared" si="2"/>
        <v>158387.1864933715</v>
      </c>
      <c r="L47" s="175">
        <f t="shared" si="1"/>
        <v>7703.0929447194721</v>
      </c>
      <c r="M47" s="176">
        <f t="shared" si="3"/>
        <v>81811.761782897112</v>
      </c>
      <c r="O47" s="175">
        <v>224327.96</v>
      </c>
      <c r="P47" s="185">
        <f t="shared" si="18"/>
        <v>1585485.45</v>
      </c>
      <c r="Q47" s="184">
        <f t="shared" si="16"/>
        <v>4294.02309375</v>
      </c>
      <c r="R47" s="185">
        <f t="shared" si="17"/>
        <v>17823.93023125</v>
      </c>
      <c r="T47" s="175">
        <v>222720.29616666667</v>
      </c>
      <c r="U47" s="185">
        <f t="shared" si="12"/>
        <v>4722113.6525833346</v>
      </c>
      <c r="V47" s="184">
        <f t="shared" si="11"/>
        <v>12789.057809079864</v>
      </c>
      <c r="W47" s="175">
        <f t="shared" si="13"/>
        <v>142562.31807448197</v>
      </c>
      <c r="Y47" s="189">
        <f t="shared" si="6"/>
        <v>19207.174848735376</v>
      </c>
      <c r="Z47" s="189">
        <f t="shared" si="7"/>
        <v>20492.150753799338</v>
      </c>
      <c r="AA47" s="189">
        <f t="shared" si="8"/>
        <v>39699.325602534715</v>
      </c>
      <c r="AB47" s="189">
        <f t="shared" si="9"/>
        <v>400585.19658200053</v>
      </c>
    </row>
    <row r="48" spans="1:30" x14ac:dyDescent="0.25">
      <c r="A48" s="179">
        <v>44712</v>
      </c>
      <c r="B48" s="187">
        <v>429119.34450000001</v>
      </c>
      <c r="C48" s="176">
        <f t="shared" si="15"/>
        <v>8779732.772083329</v>
      </c>
      <c r="D48" s="178">
        <v>3.2500000000000001E-2</v>
      </c>
      <c r="E48" s="177">
        <f t="shared" si="14"/>
        <v>23778.442924392351</v>
      </c>
      <c r="F48" s="176">
        <f t="shared" si="4"/>
        <v>263977.39120066096</v>
      </c>
      <c r="G48" s="176"/>
      <c r="H48" s="186" t="s">
        <v>141</v>
      </c>
      <c r="I48" s="175">
        <f t="shared" si="0"/>
        <v>15679.505264344316</v>
      </c>
      <c r="J48" s="176">
        <f t="shared" si="2"/>
        <v>174066.6917577158</v>
      </c>
      <c r="L48" s="175">
        <f t="shared" si="1"/>
        <v>8098.9376600480355</v>
      </c>
      <c r="M48" s="176">
        <f t="shared" si="3"/>
        <v>89910.699442945144</v>
      </c>
      <c r="O48" s="175">
        <v>224327.96</v>
      </c>
      <c r="P48" s="185">
        <f t="shared" si="18"/>
        <v>1809813.41</v>
      </c>
      <c r="Q48" s="184">
        <f t="shared" si="16"/>
        <v>4901.5779854166667</v>
      </c>
      <c r="R48" s="185">
        <f t="shared" si="17"/>
        <v>22725.508216666669</v>
      </c>
      <c r="T48" s="175">
        <v>222720.29616666667</v>
      </c>
      <c r="U48" s="185">
        <f t="shared" si="12"/>
        <v>4944833.9487500014</v>
      </c>
      <c r="V48" s="184">
        <f t="shared" si="11"/>
        <v>13392.25861119792</v>
      </c>
      <c r="W48" s="175">
        <f t="shared" si="13"/>
        <v>155954.5766856799</v>
      </c>
      <c r="Y48" s="189">
        <f t="shared" si="6"/>
        <v>20581.083249760981</v>
      </c>
      <c r="Z48" s="189">
        <f t="shared" si="7"/>
        <v>21491.196271245957</v>
      </c>
      <c r="AA48" s="189">
        <f t="shared" si="8"/>
        <v>42072.279521006938</v>
      </c>
      <c r="AB48" s="189">
        <f t="shared" si="9"/>
        <v>442657.47610300744</v>
      </c>
    </row>
    <row r="49" spans="1:28" x14ac:dyDescent="0.25">
      <c r="A49" s="179">
        <v>44742</v>
      </c>
      <c r="B49" s="187">
        <v>429119.34450000001</v>
      </c>
      <c r="C49" s="176">
        <f t="shared" si="15"/>
        <v>9208852.1165833287</v>
      </c>
      <c r="D49" s="178">
        <v>3.2500000000000001E-2</v>
      </c>
      <c r="E49" s="177">
        <f t="shared" si="14"/>
        <v>24940.641149079849</v>
      </c>
      <c r="F49" s="176">
        <f t="shared" si="4"/>
        <v>288918.0323497408</v>
      </c>
      <c r="G49" s="176"/>
      <c r="H49" s="186" t="s">
        <v>141</v>
      </c>
      <c r="I49" s="175">
        <f t="shared" si="0"/>
        <v>16445.858773703254</v>
      </c>
      <c r="J49" s="176">
        <f t="shared" si="2"/>
        <v>190512.55053141905</v>
      </c>
      <c r="L49" s="175">
        <f t="shared" si="1"/>
        <v>8494.782375376597</v>
      </c>
      <c r="M49" s="176">
        <f t="shared" si="3"/>
        <v>98405.481818321743</v>
      </c>
      <c r="O49" s="175">
        <v>224327.96</v>
      </c>
      <c r="P49" s="185">
        <f t="shared" si="18"/>
        <v>2034141.3699999999</v>
      </c>
      <c r="Q49" s="184">
        <f t="shared" si="16"/>
        <v>5509.1328770833325</v>
      </c>
      <c r="R49" s="185">
        <f t="shared" si="17"/>
        <v>28234.64109375</v>
      </c>
      <c r="T49" s="175">
        <v>222720.29616666667</v>
      </c>
      <c r="U49" s="185">
        <f t="shared" si="12"/>
        <v>5167554.2449166682</v>
      </c>
      <c r="V49" s="184">
        <f t="shared" si="11"/>
        <v>13995.459413315977</v>
      </c>
      <c r="W49" s="175">
        <f t="shared" si="13"/>
        <v>169950.03609899589</v>
      </c>
      <c r="Y49" s="189">
        <f t="shared" si="6"/>
        <v>21954.991650786586</v>
      </c>
      <c r="Z49" s="189">
        <f t="shared" si="7"/>
        <v>22490.241788692576</v>
      </c>
      <c r="AA49" s="189">
        <f t="shared" si="8"/>
        <v>44445.233439479161</v>
      </c>
      <c r="AB49" s="189">
        <f t="shared" si="9"/>
        <v>487102.70954248658</v>
      </c>
    </row>
    <row r="50" spans="1:28" x14ac:dyDescent="0.25">
      <c r="A50" s="179">
        <v>44773</v>
      </c>
      <c r="B50" s="187">
        <v>429119.34450000001</v>
      </c>
      <c r="C50" s="176">
        <f t="shared" si="15"/>
        <v>9637971.4610833284</v>
      </c>
      <c r="D50" s="178">
        <v>3.2500000000000001E-2</v>
      </c>
      <c r="E50" s="177">
        <f t="shared" si="14"/>
        <v>26102.839373767347</v>
      </c>
      <c r="F50" s="176">
        <f t="shared" si="4"/>
        <v>315020.87172350811</v>
      </c>
      <c r="G50" s="176"/>
      <c r="H50" s="186" t="s">
        <v>141</v>
      </c>
      <c r="I50" s="175">
        <f t="shared" si="0"/>
        <v>17212.212283062188</v>
      </c>
      <c r="J50" s="176">
        <f t="shared" si="2"/>
        <v>207724.76281448125</v>
      </c>
      <c r="L50" s="175">
        <f t="shared" si="1"/>
        <v>8890.6270907051585</v>
      </c>
      <c r="M50" s="176">
        <f t="shared" si="3"/>
        <v>107296.10890902689</v>
      </c>
      <c r="O50" s="175">
        <v>224327.96</v>
      </c>
      <c r="P50" s="185">
        <f t="shared" si="18"/>
        <v>2258469.33</v>
      </c>
      <c r="Q50" s="184">
        <f t="shared" si="16"/>
        <v>6116.6877687500009</v>
      </c>
      <c r="R50" s="185">
        <f t="shared" si="17"/>
        <v>34351.328862499999</v>
      </c>
      <c r="T50" s="175">
        <v>222720.29616666667</v>
      </c>
      <c r="U50" s="185">
        <f t="shared" si="12"/>
        <v>5390274.5410833349</v>
      </c>
      <c r="V50" s="184">
        <f t="shared" si="11"/>
        <v>14598.660215434034</v>
      </c>
      <c r="W50" s="175">
        <f t="shared" si="13"/>
        <v>184548.69631442992</v>
      </c>
      <c r="Y50" s="189">
        <f t="shared" si="6"/>
        <v>23328.90005181219</v>
      </c>
      <c r="Z50" s="189">
        <f t="shared" si="7"/>
        <v>23489.287306139195</v>
      </c>
      <c r="AA50" s="189">
        <f t="shared" si="8"/>
        <v>46818.187357951385</v>
      </c>
      <c r="AB50" s="189">
        <f t="shared" si="9"/>
        <v>533920.89690043801</v>
      </c>
    </row>
    <row r="51" spans="1:28" x14ac:dyDescent="0.25">
      <c r="A51" s="179">
        <v>44804</v>
      </c>
      <c r="B51" s="187">
        <v>429119.34450000001</v>
      </c>
      <c r="C51" s="176">
        <f t="shared" si="15"/>
        <v>10067090.805583328</v>
      </c>
      <c r="D51" s="178">
        <v>3.2500000000000001E-2</v>
      </c>
      <c r="E51" s="177">
        <f t="shared" si="14"/>
        <v>27265.037598454848</v>
      </c>
      <c r="F51" s="176">
        <f t="shared" si="4"/>
        <v>342285.90932196297</v>
      </c>
      <c r="G51" s="176"/>
      <c r="H51" s="186" t="s">
        <v>141</v>
      </c>
      <c r="I51" s="175">
        <f t="shared" si="0"/>
        <v>17978.565792421126</v>
      </c>
      <c r="J51" s="176">
        <f t="shared" si="2"/>
        <v>225703.32860690239</v>
      </c>
      <c r="L51" s="175">
        <f t="shared" si="1"/>
        <v>9286.4718060337218</v>
      </c>
      <c r="M51" s="176">
        <f t="shared" si="3"/>
        <v>116582.58071506061</v>
      </c>
      <c r="O51" s="175">
        <v>224327.96</v>
      </c>
      <c r="P51" s="185">
        <f t="shared" si="18"/>
        <v>2482797.29</v>
      </c>
      <c r="Q51" s="184">
        <f t="shared" si="16"/>
        <v>6724.2426604166676</v>
      </c>
      <c r="R51" s="185">
        <f t="shared" si="17"/>
        <v>41075.571522916667</v>
      </c>
      <c r="T51" s="175">
        <v>222720.29616666667</v>
      </c>
      <c r="U51" s="185">
        <f t="shared" si="12"/>
        <v>5612994.8372500017</v>
      </c>
      <c r="V51" s="184">
        <f t="shared" si="11"/>
        <v>15201.861017552088</v>
      </c>
      <c r="W51" s="175">
        <f t="shared" si="13"/>
        <v>199750.55733198201</v>
      </c>
      <c r="Y51" s="189">
        <f t="shared" si="6"/>
        <v>24702.808452837795</v>
      </c>
      <c r="Z51" s="189">
        <f t="shared" si="7"/>
        <v>24488.33282358581</v>
      </c>
      <c r="AA51" s="189">
        <f t="shared" si="8"/>
        <v>49191.141276423601</v>
      </c>
      <c r="AB51" s="189">
        <f t="shared" si="9"/>
        <v>583112.03817686159</v>
      </c>
    </row>
    <row r="52" spans="1:28" x14ac:dyDescent="0.25">
      <c r="A52" s="179">
        <v>44834</v>
      </c>
      <c r="B52" s="187">
        <v>429119.34450000001</v>
      </c>
      <c r="C52" s="176">
        <f t="shared" si="15"/>
        <v>10496210.150083328</v>
      </c>
      <c r="D52" s="178">
        <v>3.2500000000000001E-2</v>
      </c>
      <c r="E52" s="177">
        <f t="shared" si="14"/>
        <v>28427.235823142346</v>
      </c>
      <c r="F52" s="176">
        <f t="shared" si="4"/>
        <v>370713.14514510531</v>
      </c>
      <c r="G52" s="176"/>
      <c r="H52" s="186" t="s">
        <v>141</v>
      </c>
      <c r="I52" s="175">
        <f t="shared" si="0"/>
        <v>18744.919301780061</v>
      </c>
      <c r="J52" s="176">
        <f t="shared" si="2"/>
        <v>244448.24790868245</v>
      </c>
      <c r="L52" s="175">
        <f t="shared" si="1"/>
        <v>9682.3165213622833</v>
      </c>
      <c r="M52" s="176">
        <f t="shared" si="3"/>
        <v>126264.8972364229</v>
      </c>
      <c r="O52" s="175">
        <v>224327.96</v>
      </c>
      <c r="P52" s="185">
        <f t="shared" si="18"/>
        <v>2707125.25</v>
      </c>
      <c r="Q52" s="184">
        <f t="shared" si="16"/>
        <v>7331.7975520833343</v>
      </c>
      <c r="R52" s="185">
        <f t="shared" si="17"/>
        <v>48407.369075000002</v>
      </c>
      <c r="T52" s="175">
        <v>222720.29616666667</v>
      </c>
      <c r="U52" s="185">
        <f t="shared" si="12"/>
        <v>5835715.1334166685</v>
      </c>
      <c r="V52" s="184">
        <f t="shared" si="11"/>
        <v>15805.061819670145</v>
      </c>
      <c r="W52" s="175">
        <f t="shared" si="13"/>
        <v>215555.61915165215</v>
      </c>
      <c r="Y52" s="189">
        <f t="shared" si="6"/>
        <v>26076.716853863396</v>
      </c>
      <c r="Z52" s="189">
        <f t="shared" si="7"/>
        <v>25487.378341032429</v>
      </c>
      <c r="AA52" s="189">
        <f t="shared" si="8"/>
        <v>51564.095194895825</v>
      </c>
      <c r="AB52" s="189">
        <f t="shared" si="9"/>
        <v>634676.13337175746</v>
      </c>
    </row>
    <row r="53" spans="1:28" x14ac:dyDescent="0.25">
      <c r="A53" s="179">
        <v>44865</v>
      </c>
      <c r="B53" s="187">
        <v>429119.34450000001</v>
      </c>
      <c r="C53" s="176">
        <f t="shared" si="15"/>
        <v>10925329.494583327</v>
      </c>
      <c r="D53" s="178">
        <v>3.2500000000000001E-2</v>
      </c>
      <c r="E53" s="177">
        <f t="shared" si="14"/>
        <v>29589.434047829847</v>
      </c>
      <c r="F53" s="176">
        <f t="shared" si="4"/>
        <v>400302.57919293514</v>
      </c>
      <c r="G53" s="176"/>
      <c r="H53" s="186" t="s">
        <v>141</v>
      </c>
      <c r="I53" s="175">
        <f t="shared" si="0"/>
        <v>19511.272811139002</v>
      </c>
      <c r="J53" s="176">
        <f t="shared" si="2"/>
        <v>263959.52071982145</v>
      </c>
      <c r="L53" s="175">
        <f t="shared" si="1"/>
        <v>10078.161236690847</v>
      </c>
      <c r="M53" s="176">
        <f t="shared" si="3"/>
        <v>136343.05847311375</v>
      </c>
      <c r="O53" s="175">
        <v>224327.96</v>
      </c>
      <c r="P53" s="185">
        <f t="shared" si="18"/>
        <v>2931453.21</v>
      </c>
      <c r="Q53" s="184">
        <f t="shared" si="16"/>
        <v>7939.3524437500009</v>
      </c>
      <c r="R53" s="185">
        <f t="shared" si="17"/>
        <v>56346.721518750004</v>
      </c>
      <c r="T53" s="175">
        <v>222720.29616666667</v>
      </c>
      <c r="U53" s="185">
        <f t="shared" si="12"/>
        <v>6058435.4295833353</v>
      </c>
      <c r="V53" s="184">
        <f t="shared" si="11"/>
        <v>16408.262621788203</v>
      </c>
      <c r="W53" s="175">
        <f t="shared" si="13"/>
        <v>231963.88177344034</v>
      </c>
      <c r="Y53" s="189">
        <f t="shared" si="6"/>
        <v>27450.625254889004</v>
      </c>
      <c r="Z53" s="189">
        <f t="shared" si="7"/>
        <v>26486.423858479051</v>
      </c>
      <c r="AA53" s="189">
        <f t="shared" si="8"/>
        <v>53937.049113368055</v>
      </c>
      <c r="AB53" s="189">
        <f t="shared" si="9"/>
        <v>688613.18248512549</v>
      </c>
    </row>
    <row r="54" spans="1:28" x14ac:dyDescent="0.25">
      <c r="A54" s="179">
        <v>44895</v>
      </c>
      <c r="B54" s="187">
        <v>429119.34450000001</v>
      </c>
      <c r="C54" s="176">
        <f t="shared" si="15"/>
        <v>11354448.839083327</v>
      </c>
      <c r="D54" s="178">
        <v>3.2500000000000001E-2</v>
      </c>
      <c r="E54" s="177">
        <f t="shared" si="14"/>
        <v>30751.632272517345</v>
      </c>
      <c r="F54" s="176">
        <f t="shared" si="4"/>
        <v>431054.21146545251</v>
      </c>
      <c r="G54" s="176"/>
      <c r="H54" s="186" t="s">
        <v>141</v>
      </c>
      <c r="I54" s="175">
        <f t="shared" si="0"/>
        <v>20277.626320497937</v>
      </c>
      <c r="J54" s="176">
        <f t="shared" si="2"/>
        <v>284237.1470403194</v>
      </c>
      <c r="L54" s="175">
        <f t="shared" si="1"/>
        <v>10474.005952019408</v>
      </c>
      <c r="M54" s="176">
        <f t="shared" si="3"/>
        <v>146817.06442513317</v>
      </c>
      <c r="O54" s="175">
        <v>224327.96</v>
      </c>
      <c r="P54" s="185">
        <f t="shared" si="18"/>
        <v>3155781.17</v>
      </c>
      <c r="Q54" s="184">
        <f t="shared" si="16"/>
        <v>8546.9073354166667</v>
      </c>
      <c r="R54" s="185">
        <f t="shared" si="17"/>
        <v>64893.628854166673</v>
      </c>
      <c r="T54" s="175">
        <v>222720.29616666667</v>
      </c>
      <c r="U54" s="185">
        <f t="shared" si="12"/>
        <v>6281155.7257500021</v>
      </c>
      <c r="V54" s="184">
        <f t="shared" si="11"/>
        <v>17011.463423906254</v>
      </c>
      <c r="W54" s="175">
        <f t="shared" si="13"/>
        <v>248975.34519734659</v>
      </c>
      <c r="Y54" s="189">
        <f t="shared" si="6"/>
        <v>28824.533655914602</v>
      </c>
      <c r="Z54" s="189">
        <f t="shared" si="7"/>
        <v>27485.469375925662</v>
      </c>
      <c r="AA54" s="189">
        <f t="shared" si="8"/>
        <v>56310.003031840264</v>
      </c>
      <c r="AB54" s="189">
        <f t="shared" si="9"/>
        <v>744923.18551696581</v>
      </c>
    </row>
    <row r="55" spans="1:28" ht="15.75" thickBot="1" x14ac:dyDescent="0.3">
      <c r="A55" s="179">
        <v>44926</v>
      </c>
      <c r="B55" s="187">
        <v>429119.34450000001</v>
      </c>
      <c r="C55" s="176">
        <f t="shared" si="15"/>
        <v>11783568.183583327</v>
      </c>
      <c r="D55" s="178">
        <v>3.2500000000000001E-2</v>
      </c>
      <c r="E55" s="177">
        <f t="shared" si="14"/>
        <v>31913.830497204843</v>
      </c>
      <c r="F55" s="176">
        <f t="shared" si="4"/>
        <v>462968.04196265736</v>
      </c>
      <c r="G55" s="176"/>
      <c r="H55" s="186" t="s">
        <v>141</v>
      </c>
      <c r="I55" s="175">
        <f t="shared" si="0"/>
        <v>21043.979829856871</v>
      </c>
      <c r="J55" s="176">
        <f t="shared" si="2"/>
        <v>305281.12687017629</v>
      </c>
      <c r="L55" s="175">
        <f t="shared" si="1"/>
        <v>10869.85066734797</v>
      </c>
      <c r="M55" s="176">
        <f t="shared" si="3"/>
        <v>157686.91509248113</v>
      </c>
      <c r="O55" s="175">
        <v>224327.96</v>
      </c>
      <c r="P55" s="185">
        <f t="shared" si="18"/>
        <v>3380109.13</v>
      </c>
      <c r="Q55" s="184">
        <f t="shared" si="16"/>
        <v>9154.4622270833333</v>
      </c>
      <c r="R55" s="185">
        <f t="shared" si="17"/>
        <v>74048.091081250008</v>
      </c>
      <c r="T55" s="175">
        <v>222720.29616666667</v>
      </c>
      <c r="U55" s="185">
        <f t="shared" si="12"/>
        <v>6503876.0219166689</v>
      </c>
      <c r="V55" s="184">
        <f t="shared" si="11"/>
        <v>17614.664226024313</v>
      </c>
      <c r="W55" s="175">
        <f t="shared" si="13"/>
        <v>266590.00942337088</v>
      </c>
      <c r="Y55" s="188">
        <f t="shared" si="6"/>
        <v>30198.442056940206</v>
      </c>
      <c r="Z55" s="188">
        <f t="shared" si="7"/>
        <v>28484.514893372281</v>
      </c>
      <c r="AA55" s="188">
        <f t="shared" si="8"/>
        <v>58682.956950312488</v>
      </c>
      <c r="AB55" s="188">
        <f t="shared" si="9"/>
        <v>803606.14246727829</v>
      </c>
    </row>
    <row r="56" spans="1:28" ht="15.75" thickBot="1" x14ac:dyDescent="0.3">
      <c r="A56" s="179"/>
      <c r="B56" s="187"/>
      <c r="C56" s="176"/>
      <c r="D56" s="178"/>
      <c r="E56" s="177"/>
      <c r="F56" s="176"/>
      <c r="G56" s="176"/>
      <c r="H56" s="186"/>
      <c r="I56" s="175"/>
      <c r="J56" s="176"/>
      <c r="L56" s="175"/>
      <c r="M56" s="176"/>
      <c r="O56" s="175"/>
      <c r="P56" s="185"/>
      <c r="Q56" s="184"/>
      <c r="R56" s="185"/>
      <c r="T56" s="175"/>
      <c r="U56" s="185"/>
      <c r="V56" s="184"/>
      <c r="W56" s="175"/>
      <c r="X56" s="183"/>
      <c r="Y56" s="182"/>
      <c r="Z56" s="182"/>
      <c r="AA56" s="182"/>
      <c r="AB56" s="182"/>
    </row>
    <row r="57" spans="1:28" ht="15.75" thickBot="1" x14ac:dyDescent="0.3">
      <c r="A57" s="179" t="s">
        <v>140</v>
      </c>
      <c r="B57" s="177"/>
      <c r="C57" s="176"/>
      <c r="D57" s="178"/>
      <c r="E57" s="177"/>
      <c r="F57" s="176"/>
      <c r="G57" s="176"/>
      <c r="X57" s="181" t="s">
        <v>139</v>
      </c>
      <c r="Y57" s="180">
        <f>SUM(Y16:Y55)</f>
        <v>379329.21795142628</v>
      </c>
      <c r="Z57" s="180">
        <f>SUM(Z16:Z55)</f>
        <v>424276.92451585201</v>
      </c>
    </row>
    <row r="58" spans="1:28" x14ac:dyDescent="0.25">
      <c r="A58" s="179"/>
      <c r="B58" s="177"/>
      <c r="C58" s="176"/>
      <c r="D58" s="178"/>
      <c r="E58" s="177"/>
      <c r="F58" s="176"/>
      <c r="G58" s="176"/>
    </row>
    <row r="59" spans="1:28" x14ac:dyDescent="0.25">
      <c r="A59" s="179"/>
      <c r="B59" s="177"/>
      <c r="C59" s="176"/>
      <c r="D59" s="178"/>
      <c r="E59" s="177"/>
      <c r="F59" s="176"/>
      <c r="G59" s="176"/>
    </row>
    <row r="60" spans="1:28" x14ac:dyDescent="0.25">
      <c r="A60" s="179"/>
      <c r="B60" s="177"/>
      <c r="C60" s="176"/>
      <c r="D60" s="178"/>
      <c r="E60" s="177"/>
      <c r="F60" s="176"/>
      <c r="G60" s="176"/>
    </row>
    <row r="76" spans="7:29" x14ac:dyDescent="0.25">
      <c r="G76" s="175"/>
      <c r="AC76" s="175">
        <v>225819</v>
      </c>
    </row>
  </sheetData>
  <mergeCells count="1">
    <mergeCell ref="A6:F6"/>
  </mergeCells>
  <pageMargins left="0.25" right="0.25" top="0.75" bottom="0.75" header="0.3" footer="0.3"/>
  <pageSetup scale="85" orientation="landscape" r:id="rId1"/>
  <headerFooter>
    <oddFooter>&amp;R&amp;A
&amp;Z&amp;F</oddFooter>
  </headerFooter>
  <customProperties>
    <customPr name="_pios_id" r:id="rId2"/>
    <customPr name="EpmWorksheetKeyString_GUID" r:id="rId3"/>
  </customProperties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83D5E3-A420-4C53-8D55-291E33D227BC}"/>
</file>

<file path=customXml/itemProps2.xml><?xml version="1.0" encoding="utf-8"?>
<ds:datastoreItem xmlns:ds="http://schemas.openxmlformats.org/officeDocument/2006/customXml" ds:itemID="{38B6E0BE-7987-45CD-AE6C-55D5BBFCB967}"/>
</file>

<file path=customXml/itemProps3.xml><?xml version="1.0" encoding="utf-8"?>
<ds:datastoreItem xmlns:ds="http://schemas.openxmlformats.org/officeDocument/2006/customXml" ds:itemID="{4C5ED360-E1C0-40DC-88FA-F8A817537412}"/>
</file>

<file path=customXml/itemProps4.xml><?xml version="1.0" encoding="utf-8"?>
<ds:datastoreItem xmlns:ds="http://schemas.openxmlformats.org/officeDocument/2006/customXml" ds:itemID="{EDC26D06-D3CB-4C23-B6E9-B70C6A8F04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SEF-48 pg.1</vt:lpstr>
      <vt:lpstr>SEF-48 pg.2</vt:lpstr>
      <vt:lpstr>SEF-48 pg.3</vt:lpstr>
      <vt:lpstr>SEF-48 pg.4</vt:lpstr>
      <vt:lpstr>SEF-48 pg.5</vt:lpstr>
      <vt:lpstr>SEF-48 pg.6</vt:lpstr>
      <vt:lpstr>SEF-48 pg.7</vt:lpstr>
      <vt:lpstr>SEF-48 pg.8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Free, Susan</cp:lastModifiedBy>
  <dcterms:created xsi:type="dcterms:W3CDTF">2024-09-08T19:52:57Z</dcterms:created>
  <dcterms:modified xsi:type="dcterms:W3CDTF">2024-09-09T15:33:08Z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