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barnd\AppData\Local\Box\Box Edit\Documents\U+tdqeswgkma1gLu2XCevA==\"/>
    </mc:Choice>
  </mc:AlternateContent>
  <xr:revisionPtr revIDLastSave="0" documentId="13_ncr:1_{C96DDD0B-049B-409F-BE55-46D4495C2B29}" xr6:coauthVersionLast="47" xr6:coauthVersionMax="47" xr10:uidLastSave="{00000000-0000-0000-0000-000000000000}"/>
  <bookViews>
    <workbookView xWindow="28680" yWindow="435" windowWidth="25440" windowHeight="15390" tabRatio="884" xr2:uid="{00000000-000D-0000-FFFF-FFFF00000000}"/>
  </bookViews>
  <sheets>
    <sheet name="Sheet1" sheetId="10" r:id="rId1"/>
    <sheet name="Exh JDT-5 (JDT-Rate Spread)" sheetId="1" r:id="rId2"/>
    <sheet name="Exh JDT-5 (Rate Des Sum)" sheetId="2" r:id="rId3"/>
    <sheet name="Exh JDT-5 (JDT-RES_RD)" sheetId="3" r:id="rId4"/>
    <sheet name="Exh JDT-5 (JDT-C&amp;I-RD)" sheetId="4" r:id="rId5"/>
    <sheet name="Exh JDT-5 (JDT-INTRPL-RD)" sheetId="5" r:id="rId6"/>
    <sheet name="Exh JDT-5 (JDT-MYRP)" sheetId="6" r:id="rId7"/>
    <sheet name="Exh JDT-5 (JDT-MYRP-SUM)" sheetId="7" r:id="rId8"/>
    <sheet name="Exh JDT-5 (JDT-Balancing)" sheetId="8" r:id="rId9"/>
    <sheet name="Exh JDT-5 (JDT-Procmnt Chrg)" sheetId="9" r:id="rId10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>10001</definedName>
    <definedName name="IQ_FWD_CY1">10002</definedName>
    <definedName name="IQ_FWD_CY2">10003</definedName>
    <definedName name="IQ_FWD_FY">1001</definedName>
    <definedName name="IQ_FWD_FY1">1002</definedName>
    <definedName name="IQ_FWD_FY2">1003</definedName>
    <definedName name="IQ_FWD_Q">501</definedName>
    <definedName name="IQ_FWD_Q1">502</definedName>
    <definedName name="IQ_FWD_Q2">503</definedName>
    <definedName name="IQ_FY">1000</definedName>
    <definedName name="IQ_LATESTK">1000</definedName>
    <definedName name="IQ_LATESTQ">500</definedName>
    <definedName name="IQ_LTM">2000</definedName>
    <definedName name="IQ_LTMMONTH">120000</definedName>
    <definedName name="IQ_MONTH">15000</definedName>
    <definedName name="IQ_NTM">6000</definedName>
    <definedName name="IQ_TODAY">0</definedName>
    <definedName name="IQ_WEEK">50000</definedName>
    <definedName name="IQ_YTD">3000</definedName>
    <definedName name="IQ_YTDMONTH">130000</definedName>
    <definedName name="_xlnm.Print_Area" localSheetId="8">'Exh JDT-5 (JDT-Balancing)'!$B$1:$M$21</definedName>
    <definedName name="_xlnm.Print_Area" localSheetId="6">'Exh JDT-5 (JDT-MYRP)'!$B$1:$U$256</definedName>
    <definedName name="_xlnm.Print_Area" localSheetId="7">'Exh JDT-5 (JDT-MYRP-SUM)'!$A$1:$S$23</definedName>
    <definedName name="_xlnm.Print_Area" localSheetId="9">'Exh JDT-5 (JDT-Procmnt Chrg)'!$B$2:$I$26</definedName>
    <definedName name="_xlnm.Print_Titles" localSheetId="4">'Exh JDT-5 (JDT-C&amp;I-RD)'!$1:$8</definedName>
    <definedName name="_xlnm.Print_Titles" localSheetId="5">'Exh JDT-5 (JDT-INTRPL-RD)'!$1:$8</definedName>
    <definedName name="_xlnm.Print_Titles" localSheetId="6">'Exh JDT-5 (JDT-MYRP)'!$B:$B,'Exh JDT-5 (JDT-MYRP)'!$1:$8</definedName>
    <definedName name="_xlnm.Print_Titles" localSheetId="7">'Exh JDT-5 (JDT-MYRP-SUM)'!$A:$B,'Exh JDT-5 (JDT-MYRP-SUM)'!$1:$8</definedName>
    <definedName name="_xlnm.Print_Titles" localSheetId="1">'Exh JDT-5 (JDT-Rate Spread)'!$1:$8</definedName>
    <definedName name="_xlnm.Print_Titles" localSheetId="2">'Exh JDT-5 (Rate Des Sum)'!$A:$C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6" i="9" l="1"/>
  <c r="G16" i="9"/>
  <c r="B5" i="8"/>
  <c r="S35" i="7"/>
  <c r="R35" i="7"/>
  <c r="H25" i="7"/>
  <c r="M25" i="7"/>
  <c r="Q22" i="7"/>
  <c r="S18" i="7"/>
  <c r="S36" i="7" s="1"/>
  <c r="R18" i="7"/>
  <c r="R36" i="7" s="1"/>
  <c r="Q18" i="7"/>
  <c r="S30" i="7" s="1"/>
  <c r="S31" i="7" s="1"/>
  <c r="P18" i="7"/>
  <c r="P30" i="7" s="1"/>
  <c r="A11" i="7"/>
  <c r="A12" i="7" s="1"/>
  <c r="A13" i="7" s="1"/>
  <c r="A14" i="7" s="1"/>
  <c r="A15" i="7" s="1"/>
  <c r="A16" i="7" s="1"/>
  <c r="A17" i="7" s="1"/>
  <c r="A18" i="7" s="1"/>
  <c r="A20" i="7" s="1"/>
  <c r="A21" i="7" s="1"/>
  <c r="A22" i="7" s="1"/>
  <c r="O252" i="6"/>
  <c r="B213" i="6"/>
  <c r="L200" i="6"/>
  <c r="F200" i="6"/>
  <c r="D198" i="6"/>
  <c r="G198" i="6" s="1"/>
  <c r="B193" i="6"/>
  <c r="K191" i="6"/>
  <c r="L182" i="6"/>
  <c r="F182" i="6"/>
  <c r="M179" i="6"/>
  <c r="D179" i="6"/>
  <c r="B170" i="6"/>
  <c r="K166" i="6"/>
  <c r="C160" i="6"/>
  <c r="B154" i="6"/>
  <c r="E152" i="6"/>
  <c r="E146" i="6" s="1"/>
  <c r="C151" i="6"/>
  <c r="F151" i="6" s="1"/>
  <c r="C150" i="6"/>
  <c r="L147" i="6"/>
  <c r="F147" i="6"/>
  <c r="C146" i="6"/>
  <c r="B135" i="6"/>
  <c r="K131" i="6"/>
  <c r="E131" i="6"/>
  <c r="C128" i="6"/>
  <c r="L125" i="6"/>
  <c r="F125" i="6"/>
  <c r="B118" i="6"/>
  <c r="E116" i="6"/>
  <c r="E109" i="6" s="1"/>
  <c r="G107" i="6"/>
  <c r="D107" i="6"/>
  <c r="B98" i="6"/>
  <c r="E93" i="6"/>
  <c r="K93" i="6"/>
  <c r="E86" i="6"/>
  <c r="B81" i="6"/>
  <c r="E77" i="6"/>
  <c r="D75" i="6"/>
  <c r="G75" i="6" s="1"/>
  <c r="D69" i="6"/>
  <c r="G69" i="6" s="1"/>
  <c r="B60" i="6"/>
  <c r="B50" i="6"/>
  <c r="D45" i="6"/>
  <c r="G45" i="6" s="1"/>
  <c r="B36" i="6"/>
  <c r="B28" i="6"/>
  <c r="E10" i="6"/>
  <c r="E219" i="6" s="1"/>
  <c r="B20" i="6"/>
  <c r="D16" i="6"/>
  <c r="D24" i="6" s="1"/>
  <c r="M24" i="6" s="1"/>
  <c r="K10" i="6"/>
  <c r="K219" i="6" s="1"/>
  <c r="D149" i="5"/>
  <c r="C208" i="6"/>
  <c r="F132" i="5"/>
  <c r="C207" i="6"/>
  <c r="F207" i="6" s="1"/>
  <c r="D151" i="5"/>
  <c r="F131" i="5"/>
  <c r="C206" i="6"/>
  <c r="F206" i="6" s="1"/>
  <c r="C205" i="6"/>
  <c r="F205" i="6" s="1"/>
  <c r="C204" i="6"/>
  <c r="F204" i="6" s="1"/>
  <c r="C203" i="6"/>
  <c r="F203" i="6" s="1"/>
  <c r="L125" i="5"/>
  <c r="I125" i="5"/>
  <c r="C199" i="6"/>
  <c r="F199" i="6" s="1"/>
  <c r="C198" i="6"/>
  <c r="F198" i="6" s="1"/>
  <c r="F123" i="5"/>
  <c r="C190" i="6"/>
  <c r="L190" i="6" s="1"/>
  <c r="F114" i="5"/>
  <c r="C189" i="6"/>
  <c r="L189" i="6" s="1"/>
  <c r="F113" i="5"/>
  <c r="F112" i="5"/>
  <c r="C186" i="6"/>
  <c r="L186" i="6" s="1"/>
  <c r="F111" i="5"/>
  <c r="C185" i="6"/>
  <c r="L185" i="6" s="1"/>
  <c r="F110" i="5"/>
  <c r="I107" i="5"/>
  <c r="K107" i="5" s="1"/>
  <c r="L107" i="5" s="1"/>
  <c r="C179" i="6"/>
  <c r="L179" i="6" s="1"/>
  <c r="F104" i="5"/>
  <c r="D89" i="5"/>
  <c r="D88" i="5"/>
  <c r="F80" i="5"/>
  <c r="C165" i="6"/>
  <c r="F165" i="6" s="1"/>
  <c r="D95" i="5"/>
  <c r="C164" i="6"/>
  <c r="I76" i="5"/>
  <c r="K76" i="5" s="1"/>
  <c r="L76" i="5" s="1"/>
  <c r="F75" i="5"/>
  <c r="H74" i="5"/>
  <c r="D159" i="6" s="1"/>
  <c r="F74" i="5"/>
  <c r="C159" i="6"/>
  <c r="L159" i="6" s="1"/>
  <c r="D67" i="5"/>
  <c r="F66" i="5"/>
  <c r="F95" i="5" s="1"/>
  <c r="F65" i="5"/>
  <c r="H61" i="5"/>
  <c r="D146" i="6" s="1"/>
  <c r="H21" i="9"/>
  <c r="H60" i="5"/>
  <c r="D145" i="6" s="1"/>
  <c r="G145" i="6" s="1"/>
  <c r="F60" i="5"/>
  <c r="F89" i="5" s="1"/>
  <c r="H59" i="5"/>
  <c r="D144" i="6" s="1"/>
  <c r="G144" i="6" s="1"/>
  <c r="F59" i="5"/>
  <c r="C144" i="6"/>
  <c r="F144" i="6" s="1"/>
  <c r="I59" i="5"/>
  <c r="C130" i="6"/>
  <c r="D51" i="5"/>
  <c r="C129" i="6"/>
  <c r="L129" i="6" s="1"/>
  <c r="F33" i="5"/>
  <c r="I30" i="5"/>
  <c r="K30" i="5" s="1"/>
  <c r="L30" i="5" s="1"/>
  <c r="F28" i="5"/>
  <c r="F20" i="5"/>
  <c r="C114" i="6"/>
  <c r="F19" i="5"/>
  <c r="F18" i="5"/>
  <c r="C113" i="6"/>
  <c r="D21" i="5"/>
  <c r="G19" i="9" s="1"/>
  <c r="I15" i="5"/>
  <c r="C108" i="6"/>
  <c r="F12" i="5"/>
  <c r="C107" i="6"/>
  <c r="D43" i="5"/>
  <c r="B5" i="5"/>
  <c r="D79" i="4"/>
  <c r="D66" i="4"/>
  <c r="C92" i="6"/>
  <c r="F92" i="6" s="1"/>
  <c r="H64" i="4"/>
  <c r="C91" i="6"/>
  <c r="F91" i="6" s="1"/>
  <c r="D80" i="4"/>
  <c r="C90" i="6"/>
  <c r="C87" i="6"/>
  <c r="F87" i="6" s="1"/>
  <c r="C86" i="6"/>
  <c r="H58" i="4"/>
  <c r="D85" i="6" s="1"/>
  <c r="C85" i="6"/>
  <c r="F85" i="6" s="1"/>
  <c r="D74" i="4"/>
  <c r="D75" i="4" s="1"/>
  <c r="I47" i="4"/>
  <c r="C75" i="6"/>
  <c r="F47" i="4"/>
  <c r="H46" i="4"/>
  <c r="D74" i="6" s="1"/>
  <c r="C74" i="6"/>
  <c r="C71" i="6"/>
  <c r="H42" i="4"/>
  <c r="D70" i="6" s="1"/>
  <c r="F42" i="4"/>
  <c r="C70" i="6"/>
  <c r="D42" i="4"/>
  <c r="I41" i="4"/>
  <c r="F41" i="4"/>
  <c r="C69" i="6"/>
  <c r="D32" i="4"/>
  <c r="D93" i="4" s="1"/>
  <c r="H22" i="4"/>
  <c r="C54" i="6"/>
  <c r="L54" i="6" s="1"/>
  <c r="F22" i="4"/>
  <c r="D14" i="4"/>
  <c r="D33" i="4" s="1"/>
  <c r="E19" i="9"/>
  <c r="C45" i="6"/>
  <c r="B5" i="4"/>
  <c r="C32" i="6"/>
  <c r="F32" i="6" s="1"/>
  <c r="F34" i="6" s="1"/>
  <c r="F28" i="3"/>
  <c r="F32" i="3" s="1"/>
  <c r="F21" i="3"/>
  <c r="C25" i="6"/>
  <c r="L25" i="6" s="1"/>
  <c r="H20" i="3"/>
  <c r="I20" i="3" s="1"/>
  <c r="F13" i="3"/>
  <c r="C17" i="6"/>
  <c r="L17" i="6" s="1"/>
  <c r="I12" i="3"/>
  <c r="B5" i="3"/>
  <c r="B5" i="7" s="1"/>
  <c r="D50" i="2"/>
  <c r="D49" i="2"/>
  <c r="D48" i="2"/>
  <c r="D47" i="2"/>
  <c r="D46" i="2"/>
  <c r="P45" i="2"/>
  <c r="O45" i="2"/>
  <c r="L45" i="2"/>
  <c r="H45" i="2"/>
  <c r="G45" i="2"/>
  <c r="I45" i="2" s="1"/>
  <c r="D45" i="2"/>
  <c r="D43" i="2"/>
  <c r="D42" i="2"/>
  <c r="D41" i="2"/>
  <c r="D40" i="2"/>
  <c r="D39" i="2"/>
  <c r="P38" i="2"/>
  <c r="M38" i="2"/>
  <c r="L38" i="2"/>
  <c r="H38" i="2"/>
  <c r="G38" i="2"/>
  <c r="I38" i="2" s="1"/>
  <c r="D38" i="2"/>
  <c r="D36" i="2"/>
  <c r="P35" i="2"/>
  <c r="O35" i="2"/>
  <c r="L35" i="2"/>
  <c r="G35" i="2"/>
  <c r="D35" i="2"/>
  <c r="D33" i="2"/>
  <c r="P32" i="2"/>
  <c r="N32" i="2"/>
  <c r="H23" i="9" s="1"/>
  <c r="H25" i="9" s="1"/>
  <c r="M32" i="2"/>
  <c r="L32" i="2"/>
  <c r="H32" i="2"/>
  <c r="G32" i="2"/>
  <c r="D32" i="2"/>
  <c r="D30" i="2"/>
  <c r="D29" i="2"/>
  <c r="P28" i="2"/>
  <c r="O28" i="2"/>
  <c r="L28" i="2"/>
  <c r="G28" i="2"/>
  <c r="D28" i="2"/>
  <c r="D26" i="2"/>
  <c r="D25" i="2"/>
  <c r="P24" i="2"/>
  <c r="M24" i="2"/>
  <c r="L24" i="2"/>
  <c r="H24" i="2"/>
  <c r="I24" i="2" s="1"/>
  <c r="G24" i="2"/>
  <c r="D24" i="2"/>
  <c r="E21" i="2"/>
  <c r="D21" i="2"/>
  <c r="P20" i="2"/>
  <c r="O20" i="2"/>
  <c r="J20" i="2"/>
  <c r="G20" i="2"/>
  <c r="D20" i="2"/>
  <c r="F17" i="2"/>
  <c r="E17" i="2"/>
  <c r="D17" i="2"/>
  <c r="M16" i="2"/>
  <c r="K16" i="2"/>
  <c r="L16" i="2" s="1"/>
  <c r="J16" i="2"/>
  <c r="H16" i="2"/>
  <c r="G16" i="2"/>
  <c r="E16" i="2"/>
  <c r="F16" i="2" s="1"/>
  <c r="D16" i="2"/>
  <c r="R14" i="2"/>
  <c r="L14" i="2"/>
  <c r="G14" i="2"/>
  <c r="R13" i="2"/>
  <c r="M13" i="2"/>
  <c r="L13" i="2"/>
  <c r="H13" i="2"/>
  <c r="D13" i="2"/>
  <c r="R11" i="2"/>
  <c r="L11" i="2"/>
  <c r="F11" i="2"/>
  <c r="R10" i="2"/>
  <c r="L10" i="2"/>
  <c r="D10" i="2"/>
  <c r="R9" i="2"/>
  <c r="L9" i="2"/>
  <c r="H9" i="2"/>
  <c r="D9" i="2"/>
  <c r="D85" i="1"/>
  <c r="D84" i="1"/>
  <c r="D83" i="1"/>
  <c r="D80" i="1"/>
  <c r="D79" i="1"/>
  <c r="A79" i="1"/>
  <c r="D75" i="1"/>
  <c r="A75" i="1"/>
  <c r="D71" i="1"/>
  <c r="A71" i="1"/>
  <c r="D67" i="1"/>
  <c r="D66" i="1"/>
  <c r="A66" i="1"/>
  <c r="D63" i="1"/>
  <c r="A63" i="1"/>
  <c r="D62" i="1"/>
  <c r="K57" i="1"/>
  <c r="G57" i="1"/>
  <c r="F57" i="1"/>
  <c r="L55" i="1"/>
  <c r="L46" i="1"/>
  <c r="L47" i="1" s="1"/>
  <c r="L30" i="1"/>
  <c r="D37" i="1"/>
  <c r="D36" i="1"/>
  <c r="A36" i="1"/>
  <c r="I32" i="1"/>
  <c r="I48" i="1" s="1"/>
  <c r="D29" i="1"/>
  <c r="D28" i="1"/>
  <c r="A28" i="1"/>
  <c r="D26" i="1"/>
  <c r="A26" i="1"/>
  <c r="L32" i="1"/>
  <c r="L48" i="1" s="1"/>
  <c r="K32" i="1"/>
  <c r="K48" i="1" s="1"/>
  <c r="J32" i="1"/>
  <c r="J48" i="1" s="1"/>
  <c r="H32" i="1"/>
  <c r="H48" i="1" s="1"/>
  <c r="G32" i="1"/>
  <c r="G48" i="1" s="1"/>
  <c r="F32" i="1"/>
  <c r="F48" i="1" s="1"/>
  <c r="L23" i="1"/>
  <c r="K23" i="1"/>
  <c r="I23" i="1"/>
  <c r="H23" i="1"/>
  <c r="G23" i="1"/>
  <c r="G25" i="1" s="1"/>
  <c r="C23" i="1"/>
  <c r="D19" i="1"/>
  <c r="D18" i="1"/>
  <c r="A18" i="1"/>
  <c r="C16" i="1"/>
  <c r="C17" i="1" s="1"/>
  <c r="C52" i="1" s="1"/>
  <c r="H15" i="1"/>
  <c r="H27" i="1" s="1"/>
  <c r="L57" i="1"/>
  <c r="J57" i="1"/>
  <c r="I57" i="1"/>
  <c r="H57" i="1"/>
  <c r="D14" i="1"/>
  <c r="F168" i="5"/>
  <c r="K16" i="1"/>
  <c r="K17" i="1" s="1"/>
  <c r="K52" i="1" s="1"/>
  <c r="J15" i="1"/>
  <c r="J27" i="1" s="1"/>
  <c r="G15" i="1"/>
  <c r="G27" i="1" s="1"/>
  <c r="F16" i="1"/>
  <c r="F17" i="1" s="1"/>
  <c r="F52" i="1" s="1"/>
  <c r="L56" i="1"/>
  <c r="I168" i="5" s="1"/>
  <c r="F15" i="1"/>
  <c r="F27" i="1" s="1"/>
  <c r="C15" i="1"/>
  <c r="D11" i="1"/>
  <c r="A11" i="1"/>
  <c r="D10" i="1"/>
  <c r="A10" i="1"/>
  <c r="D9" i="1"/>
  <c r="F14" i="4" l="1"/>
  <c r="F33" i="4" s="1"/>
  <c r="I42" i="4"/>
  <c r="H63" i="4"/>
  <c r="E63" i="6"/>
  <c r="F21" i="2"/>
  <c r="Q32" i="2"/>
  <c r="R32" i="2" s="1"/>
  <c r="K47" i="4"/>
  <c r="L47" i="4" s="1"/>
  <c r="H75" i="5"/>
  <c r="F151" i="5"/>
  <c r="E78" i="6"/>
  <c r="S37" i="7"/>
  <c r="H10" i="2"/>
  <c r="I16" i="2"/>
  <c r="I32" i="2"/>
  <c r="H35" i="2"/>
  <c r="I35" i="2" s="1"/>
  <c r="O32" i="2"/>
  <c r="L49" i="1"/>
  <c r="L51" i="1"/>
  <c r="D17" i="7"/>
  <c r="K168" i="5"/>
  <c r="L168" i="5" s="1"/>
  <c r="H24" i="1"/>
  <c r="H25" i="1"/>
  <c r="L25" i="1"/>
  <c r="C25" i="1"/>
  <c r="C24" i="1"/>
  <c r="I25" i="1"/>
  <c r="J16" i="1"/>
  <c r="J17" i="1" s="1"/>
  <c r="J52" i="1" s="1"/>
  <c r="J23" i="1"/>
  <c r="G85" i="6"/>
  <c r="M85" i="6"/>
  <c r="F54" i="6"/>
  <c r="F23" i="1"/>
  <c r="H20" i="2"/>
  <c r="I20" i="2" s="1"/>
  <c r="D22" i="2"/>
  <c r="C24" i="6"/>
  <c r="F20" i="3"/>
  <c r="F22" i="3" s="1"/>
  <c r="F24" i="3" s="1"/>
  <c r="G10" i="2"/>
  <c r="I10" i="2" s="1"/>
  <c r="I12" i="4"/>
  <c r="D31" i="4"/>
  <c r="F12" i="4"/>
  <c r="C46" i="6"/>
  <c r="L46" i="6" s="1"/>
  <c r="F13" i="4"/>
  <c r="C55" i="6"/>
  <c r="L55" i="6" s="1"/>
  <c r="D14" i="2"/>
  <c r="D95" i="4"/>
  <c r="E13" i="8"/>
  <c r="G13" i="8" s="1"/>
  <c r="D94" i="4"/>
  <c r="F43" i="5"/>
  <c r="H19" i="9"/>
  <c r="I61" i="5"/>
  <c r="D61" i="5"/>
  <c r="G24" i="1"/>
  <c r="C57" i="1"/>
  <c r="C76" i="6"/>
  <c r="F48" i="4"/>
  <c r="D18" i="2"/>
  <c r="L114" i="6"/>
  <c r="L16" i="1"/>
  <c r="L17" i="1" s="1"/>
  <c r="L52" i="1" s="1"/>
  <c r="D12" i="1"/>
  <c r="I15" i="1"/>
  <c r="I27" i="1" s="1"/>
  <c r="C27" i="1" s="1"/>
  <c r="A13" i="1"/>
  <c r="K15" i="1"/>
  <c r="K27" i="1" s="1"/>
  <c r="G16" i="1"/>
  <c r="G17" i="1" s="1"/>
  <c r="G52" i="1" s="1"/>
  <c r="D21" i="1"/>
  <c r="K25" i="1"/>
  <c r="D37" i="3"/>
  <c r="K42" i="4"/>
  <c r="L42" i="4" s="1"/>
  <c r="F43" i="4"/>
  <c r="D76" i="4"/>
  <c r="F60" i="4"/>
  <c r="D91" i="6"/>
  <c r="I64" i="4"/>
  <c r="F13" i="5"/>
  <c r="D44" i="5"/>
  <c r="F186" i="6"/>
  <c r="K15" i="5"/>
  <c r="L15" i="5" s="1"/>
  <c r="I46" i="5"/>
  <c r="L58" i="1"/>
  <c r="L60" i="1"/>
  <c r="D20" i="1"/>
  <c r="H16" i="1"/>
  <c r="H17" i="1" s="1"/>
  <c r="H52" i="1" s="1"/>
  <c r="D13" i="1"/>
  <c r="L15" i="1"/>
  <c r="L24" i="1" s="1"/>
  <c r="I16" i="1"/>
  <c r="I17" i="1" s="1"/>
  <c r="I52" i="1" s="1"/>
  <c r="C32" i="1"/>
  <c r="D22" i="1"/>
  <c r="L31" i="1"/>
  <c r="I35" i="7"/>
  <c r="C16" i="6"/>
  <c r="L16" i="6" s="1"/>
  <c r="L18" i="6" s="1"/>
  <c r="F12" i="3"/>
  <c r="F14" i="3" s="1"/>
  <c r="G9" i="2"/>
  <c r="I9" i="2" s="1"/>
  <c r="K20" i="3"/>
  <c r="D54" i="6"/>
  <c r="M54" i="6" s="1"/>
  <c r="H14" i="2"/>
  <c r="I14" i="2" s="1"/>
  <c r="D90" i="6"/>
  <c r="E20" i="2"/>
  <c r="F20" i="2" s="1"/>
  <c r="F49" i="5"/>
  <c r="F29" i="5"/>
  <c r="F36" i="5" s="1"/>
  <c r="F38" i="5" s="1"/>
  <c r="C124" i="6"/>
  <c r="I22" i="4"/>
  <c r="D49" i="4"/>
  <c r="I58" i="4"/>
  <c r="H59" i="4"/>
  <c r="I12" i="5"/>
  <c r="D14" i="5"/>
  <c r="C115" i="6"/>
  <c r="L115" i="6" s="1"/>
  <c r="M159" i="6"/>
  <c r="G159" i="6"/>
  <c r="F115" i="5"/>
  <c r="L56" i="6"/>
  <c r="L58" i="6" s="1"/>
  <c r="F21" i="9"/>
  <c r="C78" i="6"/>
  <c r="F78" i="6" s="1"/>
  <c r="G21" i="9"/>
  <c r="C109" i="6"/>
  <c r="F109" i="6" s="1"/>
  <c r="G14" i="9"/>
  <c r="G17" i="9" s="1"/>
  <c r="G11" i="9"/>
  <c r="D49" i="5"/>
  <c r="D36" i="5"/>
  <c r="E15" i="8" s="1"/>
  <c r="G15" i="8" s="1"/>
  <c r="F34" i="5"/>
  <c r="F50" i="5" s="1"/>
  <c r="D50" i="5"/>
  <c r="F88" i="5"/>
  <c r="D81" i="5"/>
  <c r="E17" i="8" s="1"/>
  <c r="F79" i="5"/>
  <c r="F81" i="5" s="1"/>
  <c r="F83" i="5" s="1"/>
  <c r="L160" i="6"/>
  <c r="F160" i="6"/>
  <c r="A12" i="1"/>
  <c r="G11" i="2"/>
  <c r="G13" i="2"/>
  <c r="I13" i="2" s="1"/>
  <c r="P16" i="2"/>
  <c r="E21" i="9"/>
  <c r="C47" i="6"/>
  <c r="E11" i="8"/>
  <c r="F23" i="4"/>
  <c r="F24" i="4" s="1"/>
  <c r="F26" i="4" s="1"/>
  <c r="K41" i="4"/>
  <c r="F58" i="4"/>
  <c r="D59" i="4"/>
  <c r="F64" i="4"/>
  <c r="F80" i="4" s="1"/>
  <c r="F65" i="4"/>
  <c r="F81" i="4" s="1"/>
  <c r="D81" i="4"/>
  <c r="D82" i="4" s="1"/>
  <c r="F46" i="5"/>
  <c r="F110" i="6"/>
  <c r="L110" i="6" s="1"/>
  <c r="C123" i="6"/>
  <c r="F123" i="6" s="1"/>
  <c r="H28" i="5"/>
  <c r="L130" i="6"/>
  <c r="F130" i="6"/>
  <c r="D116" i="5"/>
  <c r="B5" i="6"/>
  <c r="L208" i="6"/>
  <c r="I60" i="5"/>
  <c r="D94" i="5"/>
  <c r="D96" i="5" s="1"/>
  <c r="D162" i="5" s="1"/>
  <c r="I74" i="5"/>
  <c r="F105" i="5"/>
  <c r="I21" i="9"/>
  <c r="C181" i="6"/>
  <c r="F141" i="5"/>
  <c r="D147" i="5"/>
  <c r="F128" i="5"/>
  <c r="F147" i="5" s="1"/>
  <c r="D134" i="5"/>
  <c r="E19" i="8" s="1"/>
  <c r="F129" i="5"/>
  <c r="F148" i="5" s="1"/>
  <c r="D141" i="5"/>
  <c r="I144" i="5"/>
  <c r="F17" i="6"/>
  <c r="M45" i="6"/>
  <c r="L45" i="6"/>
  <c r="F86" i="6"/>
  <c r="F94" i="6" s="1"/>
  <c r="F96" i="6" s="1"/>
  <c r="L128" i="6"/>
  <c r="F128" i="6"/>
  <c r="M145" i="6"/>
  <c r="F159" i="6"/>
  <c r="G179" i="6"/>
  <c r="F179" i="6"/>
  <c r="M198" i="6"/>
  <c r="L198" i="6"/>
  <c r="K59" i="5"/>
  <c r="F91" i="5"/>
  <c r="I62" i="5"/>
  <c r="C180" i="6"/>
  <c r="L180" i="6" s="1"/>
  <c r="H105" i="5"/>
  <c r="F133" i="5"/>
  <c r="D152" i="5"/>
  <c r="G16" i="6"/>
  <c r="L71" i="6"/>
  <c r="M75" i="6"/>
  <c r="L75" i="6"/>
  <c r="L87" i="6"/>
  <c r="F129" i="6"/>
  <c r="C145" i="6"/>
  <c r="F145" i="6" s="1"/>
  <c r="K152" i="6"/>
  <c r="K146" i="6" s="1"/>
  <c r="L150" i="6"/>
  <c r="L151" i="6"/>
  <c r="F187" i="6"/>
  <c r="F190" i="6"/>
  <c r="F35" i="5"/>
  <c r="F51" i="5" s="1"/>
  <c r="I88" i="5"/>
  <c r="I104" i="5"/>
  <c r="I105" i="5"/>
  <c r="C187" i="6"/>
  <c r="L187" i="6" s="1"/>
  <c r="C188" i="6"/>
  <c r="L188" i="6" s="1"/>
  <c r="I123" i="5"/>
  <c r="F124" i="5"/>
  <c r="F130" i="5"/>
  <c r="F149" i="5" s="1"/>
  <c r="D148" i="5"/>
  <c r="F25" i="6"/>
  <c r="K47" i="6"/>
  <c r="F55" i="6"/>
  <c r="F69" i="6"/>
  <c r="F76" i="6"/>
  <c r="K77" i="6"/>
  <c r="L92" i="6"/>
  <c r="F107" i="6"/>
  <c r="F108" i="6"/>
  <c r="F113" i="6"/>
  <c r="E166" i="6"/>
  <c r="F164" i="6"/>
  <c r="F144" i="5"/>
  <c r="M16" i="6"/>
  <c r="F45" i="6"/>
  <c r="F71" i="6"/>
  <c r="L76" i="6"/>
  <c r="L91" i="6"/>
  <c r="M107" i="6"/>
  <c r="L107" i="6"/>
  <c r="F114" i="6"/>
  <c r="E101" i="6"/>
  <c r="L123" i="6"/>
  <c r="F150" i="6"/>
  <c r="F146" i="6"/>
  <c r="E138" i="6"/>
  <c r="E223" i="6" s="1"/>
  <c r="L165" i="6"/>
  <c r="E191" i="6"/>
  <c r="F185" i="6"/>
  <c r="F189" i="6"/>
  <c r="D10" i="9"/>
  <c r="E11" i="9"/>
  <c r="E16" i="9"/>
  <c r="I16" i="9"/>
  <c r="D142" i="5"/>
  <c r="F150" i="5"/>
  <c r="G24" i="6"/>
  <c r="L32" i="6"/>
  <c r="L34" i="6" s="1"/>
  <c r="F46" i="6"/>
  <c r="M69" i="6"/>
  <c r="L69" i="6"/>
  <c r="K70" i="6"/>
  <c r="F75" i="6"/>
  <c r="L85" i="6"/>
  <c r="L108" i="6"/>
  <c r="K116" i="6"/>
  <c r="K109" i="6" s="1"/>
  <c r="L113" i="6"/>
  <c r="F115" i="6"/>
  <c r="M144" i="6"/>
  <c r="L144" i="6"/>
  <c r="G146" i="6"/>
  <c r="L164" i="6"/>
  <c r="L199" i="6"/>
  <c r="L205" i="6"/>
  <c r="L17" i="7"/>
  <c r="D150" i="5"/>
  <c r="E47" i="6"/>
  <c r="E70" i="6"/>
  <c r="K86" i="6"/>
  <c r="K181" i="6"/>
  <c r="I13" i="8"/>
  <c r="I225" i="6"/>
  <c r="O225" i="6"/>
  <c r="H225" i="6"/>
  <c r="N225" i="6"/>
  <c r="E222" i="6"/>
  <c r="E221" i="6"/>
  <c r="K225" i="6"/>
  <c r="E225" i="6"/>
  <c r="F180" i="6"/>
  <c r="L204" i="6"/>
  <c r="F208" i="6"/>
  <c r="F209" i="6" s="1"/>
  <c r="F211" i="6" s="1"/>
  <c r="P31" i="7"/>
  <c r="E209" i="6"/>
  <c r="R37" i="7"/>
  <c r="L206" i="6"/>
  <c r="K209" i="6"/>
  <c r="K173" i="6" s="1"/>
  <c r="K224" i="6" s="1"/>
  <c r="I252" i="6"/>
  <c r="G19" i="8"/>
  <c r="D13" i="9"/>
  <c r="E14" i="9"/>
  <c r="E17" i="9" s="1"/>
  <c r="H14" i="4" s="1"/>
  <c r="I14" i="4" s="1"/>
  <c r="L203" i="6"/>
  <c r="L207" i="6"/>
  <c r="G17" i="7"/>
  <c r="G17" i="8"/>
  <c r="F16" i="9"/>
  <c r="D160" i="6" l="1"/>
  <c r="Q35" i="2"/>
  <c r="R35" i="2" s="1"/>
  <c r="I75" i="5"/>
  <c r="K75" i="5" s="1"/>
  <c r="L75" i="5" s="1"/>
  <c r="K105" i="5"/>
  <c r="L105" i="5" s="1"/>
  <c r="K24" i="1"/>
  <c r="F32" i="4"/>
  <c r="F152" i="6"/>
  <c r="L59" i="1"/>
  <c r="F94" i="5"/>
  <c r="E21" i="8"/>
  <c r="L166" i="6"/>
  <c r="L168" i="6" s="1"/>
  <c r="D52" i="5"/>
  <c r="D161" i="5" s="1"/>
  <c r="F76" i="4"/>
  <c r="F56" i="6"/>
  <c r="F58" i="6" s="1"/>
  <c r="D27" i="1"/>
  <c r="C34" i="1"/>
  <c r="I33" i="4"/>
  <c r="K33" i="4" s="1"/>
  <c r="L33" i="4" s="1"/>
  <c r="K14" i="4"/>
  <c r="L14" i="4" s="1"/>
  <c r="I89" i="5"/>
  <c r="K89" i="5" s="1"/>
  <c r="L89" i="5" s="1"/>
  <c r="K60" i="5"/>
  <c r="L60" i="5" s="1"/>
  <c r="I74" i="4"/>
  <c r="K58" i="4"/>
  <c r="N35" i="7"/>
  <c r="G11" i="8"/>
  <c r="G21" i="8" s="1"/>
  <c r="J11" i="8"/>
  <c r="F70" i="6"/>
  <c r="G70" i="6"/>
  <c r="M70" i="6"/>
  <c r="L70" i="6"/>
  <c r="F142" i="5"/>
  <c r="K104" i="5"/>
  <c r="L104" i="5" s="1"/>
  <c r="D180" i="6"/>
  <c r="H124" i="5"/>
  <c r="Q38" i="2"/>
  <c r="R38" i="2" s="1"/>
  <c r="L59" i="5"/>
  <c r="D153" i="5"/>
  <c r="D163" i="5" s="1"/>
  <c r="L41" i="4"/>
  <c r="A14" i="1"/>
  <c r="D164" i="5"/>
  <c r="D45" i="5"/>
  <c r="F19" i="9"/>
  <c r="D50" i="4"/>
  <c r="C48" i="1"/>
  <c r="D48" i="1" s="1"/>
  <c r="D32" i="1"/>
  <c r="K46" i="5"/>
  <c r="L46" i="5" s="1"/>
  <c r="K12" i="3"/>
  <c r="I80" i="4"/>
  <c r="K64" i="4"/>
  <c r="D90" i="5"/>
  <c r="F61" i="5"/>
  <c r="G54" i="6"/>
  <c r="I24" i="1"/>
  <c r="D47" i="6"/>
  <c r="M47" i="6" s="1"/>
  <c r="N13" i="2"/>
  <c r="L86" i="6"/>
  <c r="L109" i="6"/>
  <c r="K101" i="6"/>
  <c r="K222" i="6" s="1"/>
  <c r="E181" i="6"/>
  <c r="E173" i="6"/>
  <c r="E224" i="6" s="1"/>
  <c r="L116" i="6"/>
  <c r="F116" i="6"/>
  <c r="F79" i="6"/>
  <c r="F65" i="6" s="1"/>
  <c r="F13" i="7" s="1"/>
  <c r="L145" i="6"/>
  <c r="F37" i="3"/>
  <c r="F16" i="3"/>
  <c r="K12" i="4"/>
  <c r="I31" i="4"/>
  <c r="J13" i="8"/>
  <c r="L13" i="8" s="1"/>
  <c r="M13" i="8" s="1"/>
  <c r="I15" i="8"/>
  <c r="F47" i="6"/>
  <c r="F48" i="6" s="1"/>
  <c r="F41" i="6" s="1"/>
  <c r="F12" i="7" s="1"/>
  <c r="E39" i="6"/>
  <c r="E220" i="6" s="1"/>
  <c r="G47" i="6"/>
  <c r="F188" i="6"/>
  <c r="K78" i="6"/>
  <c r="K63" i="6"/>
  <c r="K221" i="6" s="1"/>
  <c r="I141" i="5"/>
  <c r="K123" i="5"/>
  <c r="K88" i="5"/>
  <c r="F16" i="6"/>
  <c r="F18" i="6" s="1"/>
  <c r="F152" i="5"/>
  <c r="K144" i="5"/>
  <c r="L144" i="5" s="1"/>
  <c r="K74" i="5"/>
  <c r="D123" i="6"/>
  <c r="I28" i="5"/>
  <c r="H28" i="2"/>
  <c r="I28" i="2" s="1"/>
  <c r="F14" i="5"/>
  <c r="F59" i="4"/>
  <c r="F75" i="4" s="1"/>
  <c r="I59" i="4"/>
  <c r="A15" i="1"/>
  <c r="I43" i="5"/>
  <c r="K12" i="5"/>
  <c r="K22" i="4"/>
  <c r="L124" i="6"/>
  <c r="L131" i="6" s="1"/>
  <c r="L133" i="6" s="1"/>
  <c r="F124" i="6"/>
  <c r="L20" i="3"/>
  <c r="L35" i="1"/>
  <c r="L33" i="1"/>
  <c r="L34" i="1" s="1"/>
  <c r="M91" i="6"/>
  <c r="G91" i="6"/>
  <c r="I90" i="5"/>
  <c r="F31" i="4"/>
  <c r="F34" i="4" s="1"/>
  <c r="F36" i="4" s="1"/>
  <c r="C12" i="7" s="1"/>
  <c r="F15" i="4"/>
  <c r="F24" i="1"/>
  <c r="F25" i="1"/>
  <c r="L50" i="1"/>
  <c r="L181" i="6"/>
  <c r="L191" i="6" s="1"/>
  <c r="L94" i="6"/>
  <c r="L96" i="6" s="1"/>
  <c r="D16" i="9"/>
  <c r="L47" i="6"/>
  <c r="L48" i="6" s="1"/>
  <c r="L41" i="6" s="1"/>
  <c r="K12" i="7" s="1"/>
  <c r="K39" i="6"/>
  <c r="K220" i="6" s="1"/>
  <c r="M146" i="6"/>
  <c r="L146" i="6"/>
  <c r="K138" i="6"/>
  <c r="K223" i="6" s="1"/>
  <c r="I91" i="5"/>
  <c r="K91" i="5" s="1"/>
  <c r="L91" i="5" s="1"/>
  <c r="K62" i="5"/>
  <c r="L62" i="5" s="1"/>
  <c r="L209" i="6"/>
  <c r="L211" i="6" s="1"/>
  <c r="F166" i="6"/>
  <c r="F168" i="6" s="1"/>
  <c r="F140" i="6" s="1"/>
  <c r="F15" i="7" s="1"/>
  <c r="F134" i="5"/>
  <c r="F136" i="5" s="1"/>
  <c r="I19" i="9"/>
  <c r="D106" i="5"/>
  <c r="F131" i="6"/>
  <c r="F133" i="6" s="1"/>
  <c r="F74" i="4"/>
  <c r="D86" i="6"/>
  <c r="G86" i="6" s="1"/>
  <c r="K20" i="2"/>
  <c r="L20" i="2" s="1"/>
  <c r="F44" i="5"/>
  <c r="H14" i="9"/>
  <c r="H11" i="9"/>
  <c r="L24" i="6"/>
  <c r="L26" i="6" s="1"/>
  <c r="L12" i="6" s="1"/>
  <c r="F24" i="6"/>
  <c r="F26" i="6" s="1"/>
  <c r="J24" i="1"/>
  <c r="J25" i="1"/>
  <c r="D23" i="1"/>
  <c r="D15" i="1"/>
  <c r="F12" i="6" l="1"/>
  <c r="E226" i="6"/>
  <c r="E229" i="6" s="1"/>
  <c r="L152" i="6"/>
  <c r="L140" i="6" s="1"/>
  <c r="K15" i="7" s="1"/>
  <c r="G160" i="6"/>
  <c r="M160" i="6"/>
  <c r="F93" i="4"/>
  <c r="F17" i="4"/>
  <c r="M123" i="6"/>
  <c r="G123" i="6"/>
  <c r="F181" i="6"/>
  <c r="F191" i="6" s="1"/>
  <c r="F175" i="6" s="1"/>
  <c r="F16" i="7" s="1"/>
  <c r="A16" i="1"/>
  <c r="L11" i="8"/>
  <c r="M11" i="8" s="1"/>
  <c r="H17" i="9"/>
  <c r="L12" i="5"/>
  <c r="F45" i="5"/>
  <c r="F52" i="5" s="1"/>
  <c r="F54" i="5" s="1"/>
  <c r="C14" i="7" s="1"/>
  <c r="F21" i="5"/>
  <c r="L88" i="5"/>
  <c r="K141" i="5"/>
  <c r="K31" i="4"/>
  <c r="C11" i="7"/>
  <c r="F39" i="3"/>
  <c r="L103" i="6"/>
  <c r="K14" i="7" s="1"/>
  <c r="M86" i="6"/>
  <c r="L12" i="3"/>
  <c r="D199" i="6"/>
  <c r="Q45" i="2"/>
  <c r="R45" i="2" s="1"/>
  <c r="I124" i="5"/>
  <c r="L58" i="4"/>
  <c r="K74" i="4"/>
  <c r="D167" i="5"/>
  <c r="D169" i="5" s="1"/>
  <c r="H30" i="1"/>
  <c r="C30" i="1"/>
  <c r="K30" i="1"/>
  <c r="F30" i="1"/>
  <c r="J30" i="1"/>
  <c r="I30" i="1"/>
  <c r="C38" i="1"/>
  <c r="G30" i="1"/>
  <c r="F106" i="5"/>
  <c r="F11" i="7"/>
  <c r="I11" i="9"/>
  <c r="I14" i="9"/>
  <c r="F67" i="4"/>
  <c r="F69" i="4" s="1"/>
  <c r="L175" i="6"/>
  <c r="K16" i="7" s="1"/>
  <c r="L74" i="5"/>
  <c r="L12" i="4"/>
  <c r="A17" i="1"/>
  <c r="A19" i="1" s="1"/>
  <c r="A20" i="1" s="1"/>
  <c r="D83" i="4"/>
  <c r="F50" i="4"/>
  <c r="G180" i="6"/>
  <c r="M180" i="6"/>
  <c r="L22" i="4"/>
  <c r="F90" i="5"/>
  <c r="F96" i="5" s="1"/>
  <c r="F98" i="5" s="1"/>
  <c r="C15" i="7" s="1"/>
  <c r="F67" i="5"/>
  <c r="K11" i="7"/>
  <c r="K226" i="6"/>
  <c r="K229" i="6" s="1"/>
  <c r="K61" i="5"/>
  <c r="K43" i="5"/>
  <c r="K59" i="4"/>
  <c r="I75" i="4"/>
  <c r="K28" i="5"/>
  <c r="L123" i="5"/>
  <c r="L78" i="6"/>
  <c r="L79" i="6" s="1"/>
  <c r="L65" i="6" s="1"/>
  <c r="J15" i="8"/>
  <c r="L15" i="8" s="1"/>
  <c r="M15" i="8" s="1"/>
  <c r="I17" i="8"/>
  <c r="F103" i="6"/>
  <c r="F14" i="7" s="1"/>
  <c r="E23" i="9"/>
  <c r="E25" i="9" s="1"/>
  <c r="O13" i="2"/>
  <c r="L64" i="4"/>
  <c r="K80" i="4"/>
  <c r="L80" i="4" s="1"/>
  <c r="F11" i="9"/>
  <c r="F14" i="9"/>
  <c r="D19" i="9"/>
  <c r="K90" i="5" l="1"/>
  <c r="L90" i="5" s="1"/>
  <c r="K13" i="7"/>
  <c r="L232" i="6"/>
  <c r="L234" i="6" s="1"/>
  <c r="L59" i="4"/>
  <c r="K75" i="4"/>
  <c r="L75" i="4" s="1"/>
  <c r="L43" i="5"/>
  <c r="K40" i="1"/>
  <c r="K41" i="1" s="1"/>
  <c r="K46" i="1" s="1"/>
  <c r="K47" i="1" s="1"/>
  <c r="G40" i="1"/>
  <c r="G41" i="1" s="1"/>
  <c r="G46" i="1" s="1"/>
  <c r="G47" i="1" s="1"/>
  <c r="I40" i="1"/>
  <c r="I41" i="1" s="1"/>
  <c r="I46" i="1" s="1"/>
  <c r="I47" i="1" s="1"/>
  <c r="J40" i="1"/>
  <c r="J41" i="1" s="1"/>
  <c r="J46" i="1" s="1"/>
  <c r="J47" i="1" s="1"/>
  <c r="H40" i="1"/>
  <c r="H41" i="1" s="1"/>
  <c r="H46" i="1" s="1"/>
  <c r="H47" i="1" s="1"/>
  <c r="L40" i="1"/>
  <c r="F40" i="1"/>
  <c r="F41" i="1" s="1"/>
  <c r="F31" i="1"/>
  <c r="I142" i="5"/>
  <c r="K124" i="5"/>
  <c r="A21" i="1"/>
  <c r="I55" i="1"/>
  <c r="I31" i="1"/>
  <c r="D11" i="9"/>
  <c r="D14" i="9"/>
  <c r="L28" i="5"/>
  <c r="L61" i="5"/>
  <c r="F69" i="5"/>
  <c r="F162" i="5"/>
  <c r="F232" i="6"/>
  <c r="F234" i="6" s="1"/>
  <c r="J31" i="1"/>
  <c r="D30" i="1"/>
  <c r="C31" i="1"/>
  <c r="G199" i="6"/>
  <c r="M199" i="6"/>
  <c r="L141" i="5"/>
  <c r="F161" i="5"/>
  <c r="F23" i="5"/>
  <c r="K18" i="7"/>
  <c r="A22" i="1"/>
  <c r="A23" i="1" s="1"/>
  <c r="F143" i="5"/>
  <c r="F153" i="5" s="1"/>
  <c r="F155" i="5" s="1"/>
  <c r="C16" i="7" s="1"/>
  <c r="F116" i="5"/>
  <c r="K55" i="1"/>
  <c r="K31" i="1"/>
  <c r="L74" i="4"/>
  <c r="L31" i="4"/>
  <c r="F17" i="9"/>
  <c r="H50" i="4" s="1"/>
  <c r="I19" i="8"/>
  <c r="J19" i="8" s="1"/>
  <c r="L19" i="8" s="1"/>
  <c r="M19" i="8" s="1"/>
  <c r="J17" i="8"/>
  <c r="L17" i="8" s="1"/>
  <c r="M17" i="8" s="1"/>
  <c r="F83" i="4"/>
  <c r="F84" i="4" s="1"/>
  <c r="F86" i="4" s="1"/>
  <c r="F51" i="4"/>
  <c r="I17" i="9"/>
  <c r="F18" i="7"/>
  <c r="G31" i="1"/>
  <c r="H55" i="1"/>
  <c r="H31" i="1"/>
  <c r="L44" i="1"/>
  <c r="L45" i="1" s="1"/>
  <c r="F33" i="1" l="1"/>
  <c r="F34" i="1" s="1"/>
  <c r="F35" i="1"/>
  <c r="G49" i="1"/>
  <c r="G50" i="1" s="1"/>
  <c r="G44" i="1" s="1"/>
  <c r="G45" i="1" s="1"/>
  <c r="G51" i="1"/>
  <c r="G35" i="1"/>
  <c r="G33" i="1"/>
  <c r="G34" i="1" s="1"/>
  <c r="J55" i="1"/>
  <c r="I35" i="1"/>
  <c r="I33" i="1"/>
  <c r="I34" i="1" s="1"/>
  <c r="L124" i="5"/>
  <c r="K49" i="1"/>
  <c r="K50" i="1" s="1"/>
  <c r="K44" i="1" s="1"/>
  <c r="K45" i="1" s="1"/>
  <c r="K51" i="1"/>
  <c r="F118" i="5"/>
  <c r="F163" i="5"/>
  <c r="F164" i="5" s="1"/>
  <c r="F173" i="5" s="1"/>
  <c r="J51" i="1"/>
  <c r="J49" i="1"/>
  <c r="J50" i="1" s="1"/>
  <c r="J44" i="1" s="1"/>
  <c r="J45" i="1" s="1"/>
  <c r="F94" i="4"/>
  <c r="F95" i="4" s="1"/>
  <c r="F97" i="4" s="1"/>
  <c r="F53" i="4"/>
  <c r="G55" i="1"/>
  <c r="C13" i="7"/>
  <c r="C18" i="7" s="1"/>
  <c r="K20" i="7" s="1"/>
  <c r="F167" i="5"/>
  <c r="F169" i="5" s="1"/>
  <c r="F174" i="5" s="1"/>
  <c r="D78" i="6"/>
  <c r="N16" i="2"/>
  <c r="I50" i="4"/>
  <c r="K35" i="1"/>
  <c r="K33" i="1"/>
  <c r="K34" i="1" s="1"/>
  <c r="A24" i="1"/>
  <c r="A25" i="1" s="1"/>
  <c r="J33" i="1"/>
  <c r="J34" i="1" s="1"/>
  <c r="J35" i="1"/>
  <c r="J21" i="8"/>
  <c r="L21" i="8" s="1"/>
  <c r="M21" i="8" s="1"/>
  <c r="I64" i="1"/>
  <c r="I56" i="1"/>
  <c r="K142" i="5"/>
  <c r="C41" i="1"/>
  <c r="C42" i="1" s="1"/>
  <c r="F43" i="1" s="1"/>
  <c r="F46" i="1"/>
  <c r="H51" i="1"/>
  <c r="H49" i="1"/>
  <c r="H50" i="1" s="1"/>
  <c r="H44" i="1" s="1"/>
  <c r="H45" i="1" s="1"/>
  <c r="I49" i="1"/>
  <c r="I50" i="1" s="1"/>
  <c r="I44" i="1" s="1"/>
  <c r="I45" i="1" s="1"/>
  <c r="I51" i="1"/>
  <c r="H64" i="1"/>
  <c r="H56" i="1"/>
  <c r="H33" i="1"/>
  <c r="H34" i="1" s="1"/>
  <c r="H35" i="1"/>
  <c r="F30" i="7"/>
  <c r="F31" i="7" s="1"/>
  <c r="K64" i="1"/>
  <c r="K56" i="1"/>
  <c r="K30" i="7"/>
  <c r="K31" i="7" s="1"/>
  <c r="C35" i="1"/>
  <c r="D31" i="1"/>
  <c r="C33" i="1"/>
  <c r="D17" i="9"/>
  <c r="D34" i="1" l="1"/>
  <c r="A27" i="1"/>
  <c r="A29" i="1" s="1"/>
  <c r="A30" i="1" s="1"/>
  <c r="F20" i="7"/>
  <c r="H58" i="1"/>
  <c r="H59" i="1" s="1"/>
  <c r="O45" i="4" s="1"/>
  <c r="O41" i="4"/>
  <c r="H60" i="1"/>
  <c r="F23" i="9"/>
  <c r="F25" i="9" s="1"/>
  <c r="O16" i="2"/>
  <c r="G56" i="1"/>
  <c r="G64" i="1"/>
  <c r="O104" i="5"/>
  <c r="K60" i="1"/>
  <c r="K58" i="1"/>
  <c r="K59" i="1" s="1"/>
  <c r="O108" i="5" s="1"/>
  <c r="F47" i="1"/>
  <c r="C46" i="1"/>
  <c r="F55" i="1"/>
  <c r="I83" i="4"/>
  <c r="K83" i="4" s="1"/>
  <c r="L83" i="4" s="1"/>
  <c r="K50" i="4"/>
  <c r="L50" i="4" s="1"/>
  <c r="J64" i="1"/>
  <c r="J56" i="1"/>
  <c r="D33" i="1"/>
  <c r="L142" i="5"/>
  <c r="O12" i="5"/>
  <c r="I60" i="1"/>
  <c r="I58" i="1"/>
  <c r="I59" i="1" s="1"/>
  <c r="O16" i="5" s="1"/>
  <c r="G78" i="6"/>
  <c r="M78" i="6"/>
  <c r="A31" i="1"/>
  <c r="A32" i="1" s="1"/>
  <c r="A33" i="1" s="1"/>
  <c r="A34" i="1" s="1"/>
  <c r="A35" i="1" s="1"/>
  <c r="A37" i="1" s="1"/>
  <c r="A44" i="1" s="1"/>
  <c r="A45" i="1" s="1"/>
  <c r="A46" i="1" s="1"/>
  <c r="A47" i="1" s="1"/>
  <c r="A48" i="1" s="1"/>
  <c r="A49" i="1" s="1"/>
  <c r="A50" i="1" s="1"/>
  <c r="A51" i="1" s="1"/>
  <c r="A52" i="1" s="1"/>
  <c r="A54" i="1" s="1"/>
  <c r="A55" i="1" s="1"/>
  <c r="A56" i="1" s="1"/>
  <c r="A57" i="1" s="1"/>
  <c r="A58" i="1" s="1"/>
  <c r="A59" i="1" s="1"/>
  <c r="A60" i="1" s="1"/>
  <c r="A62" i="1" s="1"/>
  <c r="A64" i="1" s="1"/>
  <c r="A65" i="1" s="1"/>
  <c r="A67" i="1" s="1"/>
  <c r="F51" i="1" l="1"/>
  <c r="F49" i="1"/>
  <c r="F50" i="1" s="1"/>
  <c r="F44" i="1" s="1"/>
  <c r="F45" i="1" s="1"/>
  <c r="C47" i="1"/>
  <c r="O110" i="5"/>
  <c r="H115" i="5" s="1"/>
  <c r="H106" i="5"/>
  <c r="O12" i="4"/>
  <c r="H13" i="4" s="1"/>
  <c r="G58" i="1"/>
  <c r="G59" i="1" s="1"/>
  <c r="O16" i="4" s="1"/>
  <c r="G60" i="1"/>
  <c r="H13" i="5"/>
  <c r="H19" i="5"/>
  <c r="H20" i="5"/>
  <c r="H14" i="5"/>
  <c r="F64" i="1"/>
  <c r="C55" i="1"/>
  <c r="F56" i="1"/>
  <c r="H43" i="4"/>
  <c r="H48" i="4"/>
  <c r="A68" i="1"/>
  <c r="A69" i="1" s="1"/>
  <c r="A70" i="1" s="1"/>
  <c r="A72" i="1" s="1"/>
  <c r="A73" i="1" s="1"/>
  <c r="A74" i="1" s="1"/>
  <c r="A76" i="1" s="1"/>
  <c r="A77" i="1" s="1"/>
  <c r="A78" i="1" s="1"/>
  <c r="A80" i="1" s="1"/>
  <c r="A81" i="1" s="1"/>
  <c r="A82" i="1" s="1"/>
  <c r="A83" i="1" s="1"/>
  <c r="J60" i="1"/>
  <c r="J58" i="1"/>
  <c r="J59" i="1" s="1"/>
  <c r="O63" i="5" s="1"/>
  <c r="O59" i="5"/>
  <c r="O65" i="5" s="1"/>
  <c r="K173" i="5"/>
  <c r="D46" i="1"/>
  <c r="H66" i="5" l="1"/>
  <c r="H65" i="5"/>
  <c r="D190" i="6"/>
  <c r="H133" i="5"/>
  <c r="E43" i="2"/>
  <c r="F43" i="2" s="1"/>
  <c r="I115" i="5"/>
  <c r="K115" i="5" s="1"/>
  <c r="L115" i="5" s="1"/>
  <c r="D114" i="6"/>
  <c r="I19" i="5"/>
  <c r="E25" i="2"/>
  <c r="F25" i="2" s="1"/>
  <c r="H34" i="5"/>
  <c r="D47" i="1"/>
  <c r="C51" i="1"/>
  <c r="C49" i="1"/>
  <c r="H60" i="4"/>
  <c r="D71" i="6"/>
  <c r="Q16" i="2"/>
  <c r="R16" i="2" s="1"/>
  <c r="I43" i="4"/>
  <c r="D115" i="6"/>
  <c r="H35" i="5"/>
  <c r="I20" i="5"/>
  <c r="E26" i="2"/>
  <c r="F26" i="2" s="1"/>
  <c r="D76" i="6"/>
  <c r="H65" i="4"/>
  <c r="E18" i="2"/>
  <c r="F18" i="2" s="1"/>
  <c r="I48" i="4"/>
  <c r="K48" i="4" s="1"/>
  <c r="L48" i="4" s="1"/>
  <c r="C64" i="1"/>
  <c r="F65" i="1"/>
  <c r="D108" i="6"/>
  <c r="H29" i="5"/>
  <c r="Q24" i="2"/>
  <c r="R24" i="2" s="1"/>
  <c r="I13" i="5"/>
  <c r="D46" i="6"/>
  <c r="H23" i="4"/>
  <c r="E13" i="2"/>
  <c r="F13" i="2" s="1"/>
  <c r="I13" i="4"/>
  <c r="F60" i="1"/>
  <c r="N12" i="3"/>
  <c r="F58" i="1"/>
  <c r="C56" i="1"/>
  <c r="D109" i="6"/>
  <c r="N24" i="2"/>
  <c r="I14" i="5"/>
  <c r="D181" i="6"/>
  <c r="N38" i="2"/>
  <c r="I106" i="5"/>
  <c r="K19" i="5" l="1"/>
  <c r="L19" i="5" s="1"/>
  <c r="K13" i="4"/>
  <c r="I15" i="4"/>
  <c r="K13" i="5"/>
  <c r="F81" i="1"/>
  <c r="F82" i="1"/>
  <c r="D92" i="6"/>
  <c r="I65" i="4"/>
  <c r="E22" i="2"/>
  <c r="F22" i="2" s="1"/>
  <c r="D130" i="6"/>
  <c r="E30" i="2"/>
  <c r="F30" i="2" s="1"/>
  <c r="I35" i="5"/>
  <c r="K35" i="5" s="1"/>
  <c r="L35" i="5" s="1"/>
  <c r="G71" i="6"/>
  <c r="M71" i="6"/>
  <c r="G114" i="6"/>
  <c r="M114" i="6"/>
  <c r="M190" i="6"/>
  <c r="G190" i="6"/>
  <c r="I173" i="5"/>
  <c r="C60" i="1"/>
  <c r="G46" i="6"/>
  <c r="G48" i="6" s="1"/>
  <c r="M46" i="6"/>
  <c r="M48" i="6" s="1"/>
  <c r="K20" i="5"/>
  <c r="L20" i="5" s="1"/>
  <c r="I45" i="5"/>
  <c r="K45" i="5" s="1"/>
  <c r="L45" i="5" s="1"/>
  <c r="K14" i="5"/>
  <c r="L14" i="5" s="1"/>
  <c r="I143" i="5"/>
  <c r="K106" i="5"/>
  <c r="L106" i="5" s="1"/>
  <c r="G23" i="9"/>
  <c r="G25" i="9" s="1"/>
  <c r="O24" i="2"/>
  <c r="D64" i="1"/>
  <c r="H65" i="1"/>
  <c r="I65" i="1"/>
  <c r="K65" i="1"/>
  <c r="G65" i="1"/>
  <c r="J65" i="1"/>
  <c r="G76" i="6"/>
  <c r="M76" i="6"/>
  <c r="G115" i="6"/>
  <c r="M115" i="6"/>
  <c r="D87" i="6"/>
  <c r="Q20" i="2"/>
  <c r="R20" i="2" s="1"/>
  <c r="I60" i="4"/>
  <c r="D129" i="6"/>
  <c r="E29" i="2"/>
  <c r="F29" i="2" s="1"/>
  <c r="I34" i="5"/>
  <c r="K34" i="5" s="1"/>
  <c r="L34" i="5" s="1"/>
  <c r="H79" i="5"/>
  <c r="D150" i="6"/>
  <c r="E32" i="2"/>
  <c r="F32" i="2" s="1"/>
  <c r="I65" i="5"/>
  <c r="M181" i="6"/>
  <c r="G181" i="6"/>
  <c r="G108" i="6"/>
  <c r="M108" i="6"/>
  <c r="D208" i="6"/>
  <c r="E50" i="2"/>
  <c r="F50" i="2" s="1"/>
  <c r="I133" i="5"/>
  <c r="F59" i="1"/>
  <c r="N16" i="3" s="1"/>
  <c r="H28" i="3" s="1"/>
  <c r="C58" i="1"/>
  <c r="C59" i="1" s="1"/>
  <c r="I23" i="9"/>
  <c r="I25" i="9" s="1"/>
  <c r="O38" i="2"/>
  <c r="G109" i="6"/>
  <c r="M109" i="6"/>
  <c r="D55" i="6"/>
  <c r="I23" i="4"/>
  <c r="I32" i="4" s="1"/>
  <c r="E14" i="2"/>
  <c r="F14" i="2" s="1"/>
  <c r="D124" i="6"/>
  <c r="Q28" i="2"/>
  <c r="R28" i="2" s="1"/>
  <c r="I29" i="5"/>
  <c r="I44" i="5" s="1"/>
  <c r="K43" i="4"/>
  <c r="I51" i="4"/>
  <c r="D49" i="1"/>
  <c r="C50" i="1"/>
  <c r="D50" i="1" s="1"/>
  <c r="D151" i="6"/>
  <c r="H80" i="5"/>
  <c r="E33" i="2"/>
  <c r="F33" i="2" s="1"/>
  <c r="I66" i="5"/>
  <c r="M79" i="6" l="1"/>
  <c r="G79" i="6"/>
  <c r="K44" i="5"/>
  <c r="K32" i="4"/>
  <c r="I34" i="4"/>
  <c r="I36" i="4" s="1"/>
  <c r="G55" i="6"/>
  <c r="G56" i="6" s="1"/>
  <c r="G58" i="6" s="1"/>
  <c r="G41" i="6" s="1"/>
  <c r="G12" i="7" s="1"/>
  <c r="M55" i="6"/>
  <c r="M56" i="6" s="1"/>
  <c r="M58" i="6" s="1"/>
  <c r="M41" i="6" s="1"/>
  <c r="L12" i="7" s="1"/>
  <c r="H81" i="1"/>
  <c r="I63" i="6" s="1"/>
  <c r="H82" i="1"/>
  <c r="O63" i="6" s="1"/>
  <c r="O10" i="6"/>
  <c r="D164" i="6"/>
  <c r="E35" i="2"/>
  <c r="F35" i="2" s="1"/>
  <c r="I79" i="5"/>
  <c r="G81" i="1"/>
  <c r="I39" i="6" s="1"/>
  <c r="G82" i="1"/>
  <c r="O39" i="6" s="1"/>
  <c r="I10" i="6"/>
  <c r="L13" i="5"/>
  <c r="J81" i="1"/>
  <c r="I138" i="6" s="1"/>
  <c r="J82" i="1"/>
  <c r="O138" i="6" s="1"/>
  <c r="L13" i="4"/>
  <c r="K15" i="4"/>
  <c r="D165" i="6"/>
  <c r="E36" i="2"/>
  <c r="F36" i="2" s="1"/>
  <c r="I80" i="5"/>
  <c r="K80" i="5" s="1"/>
  <c r="L80" i="5" s="1"/>
  <c r="G151" i="6"/>
  <c r="M151" i="6"/>
  <c r="D32" i="6"/>
  <c r="H11" i="2"/>
  <c r="I11" i="2" s="1"/>
  <c r="I28" i="3"/>
  <c r="K65" i="5"/>
  <c r="I67" i="5"/>
  <c r="K81" i="1"/>
  <c r="I173" i="6" s="1"/>
  <c r="K82" i="1"/>
  <c r="O173" i="6" s="1"/>
  <c r="K65" i="4"/>
  <c r="I81" i="4"/>
  <c r="C65" i="1"/>
  <c r="D65" i="1" s="1"/>
  <c r="G150" i="6"/>
  <c r="M150" i="6"/>
  <c r="G129" i="6"/>
  <c r="M129" i="6"/>
  <c r="M130" i="6"/>
  <c r="G130" i="6"/>
  <c r="I53" i="4"/>
  <c r="I94" i="4"/>
  <c r="K94" i="4" s="1"/>
  <c r="L94" i="4" s="1"/>
  <c r="G124" i="6"/>
  <c r="M124" i="6"/>
  <c r="G208" i="6"/>
  <c r="M208" i="6"/>
  <c r="I76" i="4"/>
  <c r="K60" i="4"/>
  <c r="I67" i="4"/>
  <c r="I69" i="4" s="1"/>
  <c r="L43" i="4"/>
  <c r="K51" i="4"/>
  <c r="K66" i="5"/>
  <c r="L66" i="5" s="1"/>
  <c r="I95" i="5"/>
  <c r="K95" i="5" s="1"/>
  <c r="L95" i="5" s="1"/>
  <c r="K29" i="5"/>
  <c r="K23" i="4"/>
  <c r="I24" i="4"/>
  <c r="I26" i="4" s="1"/>
  <c r="I152" i="5"/>
  <c r="K152" i="5" s="1"/>
  <c r="L152" i="5" s="1"/>
  <c r="K133" i="5"/>
  <c r="L133" i="5" s="1"/>
  <c r="M87" i="6"/>
  <c r="G87" i="6"/>
  <c r="I81" i="1"/>
  <c r="I101" i="6" s="1"/>
  <c r="I82" i="1"/>
  <c r="O101" i="6" s="1"/>
  <c r="K143" i="5"/>
  <c r="O109" i="5"/>
  <c r="I51" i="5"/>
  <c r="K51" i="5" s="1"/>
  <c r="L51" i="5" s="1"/>
  <c r="G92" i="6"/>
  <c r="M92" i="6"/>
  <c r="H18" i="5"/>
  <c r="I93" i="4"/>
  <c r="I17" i="4"/>
  <c r="I50" i="5"/>
  <c r="K50" i="5" s="1"/>
  <c r="L50" i="5" s="1"/>
  <c r="I84" i="4" l="1"/>
  <c r="I86" i="4" s="1"/>
  <c r="D113" i="6"/>
  <c r="H33" i="5"/>
  <c r="E24" i="2"/>
  <c r="F24" i="2" s="1"/>
  <c r="I18" i="5"/>
  <c r="O102" i="6"/>
  <c r="O222" i="6"/>
  <c r="L23" i="4"/>
  <c r="K24" i="4"/>
  <c r="K76" i="4"/>
  <c r="L60" i="4"/>
  <c r="K67" i="4"/>
  <c r="I224" i="6"/>
  <c r="K79" i="5"/>
  <c r="I81" i="5"/>
  <c r="I83" i="5" s="1"/>
  <c r="O219" i="6"/>
  <c r="O11" i="6"/>
  <c r="I64" i="6"/>
  <c r="I221" i="6"/>
  <c r="D12" i="7"/>
  <c r="O14" i="4"/>
  <c r="H110" i="5"/>
  <c r="H114" i="5"/>
  <c r="H111" i="5"/>
  <c r="H112" i="5"/>
  <c r="H113" i="5"/>
  <c r="I102" i="6"/>
  <c r="I222" i="6"/>
  <c r="K53" i="4"/>
  <c r="L53" i="4" s="1"/>
  <c r="L51" i="4"/>
  <c r="D13" i="7"/>
  <c r="O43" i="4"/>
  <c r="I69" i="5"/>
  <c r="I32" i="3"/>
  <c r="H13" i="3" s="1"/>
  <c r="K28" i="3"/>
  <c r="G165" i="6"/>
  <c r="M165" i="6"/>
  <c r="L32" i="4"/>
  <c r="K34" i="4"/>
  <c r="G94" i="6"/>
  <c r="G96" i="6" s="1"/>
  <c r="M152" i="6"/>
  <c r="L65" i="4"/>
  <c r="K81" i="4"/>
  <c r="L81" i="4" s="1"/>
  <c r="I94" i="5"/>
  <c r="K17" i="4"/>
  <c r="L17" i="4" s="1"/>
  <c r="L15" i="4"/>
  <c r="O139" i="6"/>
  <c r="O223" i="6"/>
  <c r="D81" i="1"/>
  <c r="O40" i="6"/>
  <c r="O220" i="6"/>
  <c r="M164" i="6"/>
  <c r="M166" i="6" s="1"/>
  <c r="M168" i="6" s="1"/>
  <c r="G164" i="6"/>
  <c r="L29" i="5"/>
  <c r="K93" i="4"/>
  <c r="I95" i="4"/>
  <c r="L143" i="5"/>
  <c r="M94" i="6"/>
  <c r="M96" i="6" s="1"/>
  <c r="G152" i="6"/>
  <c r="O224" i="6"/>
  <c r="L65" i="5"/>
  <c r="K67" i="5"/>
  <c r="G32" i="6"/>
  <c r="G34" i="6" s="1"/>
  <c r="M32" i="6"/>
  <c r="M34" i="6" s="1"/>
  <c r="I139" i="6"/>
  <c r="I223" i="6"/>
  <c r="I219" i="6"/>
  <c r="I11" i="6"/>
  <c r="I220" i="6"/>
  <c r="I40" i="6"/>
  <c r="D82" i="1"/>
  <c r="O64" i="6"/>
  <c r="O221" i="6"/>
  <c r="L44" i="5"/>
  <c r="I162" i="5" l="1"/>
  <c r="K162" i="5" s="1"/>
  <c r="L162" i="5" s="1"/>
  <c r="K69" i="4"/>
  <c r="L69" i="4" s="1"/>
  <c r="L67" i="4"/>
  <c r="I226" i="6"/>
  <c r="O49" i="6"/>
  <c r="N12" i="7" s="1"/>
  <c r="O59" i="6"/>
  <c r="W13" i="2"/>
  <c r="W14" i="2"/>
  <c r="G65" i="6"/>
  <c r="G13" i="7" s="1"/>
  <c r="D188" i="6"/>
  <c r="H131" i="5"/>
  <c r="E41" i="2"/>
  <c r="F41" i="2" s="1"/>
  <c r="I113" i="5"/>
  <c r="K113" i="5" s="1"/>
  <c r="L113" i="5" s="1"/>
  <c r="D185" i="6"/>
  <c r="H128" i="5"/>
  <c r="E38" i="2"/>
  <c r="F38" i="2" s="1"/>
  <c r="I110" i="5"/>
  <c r="I80" i="6"/>
  <c r="I97" i="6"/>
  <c r="V20" i="2"/>
  <c r="V17" i="2"/>
  <c r="V22" i="2"/>
  <c r="V18" i="2"/>
  <c r="V16" i="2"/>
  <c r="V21" i="2"/>
  <c r="L79" i="5"/>
  <c r="K81" i="5"/>
  <c r="L24" i="4"/>
  <c r="K26" i="4"/>
  <c r="L26" i="4" s="1"/>
  <c r="K18" i="5"/>
  <c r="I21" i="5"/>
  <c r="I59" i="6"/>
  <c r="I49" i="6"/>
  <c r="V14" i="2"/>
  <c r="V13" i="2"/>
  <c r="K69" i="5"/>
  <c r="L69" i="5" s="1"/>
  <c r="L67" i="5"/>
  <c r="M140" i="6"/>
  <c r="L15" i="7" s="1"/>
  <c r="K94" i="5"/>
  <c r="I96" i="5"/>
  <c r="I98" i="5" s="1"/>
  <c r="E9" i="2"/>
  <c r="F9" i="2" s="1"/>
  <c r="D17" i="6"/>
  <c r="H21" i="3"/>
  <c r="I13" i="3"/>
  <c r="D186" i="6"/>
  <c r="H129" i="5"/>
  <c r="E39" i="2"/>
  <c r="F39" i="2" s="1"/>
  <c r="I111" i="5"/>
  <c r="K111" i="5" s="1"/>
  <c r="L111" i="5" s="1"/>
  <c r="O226" i="6"/>
  <c r="D128" i="6"/>
  <c r="E28" i="2"/>
  <c r="F28" i="2" s="1"/>
  <c r="I33" i="5"/>
  <c r="I49" i="5" s="1"/>
  <c r="M65" i="6"/>
  <c r="L13" i="7" s="1"/>
  <c r="K95" i="4"/>
  <c r="L95" i="4" s="1"/>
  <c r="L93" i="4"/>
  <c r="G166" i="6"/>
  <c r="G168" i="6" s="1"/>
  <c r="G140" i="6" s="1"/>
  <c r="G15" i="7" s="1"/>
  <c r="K36" i="4"/>
  <c r="L36" i="4" s="1"/>
  <c r="L34" i="4"/>
  <c r="K32" i="3"/>
  <c r="L32" i="3" s="1"/>
  <c r="L28" i="3"/>
  <c r="D187" i="6"/>
  <c r="H130" i="5"/>
  <c r="I112" i="5"/>
  <c r="K112" i="5" s="1"/>
  <c r="L112" i="5" s="1"/>
  <c r="E40" i="2"/>
  <c r="F40" i="2" s="1"/>
  <c r="O35" i="6"/>
  <c r="O19" i="6"/>
  <c r="O27" i="6"/>
  <c r="W11" i="2"/>
  <c r="W10" i="2"/>
  <c r="W9" i="2"/>
  <c r="I169" i="6"/>
  <c r="I153" i="6"/>
  <c r="I15" i="7" s="1"/>
  <c r="V36" i="2"/>
  <c r="V33" i="2"/>
  <c r="V32" i="2"/>
  <c r="V35" i="2"/>
  <c r="O97" i="6"/>
  <c r="O80" i="6"/>
  <c r="W21" i="2"/>
  <c r="W18" i="2"/>
  <c r="W16" i="2"/>
  <c r="W20" i="2"/>
  <c r="W17" i="2"/>
  <c r="W22" i="2"/>
  <c r="I27" i="6"/>
  <c r="I19" i="6"/>
  <c r="I35" i="6"/>
  <c r="V10" i="2"/>
  <c r="V11" i="2"/>
  <c r="V9" i="2"/>
  <c r="O169" i="6"/>
  <c r="O153" i="6"/>
  <c r="N15" i="7" s="1"/>
  <c r="W32" i="2"/>
  <c r="W35" i="2"/>
  <c r="W33" i="2"/>
  <c r="W36" i="2"/>
  <c r="I117" i="6"/>
  <c r="I134" i="6"/>
  <c r="V28" i="2"/>
  <c r="V30" i="2"/>
  <c r="V25" i="2"/>
  <c r="V29" i="2"/>
  <c r="V26" i="2"/>
  <c r="V24" i="2"/>
  <c r="D189" i="6"/>
  <c r="H132" i="5"/>
  <c r="E42" i="2"/>
  <c r="F42" i="2" s="1"/>
  <c r="I114" i="5"/>
  <c r="K114" i="5" s="1"/>
  <c r="L114" i="5" s="1"/>
  <c r="L76" i="4"/>
  <c r="K84" i="4"/>
  <c r="O134" i="6"/>
  <c r="O117" i="6"/>
  <c r="N14" i="7" s="1"/>
  <c r="W29" i="2"/>
  <c r="W24" i="2"/>
  <c r="W26" i="2"/>
  <c r="W25" i="2"/>
  <c r="W30" i="2"/>
  <c r="W28" i="2"/>
  <c r="G113" i="6"/>
  <c r="G116" i="6" s="1"/>
  <c r="M113" i="6"/>
  <c r="M116" i="6" s="1"/>
  <c r="I14" i="7" l="1"/>
  <c r="K49" i="5"/>
  <c r="I52" i="5"/>
  <c r="I54" i="5" s="1"/>
  <c r="D25" i="6"/>
  <c r="G17" i="6"/>
  <c r="G18" i="6" s="1"/>
  <c r="M17" i="6"/>
  <c r="M18" i="6" s="1"/>
  <c r="M186" i="6"/>
  <c r="G186" i="6"/>
  <c r="L81" i="5"/>
  <c r="K83" i="5"/>
  <c r="L83" i="5" s="1"/>
  <c r="D203" i="6"/>
  <c r="E45" i="2"/>
  <c r="F45" i="2" s="1"/>
  <c r="I128" i="5"/>
  <c r="D206" i="6"/>
  <c r="E48" i="2"/>
  <c r="F48" i="2" s="1"/>
  <c r="I131" i="5"/>
  <c r="M128" i="6"/>
  <c r="M131" i="6" s="1"/>
  <c r="M133" i="6" s="1"/>
  <c r="M103" i="6" s="1"/>
  <c r="L14" i="7" s="1"/>
  <c r="G128" i="6"/>
  <c r="G131" i="6" s="1"/>
  <c r="G133" i="6" s="1"/>
  <c r="I23" i="5"/>
  <c r="K86" i="4"/>
  <c r="L86" i="4" s="1"/>
  <c r="L84" i="4"/>
  <c r="D207" i="6"/>
  <c r="E49" i="2"/>
  <c r="F49" i="2" s="1"/>
  <c r="I132" i="5"/>
  <c r="N11" i="7"/>
  <c r="D205" i="6"/>
  <c r="E47" i="2"/>
  <c r="F47" i="2" s="1"/>
  <c r="I130" i="5"/>
  <c r="K33" i="5"/>
  <c r="I36" i="5"/>
  <c r="I38" i="5" s="1"/>
  <c r="K13" i="3"/>
  <c r="I14" i="3"/>
  <c r="D15" i="7"/>
  <c r="O61" i="5"/>
  <c r="I12" i="7"/>
  <c r="L18" i="5"/>
  <c r="K21" i="5"/>
  <c r="I13" i="7"/>
  <c r="M185" i="6"/>
  <c r="G185" i="6"/>
  <c r="M188" i="6"/>
  <c r="G188" i="6"/>
  <c r="D204" i="6"/>
  <c r="E46" i="2"/>
  <c r="F46" i="2" s="1"/>
  <c r="I129" i="5"/>
  <c r="M189" i="6"/>
  <c r="G189" i="6"/>
  <c r="I11" i="7"/>
  <c r="N13" i="7"/>
  <c r="M187" i="6"/>
  <c r="G187" i="6"/>
  <c r="E10" i="2"/>
  <c r="F10" i="2" s="1"/>
  <c r="I21" i="3"/>
  <c r="L94" i="5"/>
  <c r="K96" i="5"/>
  <c r="K110" i="5"/>
  <c r="L110" i="5" s="1"/>
  <c r="I116" i="5"/>
  <c r="K98" i="5" l="1"/>
  <c r="L98" i="5" s="1"/>
  <c r="L96" i="5"/>
  <c r="G191" i="6"/>
  <c r="G204" i="6"/>
  <c r="M204" i="6"/>
  <c r="I149" i="5"/>
  <c r="K149" i="5" s="1"/>
  <c r="L149" i="5" s="1"/>
  <c r="K130" i="5"/>
  <c r="L130" i="5" s="1"/>
  <c r="K128" i="5"/>
  <c r="I147" i="5"/>
  <c r="I134" i="5"/>
  <c r="I136" i="5" s="1"/>
  <c r="L13" i="3"/>
  <c r="K14" i="3"/>
  <c r="I150" i="5"/>
  <c r="K150" i="5" s="1"/>
  <c r="L150" i="5" s="1"/>
  <c r="K131" i="5"/>
  <c r="L131" i="5" s="1"/>
  <c r="M12" i="6"/>
  <c r="I16" i="3"/>
  <c r="K132" i="5"/>
  <c r="L132" i="5" s="1"/>
  <c r="I151" i="5"/>
  <c r="K151" i="5" s="1"/>
  <c r="L151" i="5" s="1"/>
  <c r="M191" i="6"/>
  <c r="K116" i="5"/>
  <c r="I118" i="5"/>
  <c r="K21" i="3"/>
  <c r="I22" i="3"/>
  <c r="I24" i="3" s="1"/>
  <c r="I148" i="5"/>
  <c r="K148" i="5" s="1"/>
  <c r="L148" i="5" s="1"/>
  <c r="K129" i="5"/>
  <c r="L129" i="5" s="1"/>
  <c r="G205" i="6"/>
  <c r="M205" i="6"/>
  <c r="M207" i="6"/>
  <c r="G207" i="6"/>
  <c r="I161" i="5"/>
  <c r="G203" i="6"/>
  <c r="M203" i="6"/>
  <c r="D14" i="7"/>
  <c r="O14" i="5"/>
  <c r="L21" i="5"/>
  <c r="K23" i="5"/>
  <c r="L23" i="5" s="1"/>
  <c r="L33" i="5"/>
  <c r="K36" i="5"/>
  <c r="G206" i="6"/>
  <c r="M206" i="6"/>
  <c r="G103" i="6"/>
  <c r="G14" i="7" s="1"/>
  <c r="M25" i="6"/>
  <c r="M26" i="6" s="1"/>
  <c r="G25" i="6"/>
  <c r="G26" i="6" s="1"/>
  <c r="L49" i="5"/>
  <c r="K52" i="5"/>
  <c r="K161" i="5" l="1"/>
  <c r="L11" i="7"/>
  <c r="L36" i="5"/>
  <c r="K38" i="5"/>
  <c r="L38" i="5" s="1"/>
  <c r="I163" i="5"/>
  <c r="K163" i="5" s="1"/>
  <c r="L163" i="5" s="1"/>
  <c r="M209" i="6"/>
  <c r="M211" i="6" s="1"/>
  <c r="L21" i="3"/>
  <c r="K22" i="3"/>
  <c r="I174" i="6"/>
  <c r="I175" i="6" s="1"/>
  <c r="L128" i="5"/>
  <c r="K134" i="5"/>
  <c r="L52" i="5"/>
  <c r="K54" i="5"/>
  <c r="L54" i="5" s="1"/>
  <c r="K118" i="5"/>
  <c r="L118" i="5" s="1"/>
  <c r="L116" i="5"/>
  <c r="I37" i="3"/>
  <c r="K16" i="3"/>
  <c r="L16" i="3" s="1"/>
  <c r="L14" i="3"/>
  <c r="K147" i="5"/>
  <c r="I153" i="5"/>
  <c r="I155" i="5" s="1"/>
  <c r="G12" i="6"/>
  <c r="G209" i="6"/>
  <c r="G211" i="6" s="1"/>
  <c r="O174" i="6"/>
  <c r="O175" i="6" s="1"/>
  <c r="G175" i="6"/>
  <c r="G16" i="7" s="1"/>
  <c r="I190" i="6" l="1"/>
  <c r="I208" i="6"/>
  <c r="V50" i="2" s="1"/>
  <c r="G11" i="7"/>
  <c r="G18" i="7" s="1"/>
  <c r="G232" i="6"/>
  <c r="D16" i="7"/>
  <c r="O106" i="5"/>
  <c r="D11" i="7"/>
  <c r="D18" i="7" s="1"/>
  <c r="N14" i="3"/>
  <c r="K37" i="3"/>
  <c r="L37" i="3" s="1"/>
  <c r="O190" i="6"/>
  <c r="O208" i="6"/>
  <c r="W50" i="2" s="1"/>
  <c r="L147" i="5"/>
  <c r="K153" i="5"/>
  <c r="K136" i="5"/>
  <c r="L136" i="5" s="1"/>
  <c r="L134" i="5"/>
  <c r="M175" i="6"/>
  <c r="L161" i="5"/>
  <c r="K164" i="5"/>
  <c r="L164" i="5" s="1"/>
  <c r="K24" i="3"/>
  <c r="L24" i="3" s="1"/>
  <c r="L22" i="3"/>
  <c r="I167" i="5"/>
  <c r="I164" i="5"/>
  <c r="K155" i="5" l="1"/>
  <c r="L155" i="5" s="1"/>
  <c r="L153" i="5"/>
  <c r="G21" i="7"/>
  <c r="G22" i="7" s="1"/>
  <c r="I169" i="5"/>
  <c r="I174" i="5" s="1"/>
  <c r="K167" i="5"/>
  <c r="W43" i="2"/>
  <c r="O176" i="6"/>
  <c r="L16" i="7"/>
  <c r="L18" i="7" s="1"/>
  <c r="M232" i="6"/>
  <c r="V43" i="2"/>
  <c r="I176" i="6"/>
  <c r="I185" i="6" l="1"/>
  <c r="I186" i="6"/>
  <c r="V39" i="2" s="1"/>
  <c r="I187" i="6"/>
  <c r="V40" i="2" s="1"/>
  <c r="I188" i="6"/>
  <c r="V41" i="2" s="1"/>
  <c r="I189" i="6"/>
  <c r="V42" i="2" s="1"/>
  <c r="I203" i="6"/>
  <c r="I207" i="6"/>
  <c r="V49" i="2" s="1"/>
  <c r="I206" i="6"/>
  <c r="V48" i="2" s="1"/>
  <c r="I204" i="6"/>
  <c r="V46" i="2" s="1"/>
  <c r="I205" i="6"/>
  <c r="V47" i="2" s="1"/>
  <c r="O187" i="6"/>
  <c r="W40" i="2" s="1"/>
  <c r="O186" i="6"/>
  <c r="W39" i="2" s="1"/>
  <c r="O189" i="6"/>
  <c r="W42" i="2" s="1"/>
  <c r="O188" i="6"/>
  <c r="W41" i="2" s="1"/>
  <c r="O185" i="6"/>
  <c r="O204" i="6"/>
  <c r="W46" i="2" s="1"/>
  <c r="O203" i="6"/>
  <c r="O206" i="6"/>
  <c r="W48" i="2" s="1"/>
  <c r="O207" i="6"/>
  <c r="W49" i="2" s="1"/>
  <c r="O205" i="6"/>
  <c r="W47" i="2" s="1"/>
  <c r="C69" i="1"/>
  <c r="C70" i="1" s="1"/>
  <c r="H26" i="7"/>
  <c r="K169" i="5"/>
  <c r="L167" i="5"/>
  <c r="L21" i="7"/>
  <c r="L22" i="7" s="1"/>
  <c r="L169" i="5" l="1"/>
  <c r="K174" i="5"/>
  <c r="O192" i="6"/>
  <c r="N16" i="7" s="1"/>
  <c r="N18" i="7" s="1"/>
  <c r="N36" i="7" s="1"/>
  <c r="N37" i="7" s="1"/>
  <c r="W38" i="2"/>
  <c r="C73" i="1"/>
  <c r="C74" i="1" s="1"/>
  <c r="M26" i="7"/>
  <c r="I212" i="6"/>
  <c r="V45" i="2"/>
  <c r="H35" i="7"/>
  <c r="J70" i="1"/>
  <c r="H138" i="6" s="1"/>
  <c r="F70" i="1"/>
  <c r="H10" i="6" s="1"/>
  <c r="H70" i="1"/>
  <c r="H63" i="6" s="1"/>
  <c r="K70" i="1"/>
  <c r="H173" i="6" s="1"/>
  <c r="I70" i="1"/>
  <c r="H101" i="6" s="1"/>
  <c r="G70" i="1"/>
  <c r="H39" i="6" s="1"/>
  <c r="W45" i="2"/>
  <c r="O212" i="6"/>
  <c r="V38" i="2"/>
  <c r="I192" i="6"/>
  <c r="I16" i="7" s="1"/>
  <c r="I18" i="7" s="1"/>
  <c r="I36" i="7" s="1"/>
  <c r="I37" i="7" s="1"/>
  <c r="H40" i="6" l="1"/>
  <c r="H220" i="6"/>
  <c r="D70" i="1"/>
  <c r="H102" i="6"/>
  <c r="H222" i="6"/>
  <c r="H139" i="6"/>
  <c r="H223" i="6"/>
  <c r="H64" i="6"/>
  <c r="H221" i="6"/>
  <c r="H219" i="6"/>
  <c r="H11" i="6"/>
  <c r="H174" i="6"/>
  <c r="H175" i="6" s="1"/>
  <c r="H224" i="6"/>
  <c r="M35" i="7"/>
  <c r="K74" i="1"/>
  <c r="N173" i="6" s="1"/>
  <c r="G74" i="1"/>
  <c r="N39" i="6" s="1"/>
  <c r="I74" i="1"/>
  <c r="N101" i="6" s="1"/>
  <c r="D74" i="1"/>
  <c r="J74" i="1"/>
  <c r="N138" i="6" s="1"/>
  <c r="H74" i="1"/>
  <c r="N63" i="6" s="1"/>
  <c r="F74" i="1"/>
  <c r="N10" i="6" s="1"/>
  <c r="H134" i="6" l="1"/>
  <c r="I135" i="6" s="1"/>
  <c r="I247" i="6" s="1"/>
  <c r="H117" i="6"/>
  <c r="S30" i="2"/>
  <c r="S25" i="2"/>
  <c r="S28" i="2"/>
  <c r="S26" i="2"/>
  <c r="S24" i="2"/>
  <c r="S29" i="2"/>
  <c r="H226" i="6"/>
  <c r="H169" i="6"/>
  <c r="I170" i="6" s="1"/>
  <c r="I249" i="6" s="1"/>
  <c r="H153" i="6"/>
  <c r="S33" i="2"/>
  <c r="S36" i="2"/>
  <c r="S32" i="2"/>
  <c r="S35" i="2"/>
  <c r="H97" i="6"/>
  <c r="I98" i="6" s="1"/>
  <c r="I245" i="6" s="1"/>
  <c r="H80" i="6"/>
  <c r="S22" i="2"/>
  <c r="S20" i="2"/>
  <c r="S17" i="2"/>
  <c r="S21" i="2"/>
  <c r="S18" i="2"/>
  <c r="S16" i="2"/>
  <c r="N219" i="6"/>
  <c r="N11" i="6"/>
  <c r="N102" i="6"/>
  <c r="N222" i="6"/>
  <c r="H35" i="6"/>
  <c r="I36" i="6" s="1"/>
  <c r="I241" i="6" s="1"/>
  <c r="H19" i="6"/>
  <c r="H27" i="6"/>
  <c r="I28" i="6" s="1"/>
  <c r="I240" i="6" s="1"/>
  <c r="S9" i="2"/>
  <c r="S11" i="2"/>
  <c r="S10" i="2"/>
  <c r="N64" i="6"/>
  <c r="N221" i="6"/>
  <c r="N40" i="6"/>
  <c r="N220" i="6"/>
  <c r="N139" i="6"/>
  <c r="N223" i="6"/>
  <c r="N174" i="6"/>
  <c r="N175" i="6" s="1"/>
  <c r="N224" i="6"/>
  <c r="H190" i="6"/>
  <c r="H208" i="6"/>
  <c r="S50" i="2" s="1"/>
  <c r="H59" i="6"/>
  <c r="I60" i="6" s="1"/>
  <c r="I243" i="6" s="1"/>
  <c r="S14" i="2"/>
  <c r="S13" i="2"/>
  <c r="H49" i="6"/>
  <c r="N169" i="6" l="1"/>
  <c r="O170" i="6" s="1"/>
  <c r="O249" i="6" s="1"/>
  <c r="N153" i="6"/>
  <c r="T35" i="2"/>
  <c r="T32" i="2"/>
  <c r="T33" i="2"/>
  <c r="T36" i="2"/>
  <c r="N80" i="6"/>
  <c r="T16" i="2"/>
  <c r="N97" i="6"/>
  <c r="O98" i="6" s="1"/>
  <c r="O245" i="6" s="1"/>
  <c r="T21" i="2"/>
  <c r="T18" i="2"/>
  <c r="T22" i="2"/>
  <c r="T20" i="2"/>
  <c r="T17" i="2"/>
  <c r="S43" i="2"/>
  <c r="H176" i="6"/>
  <c r="H14" i="7"/>
  <c r="I118" i="6"/>
  <c r="I246" i="6" s="1"/>
  <c r="N117" i="6"/>
  <c r="N134" i="6"/>
  <c r="O135" i="6" s="1"/>
  <c r="O247" i="6" s="1"/>
  <c r="T26" i="2"/>
  <c r="T29" i="2"/>
  <c r="T24" i="2"/>
  <c r="T25" i="2"/>
  <c r="T30" i="2"/>
  <c r="T28" i="2"/>
  <c r="H15" i="7"/>
  <c r="I154" i="6"/>
  <c r="I248" i="6" s="1"/>
  <c r="H11" i="7"/>
  <c r="I20" i="6"/>
  <c r="I239" i="6" s="1"/>
  <c r="N27" i="6"/>
  <c r="O28" i="6" s="1"/>
  <c r="O240" i="6" s="1"/>
  <c r="N19" i="6"/>
  <c r="N35" i="6"/>
  <c r="O36" i="6" s="1"/>
  <c r="O241" i="6" s="1"/>
  <c r="T10" i="2"/>
  <c r="T9" i="2"/>
  <c r="T11" i="2"/>
  <c r="H13" i="7"/>
  <c r="I81" i="6"/>
  <c r="I244" i="6" s="1"/>
  <c r="H12" i="7"/>
  <c r="I50" i="6"/>
  <c r="I242" i="6" s="1"/>
  <c r="N190" i="6"/>
  <c r="N208" i="6"/>
  <c r="T50" i="2" s="1"/>
  <c r="N49" i="6"/>
  <c r="N59" i="6"/>
  <c r="O60" i="6" s="1"/>
  <c r="O243" i="6" s="1"/>
  <c r="T14" i="2"/>
  <c r="T13" i="2"/>
  <c r="N226" i="6"/>
  <c r="M14" i="7" l="1"/>
  <c r="O118" i="6"/>
  <c r="O246" i="6" s="1"/>
  <c r="M13" i="7"/>
  <c r="O81" i="6"/>
  <c r="O244" i="6" s="1"/>
  <c r="M11" i="7"/>
  <c r="O20" i="6"/>
  <c r="O239" i="6" s="1"/>
  <c r="H186" i="6"/>
  <c r="S39" i="2" s="1"/>
  <c r="H187" i="6"/>
  <c r="S40" i="2" s="1"/>
  <c r="H188" i="6"/>
  <c r="S41" i="2" s="1"/>
  <c r="H189" i="6"/>
  <c r="S42" i="2" s="1"/>
  <c r="H185" i="6"/>
  <c r="H207" i="6"/>
  <c r="S49" i="2" s="1"/>
  <c r="H205" i="6"/>
  <c r="S47" i="2" s="1"/>
  <c r="H206" i="6"/>
  <c r="S48" i="2" s="1"/>
  <c r="H204" i="6"/>
  <c r="S46" i="2" s="1"/>
  <c r="H203" i="6"/>
  <c r="M12" i="7"/>
  <c r="O50" i="6"/>
  <c r="O242" i="6" s="1"/>
  <c r="M15" i="7"/>
  <c r="O154" i="6"/>
  <c r="O248" i="6" s="1"/>
  <c r="T43" i="2"/>
  <c r="N176" i="6"/>
  <c r="S45" i="2" l="1"/>
  <c r="H212" i="6"/>
  <c r="I213" i="6" s="1"/>
  <c r="I251" i="6" s="1"/>
  <c r="N189" i="6"/>
  <c r="T42" i="2" s="1"/>
  <c r="N186" i="6"/>
  <c r="T39" i="2" s="1"/>
  <c r="N187" i="6"/>
  <c r="T40" i="2" s="1"/>
  <c r="N188" i="6"/>
  <c r="T41" i="2" s="1"/>
  <c r="N185" i="6"/>
  <c r="N205" i="6"/>
  <c r="T47" i="2" s="1"/>
  <c r="N203" i="6"/>
  <c r="N206" i="6"/>
  <c r="T48" i="2" s="1"/>
  <c r="N207" i="6"/>
  <c r="T49" i="2" s="1"/>
  <c r="N204" i="6"/>
  <c r="T46" i="2" s="1"/>
  <c r="H192" i="6"/>
  <c r="S38" i="2"/>
  <c r="N192" i="6" l="1"/>
  <c r="T38" i="2"/>
  <c r="H16" i="7"/>
  <c r="H18" i="7" s="1"/>
  <c r="I193" i="6"/>
  <c r="I250" i="6" s="1"/>
  <c r="I253" i="6" s="1"/>
  <c r="T45" i="2"/>
  <c r="N212" i="6"/>
  <c r="O213" i="6" s="1"/>
  <c r="O251" i="6" s="1"/>
  <c r="H36" i="7" l="1"/>
  <c r="H37" i="7" s="1"/>
  <c r="I30" i="7"/>
  <c r="M16" i="7"/>
  <c r="M18" i="7" s="1"/>
  <c r="O193" i="6"/>
  <c r="O250" i="6" s="1"/>
  <c r="O253" i="6" s="1"/>
  <c r="M36" i="7" l="1"/>
  <c r="M37" i="7" s="1"/>
  <c r="N30" i="7"/>
  <c r="I255" i="6"/>
  <c r="I256" i="6" s="1"/>
  <c r="I31" i="7"/>
  <c r="O255" i="6" l="1"/>
  <c r="O256" i="6" s="1"/>
  <c r="N31" i="7"/>
</calcChain>
</file>

<file path=xl/sharedStrings.xml><?xml version="1.0" encoding="utf-8"?>
<sst xmlns="http://schemas.openxmlformats.org/spreadsheetml/2006/main" count="954" uniqueCount="265">
  <si>
    <t>Rate Spread and Schedule 141R and 141N Allocation</t>
  </si>
  <si>
    <t>Line No.</t>
  </si>
  <si>
    <t>Description</t>
  </si>
  <si>
    <t>Total</t>
  </si>
  <si>
    <t>Total Check</t>
  </si>
  <si>
    <t>Residential (16,23,53)</t>
  </si>
  <si>
    <t>Comm. &amp; Indus. (31,31T)</t>
  </si>
  <si>
    <t>Large Volume (41,41T)</t>
  </si>
  <si>
    <t>Interruptible (85, 85T)</t>
  </si>
  <si>
    <t>Limited Interruptible (86, 86T)</t>
  </si>
  <si>
    <t>Non-Exclusive Interruptible (87, 87T)</t>
  </si>
  <si>
    <t>Contracts</t>
  </si>
  <si>
    <t>Total Rate Base</t>
  </si>
  <si>
    <t>Gas Service Revenue - Sales</t>
  </si>
  <si>
    <t>Gas Service Revenue - Transport</t>
  </si>
  <si>
    <t>Other Revenues</t>
  </si>
  <si>
    <t>Total Revenue</t>
  </si>
  <si>
    <t>Revenue to Cost Ratio Under Current Rates</t>
  </si>
  <si>
    <t xml:space="preserve">Parity Ratio </t>
  </si>
  <si>
    <t>Scenario A: Revenues at Equalized Rates of Return</t>
  </si>
  <si>
    <t>Margin Increase/(Decrease)</t>
  </si>
  <si>
    <t>Total Rate Margin at Equalized Rates of Return</t>
  </si>
  <si>
    <t>Miscellaneous Revenue Margin</t>
  </si>
  <si>
    <t>Margin Revenue at Equalized Rates of Return</t>
  </si>
  <si>
    <t>Percent Increase</t>
  </si>
  <si>
    <t xml:space="preserve">Current Parity Ratio </t>
  </si>
  <si>
    <t>Current Total Margin Excluding Contracts</t>
  </si>
  <si>
    <t>Scenario B: Equal Percentage Increase</t>
  </si>
  <si>
    <t>Total Rate Margin</t>
  </si>
  <si>
    <t>Total Margin at Equal Percentage Increase</t>
  </si>
  <si>
    <t>Percent Increase xcld. Contracts</t>
  </si>
  <si>
    <t>Proposed Scenario C: Moderated based on Current Parity Ratio</t>
  </si>
  <si>
    <t>Targeted Multiple of System Increase</t>
  </si>
  <si>
    <t>Targeted Percent Increase</t>
  </si>
  <si>
    <t>Targeted Revenue Increase</t>
  </si>
  <si>
    <t>Delta</t>
  </si>
  <si>
    <t>Allocation of Delta</t>
  </si>
  <si>
    <t>Multiple of System Increase</t>
  </si>
  <si>
    <t xml:space="preserve">Proposed Parity Ratio </t>
  </si>
  <si>
    <t>Current Parity Ratio</t>
  </si>
  <si>
    <t>Settlement (See Note 2):</t>
  </si>
  <si>
    <t>Margin Increase:  Average of Scenario's B &amp; C</t>
  </si>
  <si>
    <t>Total Margin</t>
  </si>
  <si>
    <t xml:space="preserve">Percent Increase </t>
  </si>
  <si>
    <t>Proposed Parity Ratio</t>
  </si>
  <si>
    <t>Schedule 141R and 141N</t>
  </si>
  <si>
    <t>Base Deficiency Allocation</t>
  </si>
  <si>
    <t>Base Deficiency %</t>
  </si>
  <si>
    <t>Non-Refundable</t>
  </si>
  <si>
    <t xml:space="preserve">MYRP 2023 Sch. 141N </t>
  </si>
  <si>
    <t>Margin Adj. for Load</t>
  </si>
  <si>
    <t>MYRP 2023 Sch. 141N  after Adj. for Load</t>
  </si>
  <si>
    <t xml:space="preserve">MYRP 2024 Sch. 141N </t>
  </si>
  <si>
    <t>MYRP 2024 Sch. 141N  after Adj. for Load</t>
  </si>
  <si>
    <t xml:space="preserve">MYRP 2025 Sch. 141N </t>
  </si>
  <si>
    <t>MYRP 2025 Sch. 141N  after Adj. for Load</t>
  </si>
  <si>
    <t>Refundable</t>
  </si>
  <si>
    <t>MYRP 2023 Increase</t>
  </si>
  <si>
    <t>MYRP 2024 Increase</t>
  </si>
  <si>
    <t>MYRP 2025 Increase</t>
  </si>
  <si>
    <t>Note:  Amounts in bold and italics are different from the January 1, 2022 initial filing.</t>
  </si>
  <si>
    <t>Note 2: Rate class allocations of the base revenue deficiency are slightly different than the estimates provided 8-26-22 due to incorporating the pro forma revenue adjustment from the Settlement into the calculation.</t>
  </si>
  <si>
    <t>Summary of Proposed Rate Design</t>
  </si>
  <si>
    <t>Customer Class</t>
  </si>
  <si>
    <t>Rate Schedule</t>
  </si>
  <si>
    <t>Delivery Charge</t>
  </si>
  <si>
    <t>Basic Charge</t>
  </si>
  <si>
    <t>Minimum Bill</t>
  </si>
  <si>
    <t>Procurement Charge</t>
  </si>
  <si>
    <t>Demand Change</t>
  </si>
  <si>
    <t>Schedule 141N</t>
  </si>
  <si>
    <t>Schedule 141R</t>
  </si>
  <si>
    <t>Current</t>
  </si>
  <si>
    <t>Proposed</t>
  </si>
  <si>
    <t>% Change</t>
  </si>
  <si>
    <t>2023 Proposed</t>
  </si>
  <si>
    <t>2024 Proposed</t>
  </si>
  <si>
    <t>2025 Proposed</t>
  </si>
  <si>
    <t>Residential</t>
  </si>
  <si>
    <t>Schedule 23</t>
  </si>
  <si>
    <t>Per therm</t>
  </si>
  <si>
    <t>na</t>
  </si>
  <si>
    <t>Schedule 53</t>
  </si>
  <si>
    <t>Schedule 16</t>
  </si>
  <si>
    <t>Per Mantel</t>
  </si>
  <si>
    <t>Commercial &amp; Industrial</t>
  </si>
  <si>
    <t>Schedule 31 - Sales</t>
  </si>
  <si>
    <t>Schedule 31 - Transportation</t>
  </si>
  <si>
    <t>Large Volume</t>
  </si>
  <si>
    <t>Schedule 41 - Sales</t>
  </si>
  <si>
    <t>First 900 therms</t>
  </si>
  <si>
    <t>Next 4,100 therms</t>
  </si>
  <si>
    <t>All over 5,000 therms</t>
  </si>
  <si>
    <t>Schedule 41 - Transportation</t>
  </si>
  <si>
    <t>Interruptible</t>
  </si>
  <si>
    <t>Schedule 85 - Sales</t>
  </si>
  <si>
    <t>First 25,000 Therms</t>
  </si>
  <si>
    <t>Next 25,000 Therms</t>
  </si>
  <si>
    <t>All over 50,000 Therms</t>
  </si>
  <si>
    <t>Schedule 85 - Transportation</t>
  </si>
  <si>
    <t>Limited Interruptible</t>
  </si>
  <si>
    <t>Schedule 86 - Sales</t>
  </si>
  <si>
    <t>First 1,000 therms</t>
  </si>
  <si>
    <t>All over 1,000 therms</t>
  </si>
  <si>
    <t>Schedule 86 - Transportation</t>
  </si>
  <si>
    <t>Non-Exclusive Interruptible</t>
  </si>
  <si>
    <t>Schedule 87 - Sales</t>
  </si>
  <si>
    <t>Next 50,000 Therms</t>
  </si>
  <si>
    <t>Next 100,000 therms</t>
  </si>
  <si>
    <t>Next 300,000 therms</t>
  </si>
  <si>
    <t>All over 500,000 therms</t>
  </si>
  <si>
    <t>Schedule 87 - Transportation</t>
  </si>
  <si>
    <t>Current and Proposed Rates by Rate Schedule (Schedules 16, 23 &amp; 53)</t>
  </si>
  <si>
    <t xml:space="preserve">Billing </t>
  </si>
  <si>
    <t>Current Base Rates</t>
  </si>
  <si>
    <t>Proposed Base Rates</t>
  </si>
  <si>
    <t xml:space="preserve">Difference </t>
  </si>
  <si>
    <t>Target</t>
  </si>
  <si>
    <t>Units</t>
  </si>
  <si>
    <t>Determinants</t>
  </si>
  <si>
    <t>Rates</t>
  </si>
  <si>
    <t>Revenues</t>
  </si>
  <si>
    <t>$</t>
  </si>
  <si>
    <t>%</t>
  </si>
  <si>
    <t>Increase</t>
  </si>
  <si>
    <t>TARGET</t>
  </si>
  <si>
    <t>Bills</t>
  </si>
  <si>
    <t>Therms</t>
  </si>
  <si>
    <t>over (under)</t>
  </si>
  <si>
    <t>Total Base Revenues</t>
  </si>
  <si>
    <t>Total Delivery Charges</t>
  </si>
  <si>
    <t>Total Delivery Charge</t>
  </si>
  <si>
    <t>Mantles</t>
  </si>
  <si>
    <t>Calculated Total Therms</t>
  </si>
  <si>
    <t>Residential Summary</t>
  </si>
  <si>
    <t>Change</t>
  </si>
  <si>
    <t>Total Residential Base Revenues</t>
  </si>
  <si>
    <t>Check</t>
  </si>
  <si>
    <t>Backup</t>
  </si>
  <si>
    <t>Current and Proposed Rates by Rate Schedule (Schedules 31, 31T, 41 &amp; 41T)</t>
  </si>
  <si>
    <t>TARGET 31/31T</t>
  </si>
  <si>
    <t>Schedule 31 - Total</t>
  </si>
  <si>
    <t>TARGET 41/41T</t>
  </si>
  <si>
    <t>Demand Charge</t>
  </si>
  <si>
    <t>Demand</t>
  </si>
  <si>
    <t>Delivery Charge:</t>
  </si>
  <si>
    <t>in minimum bills</t>
  </si>
  <si>
    <t>Total Volume</t>
  </si>
  <si>
    <t>Schedule 41 - Total</t>
  </si>
  <si>
    <t>Commercial &amp; Industrial Summary</t>
  </si>
  <si>
    <t>Schedules 31, 31T</t>
  </si>
  <si>
    <t>Schedule 41, 41T</t>
  </si>
  <si>
    <t>Current and Proposed Rates by Rate Schedule (Schedules 85, 85T, 86, 86T, 87 &amp; 87T)</t>
  </si>
  <si>
    <t>TARGET 85/85T</t>
  </si>
  <si>
    <t>Minimum Bills</t>
  </si>
  <si>
    <t>Schedule 85 - Total</t>
  </si>
  <si>
    <t>TARGET 86/86T</t>
  </si>
  <si>
    <t>Schedule 86 - Total</t>
  </si>
  <si>
    <t>TARGET 87/87T</t>
  </si>
  <si>
    <t xml:space="preserve"> </t>
  </si>
  <si>
    <t>Schedule 87 - Total</t>
  </si>
  <si>
    <t>Interruptible Summary</t>
  </si>
  <si>
    <t>Schedules 85, 85T</t>
  </si>
  <si>
    <t>Schedules 86, 86T</t>
  </si>
  <si>
    <t>Schedules 87, 87T</t>
  </si>
  <si>
    <t>Total Summary</t>
  </si>
  <si>
    <t>Plus Contracts</t>
  </si>
  <si>
    <t>Grand Total</t>
  </si>
  <si>
    <t>(1) Schedule 101 rates in effective November 1, 2018</t>
  </si>
  <si>
    <t>Multi-Year Rates by Rate Schedule</t>
  </si>
  <si>
    <t>Proposed 2023 Rates</t>
  </si>
  <si>
    <t>Proposed 2024 Rates</t>
  </si>
  <si>
    <t>Proposed 2025 Rates</t>
  </si>
  <si>
    <t>Current Rates</t>
  </si>
  <si>
    <t>Proposed Rates</t>
  </si>
  <si>
    <t>Billing Determinants</t>
  </si>
  <si>
    <t>Proforma $</t>
  </si>
  <si>
    <t>Proposed Revenues</t>
  </si>
  <si>
    <t>Sch 141N</t>
  </si>
  <si>
    <t>Sch 141R</t>
  </si>
  <si>
    <t>Multi-Year Rates (Schedules 16, 23 &amp; 53)</t>
  </si>
  <si>
    <t>141N/R Rate</t>
  </si>
  <si>
    <t>Subtotal Base Revenue</t>
  </si>
  <si>
    <t>Schedule 141R/N Revenue</t>
  </si>
  <si>
    <t>Multi-Year Rates (Schedules 31 &amp; 31T)</t>
  </si>
  <si>
    <t>Multi-Year Rates (Schedules 41 &amp; 41T)</t>
  </si>
  <si>
    <t>Multi-Year Rates (Schedules 85 &amp; 85T)</t>
  </si>
  <si>
    <t>Total Revenues</t>
  </si>
  <si>
    <t>Multi-Year Rates (Schedules 86 &amp; 86T)</t>
  </si>
  <si>
    <t>Multi-Year Rates (Schedules 87 &amp; 87T)</t>
  </si>
  <si>
    <t>% Margin</t>
  </si>
  <si>
    <t>Pro-forma therms</t>
  </si>
  <si>
    <t>Pro-forma revenues</t>
  </si>
  <si>
    <t>Total Schedule 23</t>
  </si>
  <si>
    <t>Total Schedule 53</t>
  </si>
  <si>
    <t>Total Schedule 16</t>
  </si>
  <si>
    <t>Total Schedule 31 - Sales</t>
  </si>
  <si>
    <t>Total Schedule 31 - Transportation</t>
  </si>
  <si>
    <t>Total Schedule 41 - Sales</t>
  </si>
  <si>
    <t>Total Schedule 41 - Transportation</t>
  </si>
  <si>
    <t>Total Schedule 85 - Sales</t>
  </si>
  <si>
    <t>Total Schedule 85 - Transportation</t>
  </si>
  <si>
    <t>Total Schedule 86 - Sales</t>
  </si>
  <si>
    <t>Total Schedule 86 - Transportation</t>
  </si>
  <si>
    <t>Total Schedule 87 - Sales</t>
  </si>
  <si>
    <t>Total Schedule 87 - Transportation</t>
  </si>
  <si>
    <t>Tie out</t>
  </si>
  <si>
    <t>Multi-Year Rate Projected Revenues</t>
  </si>
  <si>
    <t>YE 2021</t>
  </si>
  <si>
    <t xml:space="preserve">Proforma
Base 
</t>
  </si>
  <si>
    <t xml:space="preserve">Proposed
Base
</t>
  </si>
  <si>
    <t xml:space="preserve">Sch 141N
</t>
  </si>
  <si>
    <t xml:space="preserve">Sch 141R
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</si>
  <si>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</si>
  <si>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</si>
  <si>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</si>
  <si>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</si>
  <si>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</si>
  <si>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</si>
  <si>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</si>
  <si>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</si>
  <si>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</si>
  <si>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</si>
  <si>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</si>
  <si>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</si>
  <si>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</si>
  <si>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</si>
  <si>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</si>
  <si>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Proforma Base - load adjusted</t>
  </si>
  <si>
    <t>Proposed Base</t>
  </si>
  <si>
    <t>Sch 141 N (Non-refundable) Annual</t>
  </si>
  <si>
    <t>Sch 141 N (Non-refundable) Rolling</t>
  </si>
  <si>
    <t>Sch 141 N (Non-refundable) Adjusted</t>
  </si>
  <si>
    <t>Revenue Requirement (source)</t>
  </si>
  <si>
    <t>Revenue Requirement Modeled</t>
  </si>
  <si>
    <t>Rate Rounding Variance</t>
  </si>
  <si>
    <t>141 Totals</t>
  </si>
  <si>
    <t>141 Totals Modeled</t>
  </si>
  <si>
    <t>141 Rate Rounding Variance</t>
  </si>
  <si>
    <t>Current and Proposed Balancing Rates</t>
  </si>
  <si>
    <t>Current Rate</t>
  </si>
  <si>
    <t>Proposed Rate</t>
  </si>
  <si>
    <t>Rate</t>
  </si>
  <si>
    <t>Gas Balancing Service Charge</t>
  </si>
  <si>
    <t>Procurement Charge Calculation</t>
  </si>
  <si>
    <t>(a)</t>
  </si>
  <si>
    <t>(b)</t>
  </si>
  <si>
    <t>(c)</t>
  </si>
  <si>
    <t>(d)</t>
  </si>
  <si>
    <t>(e)</t>
  </si>
  <si>
    <t>(f)</t>
  </si>
  <si>
    <t>(g)</t>
  </si>
  <si>
    <t>Total Gas Supply (Commodity $)</t>
  </si>
  <si>
    <t>Per Therm</t>
  </si>
  <si>
    <t>Total Storage Costs (Demand $)</t>
  </si>
  <si>
    <t>Total Gas Supply &amp; Storage</t>
  </si>
  <si>
    <t>Unit Cost (per therm)</t>
  </si>
  <si>
    <t>Pro Forma Sales Therms</t>
  </si>
  <si>
    <t>Current Procurement Charge</t>
  </si>
  <si>
    <t>Proposed Procurement Charge</t>
  </si>
  <si>
    <t>Percentage Change</t>
  </si>
  <si>
    <t>Puget Sound Energy</t>
  </si>
  <si>
    <t>2022 Gas General Rate Case Filing</t>
  </si>
  <si>
    <t>Gas Rate Spread &amp; Design Work Paper</t>
  </si>
  <si>
    <t>This exhibit, Exh. BDJ-JDT-13, updates the Fourth Exhibit to the Prefiled Direct Testimony of John D. Taylor, Exh. JDT-5, filed on Jan. 31,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</si>
</sst>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5">
    <numFmt numFmtId="5" formatCode="&quot;$&quot;#,##0_);\(&quot;$&quot;#,##0\)"/>
    <numFmt numFmtId="7" formatCode="&quot;$&quot;#,##0.00_);\(&quot;$&quot;#,##0.00\)"/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3" formatCode="_(* #,##0.00_);_(* \(#,##0.00\);_(* &quot;-&quot;??_);_(@_)"/>
    <numFmt numFmtId="164" formatCode="_(&quot;$&quot;* #,##0_);_(&quot;$&quot;* \(#,##0\);_(&quot;$&quot;* &quot;-&quot;??_);_(@_)"/>
    <numFmt numFmtId="165" formatCode="&quot;$&quot;#,##0.0000_);[Red]\(&quot;$&quot;#,##0.0000\)"/>
    <numFmt numFmtId="166" formatCode="0.0%"/>
    <numFmt numFmtId="167" formatCode="&quot;$&quot;#,##0.00000_);[Red]\(&quot;$&quot;#,##0.00000\)"/>
    <numFmt numFmtId="168" formatCode="&quot;$&quot;#,##0.0000000_);[Red]\(&quot;$&quot;#,##0.0000000\)"/>
    <numFmt numFmtId="169" formatCode="&quot;$&quot;#,##0\ ;\(&quot;$&quot;#,##0\)"/>
    <numFmt numFmtId="170" formatCode="&quot;$&quot;#,##0.00\ ;\(&quot;$&quot;#,##0.00\)"/>
    <numFmt numFmtId="171" formatCode="0.000%"/>
    <numFmt numFmtId="172" formatCode="&quot;$&quot;#,##0.00000\ ;\(&quot;$&quot;#,##0.00000\)"/>
    <numFmt numFmtId="173" formatCode="&quot;$&quot;#,##0.00000000_);\(&quot;$&quot;#,##0.00000000\)"/>
    <numFmt numFmtId="174" formatCode="&quot;$&quot;#,##0.0000\ ;\(&quot;$&quot;#,##0.0000\)"/>
    <numFmt numFmtId="175" formatCode="_(* #,##0_);_(* \(#,##0\);_(* &quot;-&quot;??_);_(@_)"/>
    <numFmt numFmtId="176" formatCode="#,##0.0"/>
    <numFmt numFmtId="177" formatCode="_(&quot;$&quot;* #,##0.00000_);_(&quot;$&quot;* \(#,##0.00000\);_(&quot;$&quot;* &quot;-&quot;??_);_(@_)"/>
    <numFmt numFmtId="178" formatCode="&quot;$&quot;#,##0"/>
    <numFmt numFmtId="179" formatCode="0.0000%"/>
    <numFmt numFmtId="180" formatCode="#,##0.00000"/>
    <numFmt numFmtId="181" formatCode="&quot;$&quot;#,##0.00000_);\(&quot;$&quot;#,##0.00000\)"/>
    <numFmt numFmtId="182" formatCode="_(&quot;$&quot;* #,##0.0000_);_(&quot;$&quot;* \(#,##0.0000\);_(&quot;$&quot;* &quot;-&quot;??_);_(@_)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1"/>
      <name val="Calibri"/>
      <family val="2"/>
      <scheme val="minor"/>
    </font>
    <font>
      <b/>
      <u val="singleAccounting"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i/>
      <sz val="11"/>
      <color rgb="FF0000FF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b/>
      <i/>
      <sz val="10"/>
      <color rgb="FF0000FF"/>
      <name val="Arial"/>
      <family val="2"/>
    </font>
    <font>
      <sz val="9"/>
      <name val="Times New Roman"/>
      <family val="1"/>
    </font>
    <font>
      <sz val="10"/>
      <color rgb="FF008080"/>
      <name val="Arial"/>
      <family val="2"/>
    </font>
    <font>
      <sz val="10"/>
      <color rgb="FF0000FF"/>
      <name val="Arial"/>
      <family val="2"/>
    </font>
    <font>
      <sz val="10"/>
      <color theme="1"/>
      <name val="Arial"/>
      <family val="2"/>
    </font>
    <font>
      <sz val="10"/>
      <color indexed="21"/>
      <name val="Arial"/>
      <family val="2"/>
    </font>
    <font>
      <sz val="10"/>
      <color indexed="12"/>
      <name val="Arial"/>
      <family val="2"/>
    </font>
    <font>
      <sz val="10"/>
      <color indexed="10"/>
      <name val="Arial"/>
      <family val="2"/>
    </font>
    <font>
      <b/>
      <sz val="10"/>
      <color theme="9" tint="-0.499984740745262"/>
      <name val="Arial"/>
      <family val="2"/>
    </font>
    <font>
      <sz val="10"/>
      <color theme="9" tint="-0.499984740745262"/>
      <name val="Arial"/>
      <family val="2"/>
    </font>
    <font>
      <b/>
      <sz val="10"/>
      <color theme="0" tint="-0.499984740745262"/>
      <name val="Arial"/>
      <family val="2"/>
    </font>
    <font>
      <sz val="10"/>
      <color theme="0" tint="-0.499984740745262"/>
      <name val="Arial"/>
      <family val="2"/>
    </font>
    <font>
      <sz val="12"/>
      <name val="Calibri"/>
      <family val="2"/>
      <scheme val="minor"/>
    </font>
    <font>
      <sz val="12"/>
      <color theme="9" tint="-0.49998474074526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9" tint="-0.499984740745262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1"/>
      <name val="Calibri"/>
      <family val="2"/>
      <scheme val="minor"/>
    </font>
    <font>
      <sz val="12"/>
      <color theme="0" tint="-0.499984740745262"/>
      <name val="Calibri"/>
      <family val="2"/>
      <scheme val="minor"/>
    </font>
    <font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/>
      <top style="medium">
        <color rgb="FFFF0000"/>
      </top>
      <bottom/>
      <diagonal/>
    </border>
    <border>
      <left/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71">
    <xf numFmtId="0" fontId="0" fillId="0" borderId="0" xfId="0"/>
    <xf numFmtId="0" fontId="3" fillId="0" borderId="0" xfId="0" applyFont="1" applyAlignment="1">
      <alignment horizontal="left"/>
    </xf>
    <xf numFmtId="0" fontId="4" fillId="0" borderId="1" xfId="0" quotePrefix="1" applyFont="1" applyBorder="1" applyAlignment="1">
      <alignment horizontal="center" wrapText="1"/>
    </xf>
    <xf numFmtId="0" fontId="5" fillId="0" borderId="0" xfId="0" applyFont="1"/>
    <xf numFmtId="0" fontId="5" fillId="0" borderId="0" xfId="0" applyFont="1" applyAlignment="1">
      <alignment horizontal="center" wrapText="1"/>
    </xf>
    <xf numFmtId="37" fontId="5" fillId="0" borderId="0" xfId="0" applyNumberFormat="1" applyFont="1" applyAlignment="1">
      <alignment horizontal="center" wrapText="1"/>
    </xf>
    <xf numFmtId="41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164" fontId="0" fillId="0" borderId="0" xfId="0" applyNumberFormat="1" applyFont="1"/>
    <xf numFmtId="41" fontId="2" fillId="0" borderId="0" xfId="0" applyNumberFormat="1" applyFont="1"/>
    <xf numFmtId="164" fontId="2" fillId="0" borderId="0" xfId="0" applyNumberFormat="1" applyFont="1" applyFill="1" applyBorder="1"/>
    <xf numFmtId="0" fontId="0" fillId="0" borderId="0" xfId="0" applyAlignment="1">
      <alignment horizontal="left" indent="1"/>
    </xf>
    <xf numFmtId="0" fontId="2" fillId="0" borderId="2" xfId="0" applyFont="1" applyBorder="1" applyAlignment="1">
      <alignment horizontal="left"/>
    </xf>
    <xf numFmtId="164" fontId="0" fillId="0" borderId="2" xfId="0" applyNumberFormat="1" applyFont="1" applyBorder="1"/>
    <xf numFmtId="0" fontId="6" fillId="0" borderId="0" xfId="0" applyFont="1"/>
    <xf numFmtId="2" fontId="0" fillId="0" borderId="0" xfId="0" applyNumberFormat="1"/>
    <xf numFmtId="0" fontId="7" fillId="0" borderId="0" xfId="0" applyFont="1"/>
    <xf numFmtId="0" fontId="3" fillId="0" borderId="0" xfId="0" applyFont="1"/>
    <xf numFmtId="164" fontId="8" fillId="2" borderId="0" xfId="0" applyNumberFormat="1" applyFont="1" applyFill="1"/>
    <xf numFmtId="164" fontId="0" fillId="0" borderId="0" xfId="0" applyNumberFormat="1"/>
    <xf numFmtId="0" fontId="4" fillId="0" borderId="2" xfId="0" applyFont="1" applyBorder="1"/>
    <xf numFmtId="164" fontId="0" fillId="0" borderId="2" xfId="0" applyNumberFormat="1" applyBorder="1"/>
    <xf numFmtId="10" fontId="0" fillId="0" borderId="0" xfId="0" applyNumberFormat="1" applyFont="1"/>
    <xf numFmtId="39" fontId="7" fillId="0" borderId="0" xfId="0" applyNumberFormat="1" applyFont="1" applyFill="1" applyBorder="1"/>
    <xf numFmtId="0" fontId="4" fillId="0" borderId="0" xfId="0" applyFont="1"/>
    <xf numFmtId="164" fontId="0" fillId="0" borderId="0" xfId="0" applyNumberFormat="1" applyFont="1" applyFill="1"/>
    <xf numFmtId="164" fontId="8" fillId="2" borderId="0" xfId="0" applyNumberFormat="1" applyFont="1" applyFill="1" applyBorder="1"/>
    <xf numFmtId="0" fontId="0" fillId="0" borderId="0" xfId="0" applyBorder="1"/>
    <xf numFmtId="164" fontId="0" fillId="0" borderId="0" xfId="0" applyNumberFormat="1" applyFont="1" applyBorder="1"/>
    <xf numFmtId="164" fontId="0" fillId="0" borderId="0" xfId="0" applyNumberFormat="1" applyBorder="1"/>
    <xf numFmtId="10" fontId="0" fillId="0" borderId="0" xfId="0" applyNumberFormat="1" applyFill="1"/>
    <xf numFmtId="0" fontId="9" fillId="0" borderId="0" xfId="0" applyFont="1" applyBorder="1"/>
    <xf numFmtId="10" fontId="9" fillId="0" borderId="0" xfId="0" applyNumberFormat="1" applyFont="1" applyFill="1" applyBorder="1"/>
    <xf numFmtId="41" fontId="9" fillId="0" borderId="0" xfId="0" applyNumberFormat="1" applyFont="1"/>
    <xf numFmtId="0" fontId="9" fillId="0" borderId="0" xfId="0" applyFont="1"/>
    <xf numFmtId="39" fontId="9" fillId="0" borderId="0" xfId="0" applyNumberFormat="1" applyFont="1" applyFill="1" applyBorder="1"/>
    <xf numFmtId="0" fontId="9" fillId="0" borderId="0" xfId="0" applyFont="1" applyAlignment="1">
      <alignment horizontal="center"/>
    </xf>
    <xf numFmtId="164" fontId="9" fillId="0" borderId="0" xfId="0" applyNumberFormat="1" applyFont="1" applyBorder="1"/>
    <xf numFmtId="164" fontId="9" fillId="0" borderId="0" xfId="0" applyNumberFormat="1" applyFont="1" applyFill="1" applyBorder="1"/>
    <xf numFmtId="0" fontId="9" fillId="0" borderId="0" xfId="0" applyFont="1" applyBorder="1" applyAlignment="1">
      <alignment horizontal="left" wrapText="1"/>
    </xf>
    <xf numFmtId="43" fontId="0" fillId="0" borderId="0" xfId="0" applyNumberFormat="1" applyFont="1" applyFill="1" applyBorder="1"/>
    <xf numFmtId="43" fontId="0" fillId="0" borderId="0" xfId="0" applyNumberFormat="1" applyFont="1" applyBorder="1"/>
    <xf numFmtId="39" fontId="7" fillId="0" borderId="0" xfId="0" applyNumberFormat="1" applyFont="1"/>
    <xf numFmtId="0" fontId="0" fillId="2" borderId="0" xfId="0" applyFill="1" applyAlignment="1">
      <alignment horizontal="center"/>
    </xf>
    <xf numFmtId="0" fontId="10" fillId="2" borderId="0" xfId="0" applyFont="1" applyFill="1"/>
    <xf numFmtId="0" fontId="7" fillId="2" borderId="0" xfId="0" applyFont="1" applyFill="1"/>
    <xf numFmtId="41" fontId="0" fillId="2" borderId="0" xfId="0" applyNumberFormat="1" applyFill="1"/>
    <xf numFmtId="0" fontId="0" fillId="2" borderId="0" xfId="0" applyFill="1"/>
    <xf numFmtId="10" fontId="8" fillId="2" borderId="0" xfId="0" applyNumberFormat="1" applyFont="1" applyFill="1"/>
    <xf numFmtId="43" fontId="8" fillId="2" borderId="0" xfId="1" applyFont="1" applyFill="1"/>
    <xf numFmtId="0" fontId="0" fillId="0" borderId="0" xfId="0" applyFill="1" applyBorder="1"/>
    <xf numFmtId="0" fontId="0" fillId="0" borderId="0" xfId="0" applyAlignment="1">
      <alignment horizontal="left"/>
    </xf>
    <xf numFmtId="0" fontId="2" fillId="2" borderId="0" xfId="0" applyFont="1" applyFill="1"/>
    <xf numFmtId="0" fontId="0" fillId="2" borderId="0" xfId="0" applyFont="1" applyFill="1"/>
    <xf numFmtId="0" fontId="2" fillId="0" borderId="0" xfId="0" applyFont="1"/>
    <xf numFmtId="0" fontId="11" fillId="0" borderId="0" xfId="0" quotePrefix="1" applyFont="1" applyFill="1" applyBorder="1" applyAlignment="1">
      <alignment horizontal="center" wrapText="1"/>
    </xf>
    <xf numFmtId="0" fontId="0" fillId="0" borderId="0" xfId="0" applyFont="1" applyAlignment="1">
      <alignment horizontal="left" indent="1"/>
    </xf>
    <xf numFmtId="164" fontId="0" fillId="0" borderId="0" xfId="0" applyNumberFormat="1" applyFont="1" applyFill="1" applyBorder="1"/>
    <xf numFmtId="0" fontId="2" fillId="0" borderId="0" xfId="0" applyFont="1" applyAlignment="1">
      <alignment horizontal="left" indent="1"/>
    </xf>
    <xf numFmtId="164" fontId="2" fillId="0" borderId="0" xfId="0" applyNumberFormat="1" applyFont="1"/>
    <xf numFmtId="164" fontId="0" fillId="0" borderId="0" xfId="0" applyNumberFormat="1" applyFill="1"/>
    <xf numFmtId="0" fontId="11" fillId="0" borderId="0" xfId="0" applyFont="1" applyFill="1" applyBorder="1"/>
    <xf numFmtId="0" fontId="10" fillId="0" borderId="0" xfId="0" applyFont="1" applyFill="1"/>
    <xf numFmtId="0" fontId="6" fillId="0" borderId="0" xfId="0" applyFont="1" applyAlignment="1"/>
    <xf numFmtId="0" fontId="6" fillId="0" borderId="0" xfId="0" applyFont="1" applyAlignment="1">
      <alignment horizontal="center"/>
    </xf>
    <xf numFmtId="0" fontId="6" fillId="0" borderId="0" xfId="0" quotePrefix="1" applyFont="1" applyAlignment="1"/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8" fontId="3" fillId="0" borderId="13" xfId="0" applyNumberFormat="1" applyFont="1" applyBorder="1" applyAlignment="1">
      <alignment horizontal="right" vertical="center" wrapText="1"/>
    </xf>
    <xf numFmtId="10" fontId="3" fillId="0" borderId="14" xfId="0" applyNumberFormat="1" applyFont="1" applyBorder="1" applyAlignment="1">
      <alignment horizontal="center" vertical="center" wrapText="1"/>
    </xf>
    <xf numFmtId="165" fontId="6" fillId="0" borderId="13" xfId="0" quotePrefix="1" applyNumberFormat="1" applyFont="1" applyBorder="1" applyAlignment="1">
      <alignment horizontal="right" vertical="center"/>
    </xf>
    <xf numFmtId="165" fontId="6" fillId="0" borderId="0" xfId="0" quotePrefix="1" applyNumberFormat="1" applyFont="1" applyBorder="1" applyAlignment="1">
      <alignment horizontal="right" vertical="center"/>
    </xf>
    <xf numFmtId="166" fontId="6" fillId="0" borderId="14" xfId="0" quotePrefix="1" applyNumberFormat="1" applyFont="1" applyFill="1" applyBorder="1" applyAlignment="1">
      <alignment horizontal="right" vertical="center"/>
    </xf>
    <xf numFmtId="0" fontId="3" fillId="0" borderId="14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2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167" fontId="6" fillId="0" borderId="13" xfId="0" quotePrefix="1" applyNumberFormat="1" applyFont="1" applyBorder="1" applyAlignment="1">
      <alignment horizontal="right" vertical="center"/>
    </xf>
    <xf numFmtId="167" fontId="6" fillId="0" borderId="0" xfId="0" quotePrefix="1" applyNumberFormat="1" applyFont="1" applyBorder="1" applyAlignment="1">
      <alignment horizontal="right" vertical="center"/>
    </xf>
    <xf numFmtId="166" fontId="6" fillId="0" borderId="14" xfId="0" quotePrefix="1" applyNumberFormat="1" applyFont="1" applyFill="1" applyBorder="1" applyAlignment="1">
      <alignment horizontal="center" vertical="center"/>
    </xf>
    <xf numFmtId="8" fontId="6" fillId="0" borderId="13" xfId="0" quotePrefix="1" applyNumberFormat="1" applyFont="1" applyBorder="1" applyAlignment="1">
      <alignment vertical="center"/>
    </xf>
    <xf numFmtId="8" fontId="6" fillId="0" borderId="0" xfId="0" quotePrefix="1" applyNumberFormat="1" applyFont="1" applyBorder="1" applyAlignment="1">
      <alignment vertical="center"/>
    </xf>
    <xf numFmtId="8" fontId="6" fillId="0" borderId="13" xfId="0" quotePrefix="1" applyNumberFormat="1" applyFont="1" applyBorder="1" applyAlignment="1">
      <alignment horizontal="right" vertical="center"/>
    </xf>
    <xf numFmtId="8" fontId="6" fillId="0" borderId="0" xfId="0" quotePrefix="1" applyNumberFormat="1" applyFont="1" applyBorder="1" applyAlignment="1">
      <alignment horizontal="right" vertical="center"/>
    </xf>
    <xf numFmtId="167" fontId="6" fillId="0" borderId="13" xfId="0" quotePrefix="1" applyNumberFormat="1" applyFont="1" applyBorder="1" applyAlignment="1">
      <alignment horizontal="center" vertical="center"/>
    </xf>
    <xf numFmtId="167" fontId="6" fillId="0" borderId="0" xfId="0" quotePrefix="1" applyNumberFormat="1" applyFont="1" applyBorder="1" applyAlignment="1">
      <alignment horizontal="center" vertical="center"/>
    </xf>
    <xf numFmtId="168" fontId="6" fillId="0" borderId="14" xfId="0" quotePrefix="1" applyNumberFormat="1" applyFont="1" applyBorder="1" applyAlignment="1">
      <alignment horizontal="center" vertical="center"/>
    </xf>
    <xf numFmtId="166" fontId="6" fillId="0" borderId="0" xfId="0" quotePrefix="1" applyNumberFormat="1" applyFont="1" applyFill="1" applyBorder="1" applyAlignment="1">
      <alignment horizontal="center" vertical="center"/>
    </xf>
    <xf numFmtId="167" fontId="6" fillId="0" borderId="14" xfId="0" quotePrefix="1" applyNumberFormat="1" applyFont="1" applyBorder="1" applyAlignment="1">
      <alignment horizontal="right" vertical="center"/>
    </xf>
    <xf numFmtId="8" fontId="6" fillId="0" borderId="14" xfId="0" quotePrefix="1" applyNumberFormat="1" applyFont="1" applyBorder="1" applyAlignment="1">
      <alignment horizontal="right" vertical="center"/>
    </xf>
    <xf numFmtId="167" fontId="6" fillId="0" borderId="13" xfId="0" quotePrefix="1" applyNumberFormat="1" applyFont="1" applyFill="1" applyBorder="1" applyAlignment="1">
      <alignment horizontal="right" vertical="center"/>
    </xf>
    <xf numFmtId="167" fontId="6" fillId="0" borderId="0" xfId="0" quotePrefix="1" applyNumberFormat="1" applyFont="1" applyFill="1" applyBorder="1" applyAlignment="1">
      <alignment horizontal="right" vertical="center"/>
    </xf>
    <xf numFmtId="0" fontId="6" fillId="0" borderId="14" xfId="0" applyFont="1" applyBorder="1" applyAlignment="1"/>
    <xf numFmtId="167" fontId="6" fillId="0" borderId="13" xfId="0" quotePrefix="1" applyNumberFormat="1" applyFont="1" applyBorder="1" applyAlignment="1">
      <alignment vertical="center"/>
    </xf>
    <xf numFmtId="167" fontId="6" fillId="0" borderId="0" xfId="0" quotePrefix="1" applyNumberFormat="1" applyFont="1" applyBorder="1" applyAlignment="1">
      <alignment vertical="center"/>
    </xf>
    <xf numFmtId="167" fontId="6" fillId="0" borderId="14" xfId="0" quotePrefix="1" applyNumberFormat="1" applyFont="1" applyBorder="1" applyAlignment="1">
      <alignment vertical="center"/>
    </xf>
    <xf numFmtId="8" fontId="6" fillId="0" borderId="13" xfId="0" quotePrefix="1" applyNumberFormat="1" applyFont="1" applyBorder="1" applyAlignment="1">
      <alignment horizontal="center" vertical="center"/>
    </xf>
    <xf numFmtId="8" fontId="6" fillId="0" borderId="0" xfId="0" quotePrefix="1" applyNumberFormat="1" applyFont="1" applyBorder="1" applyAlignment="1">
      <alignment horizontal="center" vertical="center"/>
    </xf>
    <xf numFmtId="8" fontId="6" fillId="0" borderId="14" xfId="0" quotePrefix="1" applyNumberFormat="1" applyFont="1" applyBorder="1" applyAlignment="1">
      <alignment horizontal="center" vertical="center"/>
    </xf>
    <xf numFmtId="165" fontId="6" fillId="0" borderId="13" xfId="0" quotePrefix="1" applyNumberFormat="1" applyFont="1" applyFill="1" applyBorder="1" applyAlignment="1">
      <alignment horizontal="right" vertical="center"/>
    </xf>
    <xf numFmtId="165" fontId="6" fillId="0" borderId="0" xfId="0" quotePrefix="1" applyNumberFormat="1" applyFont="1" applyFill="1" applyBorder="1" applyAlignment="1">
      <alignment horizontal="right" vertical="center"/>
    </xf>
    <xf numFmtId="0" fontId="6" fillId="0" borderId="11" xfId="0" applyFont="1" applyBorder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0" fontId="6" fillId="0" borderId="12" xfId="0" applyFont="1" applyBorder="1" applyAlignment="1"/>
    <xf numFmtId="167" fontId="6" fillId="0" borderId="11" xfId="0" quotePrefix="1" applyNumberFormat="1" applyFont="1" applyBorder="1" applyAlignment="1">
      <alignment horizontal="right" vertical="center"/>
    </xf>
    <xf numFmtId="167" fontId="6" fillId="0" borderId="15" xfId="0" quotePrefix="1" applyNumberFormat="1" applyFont="1" applyBorder="1" applyAlignment="1">
      <alignment horizontal="right" vertical="center"/>
    </xf>
    <xf numFmtId="166" fontId="6" fillId="0" borderId="12" xfId="0" quotePrefix="1" applyNumberFormat="1" applyFont="1" applyFill="1" applyBorder="1" applyAlignment="1">
      <alignment horizontal="center" vertical="center"/>
    </xf>
    <xf numFmtId="167" fontId="6" fillId="0" borderId="11" xfId="0" quotePrefix="1" applyNumberFormat="1" applyFont="1" applyBorder="1" applyAlignment="1">
      <alignment vertical="center"/>
    </xf>
    <xf numFmtId="167" fontId="6" fillId="0" borderId="15" xfId="0" quotePrefix="1" applyNumberFormat="1" applyFont="1" applyBorder="1" applyAlignment="1">
      <alignment vertical="center"/>
    </xf>
    <xf numFmtId="167" fontId="6" fillId="0" borderId="12" xfId="0" quotePrefix="1" applyNumberFormat="1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/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/>
    <xf numFmtId="169" fontId="6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3" fillId="0" borderId="0" xfId="0" applyFont="1" applyAlignment="1">
      <alignment horizontal="centerContinuous"/>
    </xf>
    <xf numFmtId="0" fontId="3" fillId="0" borderId="0" xfId="0" applyFont="1" applyFill="1" applyAlignment="1">
      <alignment horizontal="centerContinuous"/>
    </xf>
    <xf numFmtId="0" fontId="6" fillId="0" borderId="0" xfId="0" applyFont="1" applyBorder="1" applyAlignment="1">
      <alignment horizontal="centerContinuous"/>
    </xf>
    <xf numFmtId="0" fontId="6" fillId="0" borderId="0" xfId="0" applyFont="1" applyFill="1"/>
    <xf numFmtId="3" fontId="6" fillId="0" borderId="0" xfId="0" applyNumberFormat="1" applyFont="1" applyBorder="1"/>
    <xf numFmtId="170" fontId="6" fillId="0" borderId="0" xfId="0" applyNumberFormat="1" applyFont="1"/>
    <xf numFmtId="170" fontId="6" fillId="0" borderId="0" xfId="0" applyNumberFormat="1" applyFont="1" applyBorder="1"/>
    <xf numFmtId="169" fontId="6" fillId="0" borderId="0" xfId="0" applyNumberFormat="1" applyFont="1" applyAlignment="1">
      <alignment horizontal="right"/>
    </xf>
    <xf numFmtId="0" fontId="6" fillId="0" borderId="0" xfId="0" applyFont="1" applyBorder="1"/>
    <xf numFmtId="0" fontId="6" fillId="0" borderId="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Continuous"/>
    </xf>
    <xf numFmtId="170" fontId="6" fillId="0" borderId="8" xfId="0" applyNumberFormat="1" applyFont="1" applyBorder="1" applyAlignment="1">
      <alignment horizontal="centerContinuous"/>
    </xf>
    <xf numFmtId="0" fontId="6" fillId="0" borderId="2" xfId="0" applyFont="1" applyBorder="1" applyAlignment="1">
      <alignment horizontal="left"/>
    </xf>
    <xf numFmtId="0" fontId="6" fillId="0" borderId="8" xfId="0" applyFont="1" applyBorder="1" applyAlignment="1">
      <alignment horizontal="centerContinuous"/>
    </xf>
    <xf numFmtId="170" fontId="6" fillId="0" borderId="2" xfId="0" applyNumberFormat="1" applyFont="1" applyBorder="1" applyAlignment="1">
      <alignment horizontal="left"/>
    </xf>
    <xf numFmtId="170" fontId="6" fillId="0" borderId="9" xfId="0" applyNumberFormat="1" applyFont="1" applyBorder="1" applyAlignment="1">
      <alignment horizontal="centerContinuous"/>
    </xf>
    <xf numFmtId="170" fontId="6" fillId="0" borderId="0" xfId="0" applyNumberFormat="1" applyFont="1" applyBorder="1" applyAlignment="1">
      <alignment horizontal="left"/>
    </xf>
    <xf numFmtId="0" fontId="6" fillId="0" borderId="3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170" fontId="6" fillId="0" borderId="15" xfId="0" applyNumberFormat="1" applyFont="1" applyBorder="1" applyAlignment="1">
      <alignment horizontal="center"/>
    </xf>
    <xf numFmtId="171" fontId="6" fillId="0" borderId="12" xfId="0" applyNumberFormat="1" applyFont="1" applyBorder="1" applyAlignment="1">
      <alignment horizontal="center"/>
    </xf>
    <xf numFmtId="171" fontId="6" fillId="0" borderId="0" xfId="0" applyNumberFormat="1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0" xfId="0" applyFont="1" applyFill="1" applyBorder="1"/>
    <xf numFmtId="169" fontId="6" fillId="0" borderId="0" xfId="0" applyNumberFormat="1" applyFont="1" applyBorder="1" applyAlignment="1">
      <alignment horizontal="right"/>
    </xf>
    <xf numFmtId="0" fontId="3" fillId="0" borderId="7" xfId="0" applyFont="1" applyBorder="1" applyProtection="1">
      <protection locked="0"/>
    </xf>
    <xf numFmtId="0" fontId="3" fillId="0" borderId="8" xfId="0" applyFont="1" applyBorder="1" applyProtection="1">
      <protection locked="0"/>
    </xf>
    <xf numFmtId="0" fontId="6" fillId="0" borderId="8" xfId="0" applyFont="1" applyFill="1" applyBorder="1"/>
    <xf numFmtId="0" fontId="6" fillId="0" borderId="8" xfId="0" applyFont="1" applyBorder="1"/>
    <xf numFmtId="3" fontId="6" fillId="0" borderId="8" xfId="0" applyNumberFormat="1" applyFont="1" applyBorder="1"/>
    <xf numFmtId="169" fontId="6" fillId="0" borderId="8" xfId="0" applyNumberFormat="1" applyFont="1" applyBorder="1"/>
    <xf numFmtId="166" fontId="6" fillId="0" borderId="9" xfId="0" applyNumberFormat="1" applyFont="1" applyBorder="1" applyAlignment="1">
      <alignment horizontal="right"/>
    </xf>
    <xf numFmtId="0" fontId="6" fillId="0" borderId="13" xfId="0" applyFont="1" applyBorder="1"/>
    <xf numFmtId="3" fontId="6" fillId="0" borderId="0" xfId="0" applyNumberFormat="1" applyFont="1" applyBorder="1" applyProtection="1">
      <protection locked="0"/>
    </xf>
    <xf numFmtId="169" fontId="6" fillId="0" borderId="0" xfId="0" applyNumberFormat="1" applyFont="1" applyBorder="1"/>
    <xf numFmtId="166" fontId="6" fillId="0" borderId="14" xfId="0" applyNumberFormat="1" applyFont="1" applyBorder="1" applyAlignment="1">
      <alignment horizontal="right"/>
    </xf>
    <xf numFmtId="0" fontId="6" fillId="0" borderId="13" xfId="0" applyFont="1" applyFill="1" applyBorder="1" applyProtection="1">
      <protection locked="0"/>
    </xf>
    <xf numFmtId="0" fontId="6" fillId="0" borderId="0" xfId="0" applyFont="1" applyFill="1" applyBorder="1" applyProtection="1">
      <protection locked="0"/>
    </xf>
    <xf numFmtId="3" fontId="6" fillId="0" borderId="0" xfId="0" applyNumberFormat="1" applyFont="1" applyFill="1" applyBorder="1"/>
    <xf numFmtId="170" fontId="6" fillId="0" borderId="0" xfId="0" applyNumberFormat="1" applyFont="1" applyFill="1" applyBorder="1"/>
    <xf numFmtId="170" fontId="10" fillId="2" borderId="0" xfId="0" applyNumberFormat="1" applyFont="1" applyFill="1" applyBorder="1"/>
    <xf numFmtId="166" fontId="6" fillId="0" borderId="14" xfId="0" applyNumberFormat="1" applyFont="1" applyBorder="1"/>
    <xf numFmtId="169" fontId="12" fillId="0" borderId="16" xfId="0" applyNumberFormat="1" applyFont="1" applyFill="1" applyBorder="1" applyAlignment="1">
      <alignment horizontal="center"/>
    </xf>
    <xf numFmtId="172" fontId="6" fillId="0" borderId="0" xfId="0" applyNumberFormat="1" applyFont="1" applyFill="1" applyBorder="1"/>
    <xf numFmtId="172" fontId="13" fillId="0" borderId="0" xfId="0" applyNumberFormat="1" applyFont="1" applyFill="1" applyBorder="1"/>
    <xf numFmtId="169" fontId="6" fillId="0" borderId="16" xfId="0" applyNumberFormat="1" applyFont="1" applyBorder="1" applyAlignment="1">
      <alignment horizontal="center"/>
    </xf>
    <xf numFmtId="0" fontId="3" fillId="0" borderId="13" xfId="0" applyFont="1" applyBorder="1"/>
    <xf numFmtId="0" fontId="6" fillId="0" borderId="0" xfId="0" applyFont="1" applyBorder="1" applyProtection="1">
      <protection locked="0"/>
    </xf>
    <xf numFmtId="169" fontId="6" fillId="0" borderId="2" xfId="0" applyNumberFormat="1" applyFont="1" applyBorder="1"/>
    <xf numFmtId="166" fontId="6" fillId="0" borderId="5" xfId="0" applyNumberFormat="1" applyFont="1" applyBorder="1"/>
    <xf numFmtId="169" fontId="6" fillId="0" borderId="10" xfId="0" applyNumberFormat="1" applyFont="1" applyBorder="1" applyAlignment="1">
      <alignment horizontal="center"/>
    </xf>
    <xf numFmtId="0" fontId="3" fillId="0" borderId="0" xfId="0" applyFont="1" applyBorder="1"/>
    <xf numFmtId="169" fontId="3" fillId="0" borderId="0" xfId="0" applyNumberFormat="1" applyFont="1" applyBorder="1"/>
    <xf numFmtId="171" fontId="6" fillId="0" borderId="0" xfId="0" applyNumberFormat="1" applyFont="1" applyBorder="1"/>
    <xf numFmtId="0" fontId="6" fillId="0" borderId="13" xfId="0" applyFont="1" applyBorder="1" applyProtection="1">
      <protection locked="0"/>
    </xf>
    <xf numFmtId="10" fontId="12" fillId="0" borderId="0" xfId="0" applyNumberFormat="1" applyFont="1" applyBorder="1" applyAlignment="1">
      <alignment horizontal="center"/>
    </xf>
    <xf numFmtId="0" fontId="6" fillId="0" borderId="11" xfId="0" applyFont="1" applyFill="1" applyBorder="1"/>
    <xf numFmtId="0" fontId="6" fillId="0" borderId="15" xfId="0" applyFont="1" applyFill="1" applyBorder="1"/>
    <xf numFmtId="169" fontId="6" fillId="0" borderId="15" xfId="0" applyNumberFormat="1" applyFont="1" applyFill="1" applyBorder="1"/>
    <xf numFmtId="3" fontId="6" fillId="0" borderId="15" xfId="0" applyNumberFormat="1" applyFont="1" applyFill="1" applyBorder="1"/>
    <xf numFmtId="166" fontId="6" fillId="0" borderId="12" xfId="0" applyNumberFormat="1" applyFont="1" applyFill="1" applyBorder="1"/>
    <xf numFmtId="0" fontId="3" fillId="0" borderId="7" xfId="0" applyFont="1" applyFill="1" applyBorder="1" applyProtection="1">
      <protection locked="0"/>
    </xf>
    <xf numFmtId="0" fontId="3" fillId="0" borderId="8" xfId="0" applyFont="1" applyFill="1" applyBorder="1" applyProtection="1">
      <protection locked="0"/>
    </xf>
    <xf numFmtId="166" fontId="6" fillId="0" borderId="9" xfId="0" applyNumberFormat="1" applyFont="1" applyBorder="1"/>
    <xf numFmtId="0" fontId="6" fillId="0" borderId="13" xfId="0" applyFont="1" applyFill="1" applyBorder="1"/>
    <xf numFmtId="169" fontId="6" fillId="0" borderId="0" xfId="0" applyNumberFormat="1" applyFont="1" applyFill="1" applyBorder="1"/>
    <xf numFmtId="3" fontId="6" fillId="0" borderId="0" xfId="0" applyNumberFormat="1" applyFont="1" applyFill="1" applyBorder="1" applyProtection="1">
      <protection locked="0"/>
    </xf>
    <xf numFmtId="166" fontId="6" fillId="0" borderId="14" xfId="0" applyNumberFormat="1" applyFont="1" applyFill="1" applyBorder="1" applyAlignment="1">
      <alignment horizontal="right"/>
    </xf>
    <xf numFmtId="169" fontId="6" fillId="0" borderId="0" xfId="0" applyNumberFormat="1" applyFont="1" applyFill="1" applyBorder="1" applyAlignment="1">
      <alignment horizontal="right"/>
    </xf>
    <xf numFmtId="170" fontId="13" fillId="0" borderId="0" xfId="0" applyNumberFormat="1" applyFont="1" applyFill="1" applyBorder="1"/>
    <xf numFmtId="169" fontId="6" fillId="0" borderId="0" xfId="0" applyNumberFormat="1" applyFont="1" applyFill="1" applyBorder="1" applyAlignment="1">
      <alignment horizontal="center"/>
    </xf>
    <xf numFmtId="169" fontId="6" fillId="0" borderId="0" xfId="0" applyNumberFormat="1" applyFont="1" applyBorder="1" applyAlignment="1">
      <alignment horizontal="center"/>
    </xf>
    <xf numFmtId="0" fontId="3" fillId="0" borderId="13" xfId="0" applyFont="1" applyFill="1" applyBorder="1"/>
    <xf numFmtId="0" fontId="3" fillId="0" borderId="0" xfId="0" applyFont="1" applyFill="1" applyBorder="1"/>
    <xf numFmtId="169" fontId="3" fillId="0" borderId="0" xfId="0" applyNumberFormat="1" applyFont="1" applyFill="1" applyBorder="1"/>
    <xf numFmtId="173" fontId="6" fillId="0" borderId="0" xfId="0" applyNumberFormat="1" applyFont="1" applyFill="1" applyBorder="1" applyAlignment="1">
      <alignment horizontal="center"/>
    </xf>
    <xf numFmtId="173" fontId="6" fillId="0" borderId="0" xfId="0" applyNumberFormat="1" applyFont="1" applyFill="1" applyAlignment="1">
      <alignment horizontal="center"/>
    </xf>
    <xf numFmtId="173" fontId="6" fillId="0" borderId="0" xfId="0" applyNumberFormat="1" applyFont="1" applyFill="1"/>
    <xf numFmtId="3" fontId="6" fillId="0" borderId="0" xfId="0" applyNumberFormat="1" applyFont="1" applyBorder="1" applyAlignment="1" applyProtection="1">
      <alignment horizontal="center"/>
      <protection locked="0"/>
    </xf>
    <xf numFmtId="3" fontId="6" fillId="0" borderId="0" xfId="0" applyNumberFormat="1" applyFont="1" applyFill="1" applyBorder="1" applyAlignment="1" applyProtection="1">
      <alignment horizontal="center"/>
      <protection locked="0"/>
    </xf>
    <xf numFmtId="174" fontId="6" fillId="0" borderId="0" xfId="0" applyNumberFormat="1" applyFont="1" applyBorder="1" applyAlignment="1">
      <alignment horizontal="right"/>
    </xf>
    <xf numFmtId="0" fontId="3" fillId="0" borderId="11" xfId="0" applyFont="1" applyBorder="1"/>
    <xf numFmtId="0" fontId="3" fillId="0" borderId="15" xfId="0" applyFont="1" applyBorder="1"/>
    <xf numFmtId="169" fontId="3" fillId="0" borderId="15" xfId="0" applyNumberFormat="1" applyFont="1" applyBorder="1"/>
    <xf numFmtId="3" fontId="6" fillId="0" borderId="15" xfId="0" applyNumberFormat="1" applyFont="1" applyBorder="1"/>
    <xf numFmtId="0" fontId="6" fillId="0" borderId="15" xfId="0" applyFont="1" applyBorder="1"/>
    <xf numFmtId="170" fontId="6" fillId="0" borderId="15" xfId="0" applyNumberFormat="1" applyFont="1" applyBorder="1"/>
    <xf numFmtId="166" fontId="6" fillId="0" borderId="12" xfId="0" applyNumberFormat="1" applyFont="1" applyBorder="1" applyAlignment="1">
      <alignment horizontal="right"/>
    </xf>
    <xf numFmtId="166" fontId="6" fillId="0" borderId="0" xfId="0" applyNumberFormat="1" applyFont="1" applyAlignment="1">
      <alignment horizontal="right"/>
    </xf>
    <xf numFmtId="3" fontId="6" fillId="0" borderId="15" xfId="0" applyNumberFormat="1" applyFont="1" applyFill="1" applyBorder="1" applyAlignment="1">
      <alignment horizontal="center"/>
    </xf>
    <xf numFmtId="175" fontId="6" fillId="0" borderId="0" xfId="0" applyNumberFormat="1" applyFont="1"/>
    <xf numFmtId="169" fontId="6" fillId="0" borderId="0" xfId="0" applyNumberFormat="1" applyFont="1"/>
    <xf numFmtId="166" fontId="6" fillId="0" borderId="0" xfId="0" applyNumberFormat="1" applyFont="1"/>
    <xf numFmtId="3" fontId="6" fillId="0" borderId="0" xfId="0" applyNumberFormat="1" applyFont="1" applyFill="1"/>
    <xf numFmtId="0" fontId="6" fillId="0" borderId="17" xfId="0" applyFont="1" applyBorder="1"/>
    <xf numFmtId="0" fontId="6" fillId="0" borderId="18" xfId="0" applyFont="1" applyBorder="1"/>
    <xf numFmtId="164" fontId="6" fillId="0" borderId="18" xfId="0" applyNumberFormat="1" applyFont="1" applyBorder="1"/>
    <xf numFmtId="0" fontId="6" fillId="0" borderId="18" xfId="0" applyFont="1" applyFill="1" applyBorder="1"/>
    <xf numFmtId="169" fontId="6" fillId="0" borderId="19" xfId="0" applyNumberFormat="1" applyFont="1" applyFill="1" applyBorder="1"/>
    <xf numFmtId="171" fontId="6" fillId="0" borderId="0" xfId="0" applyNumberFormat="1" applyFont="1" applyAlignment="1">
      <alignment horizontal="left"/>
    </xf>
    <xf numFmtId="171" fontId="6" fillId="0" borderId="0" xfId="0" applyNumberFormat="1" applyFont="1"/>
    <xf numFmtId="170" fontId="6" fillId="0" borderId="0" xfId="0" applyNumberFormat="1" applyFont="1" applyAlignment="1">
      <alignment horizontal="centerContinuous"/>
    </xf>
    <xf numFmtId="3" fontId="6" fillId="0" borderId="0" xfId="0" applyNumberFormat="1" applyFont="1" applyFill="1" applyAlignment="1">
      <alignment horizontal="centerContinuous"/>
    </xf>
    <xf numFmtId="0" fontId="6" fillId="0" borderId="0" xfId="0" applyFont="1" applyFill="1" applyAlignment="1">
      <alignment horizontal="centerContinuous"/>
    </xf>
    <xf numFmtId="166" fontId="6" fillId="0" borderId="0" xfId="0" applyNumberFormat="1" applyFont="1" applyAlignment="1">
      <alignment horizontal="centerContinuous"/>
    </xf>
    <xf numFmtId="171" fontId="6" fillId="0" borderId="0" xfId="0" applyNumberFormat="1" applyFont="1" applyAlignment="1">
      <alignment horizontal="centerContinuous"/>
    </xf>
    <xf numFmtId="171" fontId="6" fillId="0" borderId="0" xfId="0" applyNumberFormat="1" applyFont="1" applyBorder="1" applyAlignment="1">
      <alignment horizontal="centerContinuous"/>
    </xf>
    <xf numFmtId="170" fontId="6" fillId="0" borderId="0" xfId="0" applyNumberFormat="1" applyFont="1" applyAlignment="1"/>
    <xf numFmtId="3" fontId="6" fillId="0" borderId="15" xfId="0" applyNumberFormat="1" applyFont="1" applyFill="1" applyBorder="1" applyAlignment="1"/>
    <xf numFmtId="0" fontId="6" fillId="0" borderId="0" xfId="0" applyFont="1" applyFill="1" applyAlignment="1"/>
    <xf numFmtId="166" fontId="6" fillId="0" borderId="0" xfId="0" applyNumberFormat="1" applyFont="1" applyAlignment="1"/>
    <xf numFmtId="0" fontId="6" fillId="0" borderId="0" xfId="0" applyFont="1" applyFill="1" applyBorder="1" applyAlignment="1">
      <alignment horizontal="center"/>
    </xf>
    <xf numFmtId="166" fontId="6" fillId="0" borderId="12" xfId="0" applyNumberFormat="1" applyFont="1" applyBorder="1" applyAlignment="1">
      <alignment horizontal="center"/>
    </xf>
    <xf numFmtId="171" fontId="6" fillId="0" borderId="0" xfId="0" applyNumberFormat="1" applyFont="1" applyBorder="1" applyAlignment="1">
      <alignment horizontal="left"/>
    </xf>
    <xf numFmtId="170" fontId="6" fillId="0" borderId="0" xfId="0" applyNumberFormat="1" applyFont="1" applyBorder="1" applyAlignment="1">
      <alignment horizontal="center"/>
    </xf>
    <xf numFmtId="166" fontId="6" fillId="0" borderId="0" xfId="0" applyNumberFormat="1" applyFont="1" applyBorder="1" applyAlignment="1">
      <alignment horizontal="center"/>
    </xf>
    <xf numFmtId="0" fontId="6" fillId="0" borderId="8" xfId="0" applyFont="1" applyBorder="1" applyProtection="1">
      <protection locked="0"/>
    </xf>
    <xf numFmtId="3" fontId="6" fillId="0" borderId="8" xfId="0" applyNumberFormat="1" applyFont="1" applyFill="1" applyBorder="1"/>
    <xf numFmtId="166" fontId="6" fillId="0" borderId="0" xfId="0" applyNumberFormat="1" applyFont="1" applyBorder="1" applyAlignment="1">
      <alignment horizontal="left"/>
    </xf>
    <xf numFmtId="0" fontId="14" fillId="0" borderId="3" xfId="0" applyFont="1" applyBorder="1" applyAlignment="1">
      <alignment horizontal="center"/>
    </xf>
    <xf numFmtId="169" fontId="15" fillId="0" borderId="16" xfId="0" applyNumberFormat="1" applyFont="1" applyFill="1" applyBorder="1" applyAlignment="1">
      <alignment horizontal="center"/>
    </xf>
    <xf numFmtId="170" fontId="6" fillId="0" borderId="0" xfId="0" applyNumberFormat="1" applyFont="1" applyBorder="1" applyAlignment="1">
      <alignment horizontal="right"/>
    </xf>
    <xf numFmtId="169" fontId="6" fillId="0" borderId="10" xfId="0" applyNumberFormat="1" applyFont="1" applyFill="1" applyBorder="1" applyAlignment="1">
      <alignment horizontal="center"/>
    </xf>
    <xf numFmtId="169" fontId="6" fillId="0" borderId="2" xfId="0" applyNumberFormat="1" applyFont="1" applyFill="1" applyBorder="1"/>
    <xf numFmtId="10" fontId="16" fillId="0" borderId="0" xfId="0" applyNumberFormat="1" applyFont="1" applyFill="1" applyBorder="1" applyAlignment="1">
      <alignment horizontal="center"/>
    </xf>
    <xf numFmtId="10" fontId="12" fillId="0" borderId="6" xfId="0" applyNumberFormat="1" applyFont="1" applyBorder="1" applyAlignment="1">
      <alignment horizontal="center"/>
    </xf>
    <xf numFmtId="176" fontId="6" fillId="0" borderId="0" xfId="0" applyNumberFormat="1" applyFont="1" applyFill="1" applyBorder="1"/>
    <xf numFmtId="9" fontId="6" fillId="0" borderId="0" xfId="0" applyNumberFormat="1" applyFont="1" applyFill="1" applyBorder="1"/>
    <xf numFmtId="0" fontId="6" fillId="0" borderId="11" xfId="0" applyFont="1" applyBorder="1"/>
    <xf numFmtId="0" fontId="6" fillId="0" borderId="15" xfId="0" applyFont="1" applyBorder="1" applyProtection="1">
      <protection locked="0"/>
    </xf>
    <xf numFmtId="170" fontId="6" fillId="0" borderId="15" xfId="0" applyNumberFormat="1" applyFont="1" applyFill="1" applyBorder="1" applyAlignment="1">
      <alignment horizontal="center"/>
    </xf>
    <xf numFmtId="169" fontId="6" fillId="0" borderId="15" xfId="0" applyNumberFormat="1" applyFont="1" applyFill="1" applyBorder="1" applyAlignment="1">
      <alignment horizontal="center"/>
    </xf>
    <xf numFmtId="9" fontId="6" fillId="0" borderId="15" xfId="0" applyNumberFormat="1" applyFont="1" applyFill="1" applyBorder="1"/>
    <xf numFmtId="169" fontId="6" fillId="0" borderId="15" xfId="0" applyNumberFormat="1" applyFont="1" applyBorder="1"/>
    <xf numFmtId="166" fontId="6" fillId="0" borderId="12" xfId="0" applyNumberFormat="1" applyFont="1" applyBorder="1"/>
    <xf numFmtId="166" fontId="6" fillId="0" borderId="0" xfId="0" applyNumberFormat="1" applyFont="1" applyBorder="1"/>
    <xf numFmtId="170" fontId="16" fillId="0" borderId="0" xfId="0" applyNumberFormat="1" applyFont="1" applyFill="1" applyBorder="1"/>
    <xf numFmtId="172" fontId="16" fillId="0" borderId="0" xfId="0" applyNumberFormat="1" applyFont="1" applyFill="1" applyBorder="1"/>
    <xf numFmtId="0" fontId="14" fillId="0" borderId="3" xfId="0" applyFont="1" applyFill="1" applyBorder="1" applyAlignment="1">
      <alignment horizontal="center"/>
    </xf>
    <xf numFmtId="169" fontId="6" fillId="0" borderId="16" xfId="0" applyNumberFormat="1" applyFont="1" applyFill="1" applyBorder="1" applyAlignment="1">
      <alignment horizontal="center"/>
    </xf>
    <xf numFmtId="166" fontId="6" fillId="0" borderId="14" xfId="0" applyNumberFormat="1" applyFont="1" applyBorder="1" applyAlignment="1">
      <alignment horizontal="center"/>
    </xf>
    <xf numFmtId="10" fontId="6" fillId="0" borderId="0" xfId="0" applyNumberFormat="1" applyFont="1" applyFill="1" applyBorder="1" applyAlignment="1">
      <alignment horizontal="center"/>
    </xf>
    <xf numFmtId="3" fontId="6" fillId="0" borderId="2" xfId="0" applyNumberFormat="1" applyFont="1" applyFill="1" applyBorder="1"/>
    <xf numFmtId="166" fontId="6" fillId="0" borderId="14" xfId="0" applyNumberFormat="1" applyFont="1" applyFill="1" applyBorder="1"/>
    <xf numFmtId="166" fontId="6" fillId="0" borderId="0" xfId="0" applyNumberFormat="1" applyFont="1" applyFill="1" applyBorder="1" applyAlignment="1">
      <alignment horizontal="left"/>
    </xf>
    <xf numFmtId="171" fontId="6" fillId="0" borderId="0" xfId="0" applyNumberFormat="1" applyFont="1" applyFill="1" applyBorder="1"/>
    <xf numFmtId="177" fontId="6" fillId="0" borderId="0" xfId="0" applyNumberFormat="1" applyFont="1" applyBorder="1"/>
    <xf numFmtId="164" fontId="6" fillId="0" borderId="0" xfId="0" applyNumberFormat="1" applyFont="1" applyFill="1"/>
    <xf numFmtId="169" fontId="6" fillId="0" borderId="2" xfId="0" applyNumberFormat="1" applyFont="1" applyBorder="1" applyAlignment="1">
      <alignment horizontal="right"/>
    </xf>
    <xf numFmtId="172" fontId="6" fillId="0" borderId="0" xfId="0" applyNumberFormat="1" applyFont="1" applyFill="1" applyAlignment="1">
      <alignment horizontal="center"/>
    </xf>
    <xf numFmtId="170" fontId="6" fillId="0" borderId="0" xfId="0" applyNumberFormat="1" applyFont="1" applyFill="1" applyAlignment="1">
      <alignment horizontal="center"/>
    </xf>
    <xf numFmtId="166" fontId="6" fillId="0" borderId="0" xfId="0" applyNumberFormat="1" applyFont="1" applyFill="1" applyBorder="1"/>
    <xf numFmtId="8" fontId="6" fillId="0" borderId="0" xfId="0" applyNumberFormat="1" applyFont="1" applyBorder="1"/>
    <xf numFmtId="172" fontId="6" fillId="0" borderId="0" xfId="0" applyNumberFormat="1" applyFont="1" applyAlignment="1">
      <alignment horizontal="center"/>
    </xf>
    <xf numFmtId="169" fontId="6" fillId="0" borderId="15" xfId="0" applyNumberFormat="1" applyFont="1" applyBorder="1" applyAlignment="1">
      <alignment horizontal="center"/>
    </xf>
    <xf numFmtId="178" fontId="6" fillId="0" borderId="0" xfId="0" applyNumberFormat="1" applyFont="1"/>
    <xf numFmtId="178" fontId="6" fillId="0" borderId="0" xfId="0" applyNumberFormat="1" applyFont="1" applyFill="1"/>
    <xf numFmtId="178" fontId="6" fillId="0" borderId="0" xfId="0" applyNumberFormat="1" applyFont="1" applyBorder="1"/>
    <xf numFmtId="178" fontId="6" fillId="0" borderId="0" xfId="0" applyNumberFormat="1" applyFont="1" applyAlignment="1">
      <alignment horizontal="left"/>
    </xf>
    <xf numFmtId="3" fontId="6" fillId="0" borderId="0" xfId="0" applyNumberFormat="1" applyFont="1"/>
    <xf numFmtId="175" fontId="6" fillId="0" borderId="2" xfId="0" applyNumberFormat="1" applyFont="1" applyBorder="1"/>
    <xf numFmtId="178" fontId="6" fillId="0" borderId="2" xfId="0" applyNumberFormat="1" applyFont="1" applyBorder="1"/>
    <xf numFmtId="169" fontId="6" fillId="0" borderId="19" xfId="0" applyNumberFormat="1" applyFont="1" applyBorder="1"/>
    <xf numFmtId="172" fontId="6" fillId="0" borderId="0" xfId="0" applyNumberFormat="1" applyFont="1" applyAlignment="1">
      <alignment horizontal="centerContinuous"/>
    </xf>
    <xf numFmtId="3" fontId="6" fillId="0" borderId="0" xfId="0" applyNumberFormat="1" applyFont="1" applyFill="1" applyBorder="1" applyAlignment="1">
      <alignment horizontal="centerContinuous"/>
    </xf>
    <xf numFmtId="170" fontId="6" fillId="0" borderId="0" xfId="0" applyNumberFormat="1" applyFont="1" applyFill="1" applyAlignment="1">
      <alignment horizontal="centerContinuous"/>
    </xf>
    <xf numFmtId="0" fontId="17" fillId="0" borderId="0" xfId="0" applyFont="1" applyBorder="1" applyAlignment="1">
      <alignment horizontal="left"/>
    </xf>
    <xf numFmtId="172" fontId="6" fillId="0" borderId="0" xfId="0" applyNumberFormat="1" applyFont="1" applyBorder="1"/>
    <xf numFmtId="171" fontId="6" fillId="0" borderId="0" xfId="0" applyNumberFormat="1" applyFont="1" applyBorder="1" applyAlignment="1">
      <alignment horizontal="right"/>
    </xf>
    <xf numFmtId="3" fontId="6" fillId="0" borderId="2" xfId="0" applyNumberFormat="1" applyFont="1" applyFill="1" applyBorder="1" applyAlignment="1">
      <alignment horizontal="center"/>
    </xf>
    <xf numFmtId="3" fontId="6" fillId="0" borderId="15" xfId="0" applyNumberFormat="1" applyFont="1" applyBorder="1" applyAlignment="1">
      <alignment horizontal="center"/>
    </xf>
    <xf numFmtId="172" fontId="6" fillId="0" borderId="15" xfId="0" applyNumberFormat="1" applyFont="1" applyBorder="1" applyAlignment="1">
      <alignment horizontal="center"/>
    </xf>
    <xf numFmtId="171" fontId="6" fillId="0" borderId="14" xfId="0" applyNumberFormat="1" applyFont="1" applyBorder="1" applyAlignment="1">
      <alignment horizontal="right"/>
    </xf>
    <xf numFmtId="172" fontId="6" fillId="0" borderId="8" xfId="0" applyNumberFormat="1" applyFont="1" applyBorder="1"/>
    <xf numFmtId="3" fontId="6" fillId="0" borderId="8" xfId="0" applyNumberFormat="1" applyFont="1" applyFill="1" applyBorder="1" applyProtection="1">
      <protection locked="0"/>
    </xf>
    <xf numFmtId="170" fontId="6" fillId="0" borderId="8" xfId="0" applyNumberFormat="1" applyFont="1" applyFill="1" applyBorder="1"/>
    <xf numFmtId="170" fontId="6" fillId="0" borderId="8" xfId="0" applyNumberFormat="1" applyFont="1" applyBorder="1" applyAlignment="1">
      <alignment horizontal="right"/>
    </xf>
    <xf numFmtId="10" fontId="6" fillId="0" borderId="0" xfId="0" applyNumberFormat="1" applyFont="1" applyBorder="1" applyAlignment="1">
      <alignment horizontal="center"/>
    </xf>
    <xf numFmtId="7" fontId="6" fillId="0" borderId="0" xfId="0" applyNumberFormat="1" applyFont="1"/>
    <xf numFmtId="9" fontId="16" fillId="0" borderId="0" xfId="0" applyNumberFormat="1" applyFont="1" applyFill="1" applyBorder="1"/>
    <xf numFmtId="169" fontId="6" fillId="0" borderId="2" xfId="0" applyNumberFormat="1" applyFont="1" applyFill="1" applyBorder="1" applyAlignment="1">
      <alignment horizontal="right"/>
    </xf>
    <xf numFmtId="166" fontId="6" fillId="0" borderId="5" xfId="0" applyNumberFormat="1" applyFont="1" applyFill="1" applyBorder="1" applyAlignment="1">
      <alignment horizontal="right"/>
    </xf>
    <xf numFmtId="0" fontId="6" fillId="0" borderId="0" xfId="0" applyFont="1" applyFill="1" applyAlignment="1">
      <alignment horizontal="center"/>
    </xf>
    <xf numFmtId="170" fontId="6" fillId="0" borderId="0" xfId="0" applyNumberFormat="1" applyFont="1" applyAlignment="1">
      <alignment horizontal="center"/>
    </xf>
    <xf numFmtId="172" fontId="6" fillId="0" borderId="15" xfId="0" applyNumberFormat="1" applyFont="1" applyBorder="1"/>
    <xf numFmtId="170" fontId="6" fillId="0" borderId="15" xfId="0" applyNumberFormat="1" applyFont="1" applyFill="1" applyBorder="1"/>
    <xf numFmtId="170" fontId="6" fillId="0" borderId="15" xfId="0" applyNumberFormat="1" applyFont="1" applyBorder="1" applyAlignment="1">
      <alignment horizontal="right"/>
    </xf>
    <xf numFmtId="170" fontId="6" fillId="0" borderId="0" xfId="0" applyNumberFormat="1" applyFont="1" applyFill="1" applyBorder="1" applyAlignment="1">
      <alignment horizontal="right"/>
    </xf>
    <xf numFmtId="169" fontId="6" fillId="0" borderId="8" xfId="0" applyNumberFormat="1" applyFont="1" applyFill="1" applyBorder="1"/>
    <xf numFmtId="170" fontId="6" fillId="0" borderId="8" xfId="0" applyNumberFormat="1" applyFont="1" applyFill="1" applyBorder="1" applyAlignment="1">
      <alignment horizontal="right"/>
    </xf>
    <xf numFmtId="0" fontId="3" fillId="0" borderId="0" xfId="0" applyFont="1" applyFill="1" applyBorder="1" applyProtection="1">
      <protection locked="0"/>
    </xf>
    <xf numFmtId="169" fontId="6" fillId="0" borderId="0" xfId="0" applyNumberFormat="1" applyFont="1" applyFill="1" applyBorder="1" applyProtection="1">
      <protection locked="0"/>
    </xf>
    <xf numFmtId="169" fontId="6" fillId="0" borderId="15" xfId="0" applyNumberFormat="1" applyFont="1" applyFill="1" applyBorder="1" applyAlignment="1">
      <alignment horizontal="right"/>
    </xf>
    <xf numFmtId="171" fontId="6" fillId="0" borderId="0" xfId="0" applyNumberFormat="1" applyFont="1" applyFill="1" applyBorder="1" applyAlignment="1">
      <alignment horizontal="left"/>
    </xf>
    <xf numFmtId="172" fontId="6" fillId="0" borderId="15" xfId="0" applyNumberFormat="1" applyFont="1" applyFill="1" applyBorder="1"/>
    <xf numFmtId="170" fontId="6" fillId="0" borderId="15" xfId="0" applyNumberFormat="1" applyFont="1" applyFill="1" applyBorder="1" applyAlignment="1">
      <alignment horizontal="right"/>
    </xf>
    <xf numFmtId="169" fontId="6" fillId="0" borderId="8" xfId="0" applyNumberFormat="1" applyFont="1" applyFill="1" applyBorder="1" applyAlignment="1">
      <alignment horizontal="right"/>
    </xf>
    <xf numFmtId="170" fontId="16" fillId="0" borderId="0" xfId="0" applyNumberFormat="1" applyFont="1" applyBorder="1" applyAlignment="1">
      <alignment horizontal="right"/>
    </xf>
    <xf numFmtId="172" fontId="6" fillId="0" borderId="0" xfId="0" applyNumberFormat="1" applyFont="1" applyBorder="1" applyAlignment="1">
      <alignment horizontal="center"/>
    </xf>
    <xf numFmtId="10" fontId="14" fillId="0" borderId="6" xfId="2" applyNumberFormat="1" applyFont="1" applyBorder="1" applyAlignment="1">
      <alignment horizontal="center"/>
    </xf>
    <xf numFmtId="166" fontId="6" fillId="0" borderId="5" xfId="0" applyNumberFormat="1" applyFont="1" applyBorder="1" applyAlignment="1">
      <alignment horizontal="right"/>
    </xf>
    <xf numFmtId="172" fontId="6" fillId="0" borderId="15" xfId="0" applyNumberFormat="1" applyFont="1" applyFill="1" applyBorder="1" applyAlignment="1">
      <alignment horizontal="right"/>
    </xf>
    <xf numFmtId="172" fontId="6" fillId="0" borderId="0" xfId="0" applyNumberFormat="1" applyFont="1" applyFill="1" applyBorder="1" applyAlignment="1">
      <alignment horizontal="right"/>
    </xf>
    <xf numFmtId="166" fontId="6" fillId="0" borderId="0" xfId="0" applyNumberFormat="1" applyFont="1" applyBorder="1" applyAlignment="1">
      <alignment horizontal="right"/>
    </xf>
    <xf numFmtId="166" fontId="6" fillId="0" borderId="0" xfId="0" applyNumberFormat="1" applyFont="1" applyFill="1" applyBorder="1" applyAlignment="1">
      <alignment horizontal="right"/>
    </xf>
    <xf numFmtId="169" fontId="15" fillId="0" borderId="16" xfId="0" applyNumberFormat="1" applyFont="1" applyBorder="1" applyAlignment="1">
      <alignment horizontal="center"/>
    </xf>
    <xf numFmtId="4" fontId="6" fillId="0" borderId="0" xfId="0" applyNumberFormat="1" applyFont="1" applyBorder="1" applyAlignment="1">
      <alignment horizontal="center"/>
    </xf>
    <xf numFmtId="10" fontId="6" fillId="0" borderId="6" xfId="0" applyNumberFormat="1" applyFont="1" applyBorder="1" applyAlignment="1">
      <alignment horizontal="center"/>
    </xf>
    <xf numFmtId="10" fontId="6" fillId="0" borderId="6" xfId="2" applyNumberFormat="1" applyFont="1" applyFill="1" applyBorder="1" applyAlignment="1">
      <alignment horizontal="center"/>
    </xf>
    <xf numFmtId="172" fontId="10" fillId="2" borderId="0" xfId="0" applyNumberFormat="1" applyFont="1" applyFill="1" applyBorder="1"/>
    <xf numFmtId="179" fontId="16" fillId="0" borderId="0" xfId="0" applyNumberFormat="1" applyFont="1" applyFill="1" applyBorder="1"/>
    <xf numFmtId="0" fontId="6" fillId="0" borderId="8" xfId="0" applyFont="1" applyFill="1" applyBorder="1" applyProtection="1">
      <protection locked="0"/>
    </xf>
    <xf numFmtId="164" fontId="6" fillId="0" borderId="8" xfId="0" applyNumberFormat="1" applyFont="1" applyFill="1" applyBorder="1"/>
    <xf numFmtId="166" fontId="6" fillId="0" borderId="9" xfId="0" applyNumberFormat="1" applyFont="1" applyFill="1" applyBorder="1" applyAlignment="1">
      <alignment horizontal="right"/>
    </xf>
    <xf numFmtId="169" fontId="16" fillId="0" borderId="0" xfId="0" applyNumberFormat="1" applyFont="1" applyFill="1" applyBorder="1" applyAlignment="1">
      <alignment horizontal="right"/>
    </xf>
    <xf numFmtId="166" fontId="6" fillId="0" borderId="14" xfId="0" applyNumberFormat="1" applyFont="1" applyFill="1" applyBorder="1" applyAlignment="1">
      <alignment horizontal="center"/>
    </xf>
    <xf numFmtId="5" fontId="6" fillId="0" borderId="0" xfId="0" applyNumberFormat="1" applyFont="1" applyFill="1" applyBorder="1"/>
    <xf numFmtId="5" fontId="6" fillId="0" borderId="0" xfId="0" applyNumberFormat="1" applyFont="1" applyBorder="1"/>
    <xf numFmtId="5" fontId="6" fillId="0" borderId="2" xfId="0" applyNumberFormat="1" applyFont="1" applyFill="1" applyBorder="1"/>
    <xf numFmtId="5" fontId="6" fillId="0" borderId="2" xfId="0" applyNumberFormat="1" applyFont="1" applyBorder="1"/>
    <xf numFmtId="5" fontId="6" fillId="0" borderId="0" xfId="0" applyNumberFormat="1" applyFont="1" applyFill="1"/>
    <xf numFmtId="5" fontId="6" fillId="0" borderId="0" xfId="0" applyNumberFormat="1" applyFont="1" applyFill="1" applyBorder="1" applyAlignment="1">
      <alignment horizontal="center"/>
    </xf>
    <xf numFmtId="5" fontId="6" fillId="0" borderId="0" xfId="0" applyNumberFormat="1" applyFont="1"/>
    <xf numFmtId="5" fontId="15" fillId="0" borderId="0" xfId="0" applyNumberFormat="1" applyFont="1" applyFill="1"/>
    <xf numFmtId="41" fontId="15" fillId="0" borderId="0" xfId="0" applyNumberFormat="1" applyFont="1" applyFill="1"/>
    <xf numFmtId="41" fontId="6" fillId="0" borderId="0" xfId="0" applyNumberFormat="1" applyFont="1"/>
    <xf numFmtId="170" fontId="6" fillId="0" borderId="0" xfId="0" applyNumberFormat="1" applyFont="1" applyFill="1"/>
    <xf numFmtId="42" fontId="6" fillId="0" borderId="0" xfId="0" applyNumberFormat="1" applyFont="1"/>
    <xf numFmtId="42" fontId="15" fillId="0" borderId="0" xfId="0" applyNumberFormat="1" applyFont="1"/>
    <xf numFmtId="172" fontId="6" fillId="0" borderId="0" xfId="0" applyNumberFormat="1" applyFont="1"/>
    <xf numFmtId="0" fontId="14" fillId="0" borderId="20" xfId="0" applyFont="1" applyBorder="1"/>
    <xf numFmtId="0" fontId="6" fillId="0" borderId="21" xfId="0" applyFont="1" applyBorder="1"/>
    <xf numFmtId="164" fontId="6" fillId="0" borderId="21" xfId="0" applyNumberFormat="1" applyFont="1" applyFill="1" applyBorder="1"/>
    <xf numFmtId="169" fontId="6" fillId="0" borderId="22" xfId="0" applyNumberFormat="1" applyFont="1" applyBorder="1"/>
    <xf numFmtId="0" fontId="14" fillId="0" borderId="23" xfId="0" applyFont="1" applyBorder="1"/>
    <xf numFmtId="0" fontId="6" fillId="0" borderId="24" xfId="0" applyFont="1" applyBorder="1"/>
    <xf numFmtId="164" fontId="6" fillId="0" borderId="24" xfId="0" applyNumberFormat="1" applyFont="1" applyFill="1" applyBorder="1"/>
    <xf numFmtId="169" fontId="6" fillId="0" borderId="25" xfId="0" applyNumberFormat="1" applyFont="1" applyBorder="1"/>
    <xf numFmtId="171" fontId="6" fillId="0" borderId="0" xfId="0" applyNumberFormat="1" applyFont="1" applyAlignment="1">
      <alignment horizontal="right"/>
    </xf>
    <xf numFmtId="0" fontId="18" fillId="0" borderId="0" xfId="0" applyFont="1" applyFill="1" applyAlignment="1">
      <alignment horizontal="centerContinuous"/>
    </xf>
    <xf numFmtId="0" fontId="19" fillId="0" borderId="0" xfId="0" applyFont="1" applyFill="1"/>
    <xf numFmtId="170" fontId="6" fillId="0" borderId="0" xfId="0" applyNumberFormat="1" applyFont="1" applyFill="1" applyBorder="1" applyAlignment="1">
      <alignment horizontal="centerContinuous"/>
    </xf>
    <xf numFmtId="0" fontId="3" fillId="0" borderId="0" xfId="0" applyFont="1" applyFill="1" applyAlignment="1"/>
    <xf numFmtId="0" fontId="3" fillId="0" borderId="4" xfId="0" applyFont="1" applyFill="1" applyBorder="1" applyAlignment="1">
      <alignment horizontal="center"/>
    </xf>
    <xf numFmtId="0" fontId="18" fillId="0" borderId="2" xfId="0" applyFont="1" applyFill="1" applyBorder="1" applyAlignment="1">
      <alignment horizontal="center"/>
    </xf>
    <xf numFmtId="0" fontId="3" fillId="0" borderId="2" xfId="0" applyFont="1" applyFill="1" applyBorder="1" applyAlignment="1"/>
    <xf numFmtId="170" fontId="3" fillId="0" borderId="2" xfId="0" applyNumberFormat="1" applyFont="1" applyFill="1" applyBorder="1" applyAlignment="1">
      <alignment horizontal="left"/>
    </xf>
    <xf numFmtId="0" fontId="3" fillId="0" borderId="11" xfId="0" applyFont="1" applyFill="1" applyBorder="1" applyAlignment="1">
      <alignment horizontal="center"/>
    </xf>
    <xf numFmtId="0" fontId="18" fillId="0" borderId="15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wrapText="1"/>
    </xf>
    <xf numFmtId="170" fontId="3" fillId="0" borderId="15" xfId="0" applyNumberFormat="1" applyFont="1" applyFill="1" applyBorder="1" applyAlignment="1">
      <alignment horizontal="center" wrapText="1"/>
    </xf>
    <xf numFmtId="170" fontId="18" fillId="0" borderId="15" xfId="0" applyNumberFormat="1" applyFont="1" applyFill="1" applyBorder="1" applyAlignment="1">
      <alignment horizontal="center" wrapText="1"/>
    </xf>
    <xf numFmtId="170" fontId="3" fillId="0" borderId="15" xfId="0" applyNumberFormat="1" applyFont="1" applyFill="1" applyBorder="1" applyAlignment="1">
      <alignment horizontal="center" vertical="center" wrapText="1"/>
    </xf>
    <xf numFmtId="170" fontId="3" fillId="0" borderId="15" xfId="0" applyNumberFormat="1" applyFont="1" applyFill="1" applyBorder="1" applyAlignment="1">
      <alignment horizontal="center"/>
    </xf>
    <xf numFmtId="170" fontId="3" fillId="0" borderId="12" xfId="0" applyNumberFormat="1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0" fontId="19" fillId="0" borderId="15" xfId="0" applyFont="1" applyFill="1" applyBorder="1" applyAlignment="1">
      <alignment horizontal="center"/>
    </xf>
    <xf numFmtId="170" fontId="6" fillId="0" borderId="15" xfId="0" applyNumberFormat="1" applyFont="1" applyFill="1" applyBorder="1" applyAlignment="1">
      <alignment horizontal="center" wrapText="1"/>
    </xf>
    <xf numFmtId="170" fontId="19" fillId="0" borderId="15" xfId="0" applyNumberFormat="1" applyFont="1" applyFill="1" applyBorder="1" applyAlignment="1">
      <alignment horizontal="center" wrapText="1"/>
    </xf>
    <xf numFmtId="170" fontId="6" fillId="0" borderId="12" xfId="0" applyNumberFormat="1" applyFont="1" applyFill="1" applyBorder="1" applyAlignment="1">
      <alignment horizontal="center"/>
    </xf>
    <xf numFmtId="0" fontId="3" fillId="0" borderId="4" xfId="0" applyFont="1" applyFill="1" applyBorder="1"/>
    <xf numFmtId="0" fontId="18" fillId="0" borderId="2" xfId="0" applyFont="1" applyFill="1" applyBorder="1"/>
    <xf numFmtId="0" fontId="6" fillId="0" borderId="2" xfId="0" applyFont="1" applyFill="1" applyBorder="1"/>
    <xf numFmtId="3" fontId="19" fillId="0" borderId="2" xfId="0" applyNumberFormat="1" applyFont="1" applyFill="1" applyBorder="1"/>
    <xf numFmtId="170" fontId="6" fillId="0" borderId="2" xfId="0" applyNumberFormat="1" applyFont="1" applyFill="1" applyBorder="1" applyAlignment="1">
      <alignment horizontal="center"/>
    </xf>
    <xf numFmtId="169" fontId="6" fillId="0" borderId="2" xfId="0" applyNumberFormat="1" applyFont="1" applyFill="1" applyBorder="1" applyAlignment="1">
      <alignment horizontal="center"/>
    </xf>
    <xf numFmtId="169" fontId="6" fillId="0" borderId="5" xfId="0" applyNumberFormat="1" applyFont="1" applyFill="1" applyBorder="1"/>
    <xf numFmtId="0" fontId="19" fillId="0" borderId="0" xfId="0" applyFont="1" applyFill="1" applyBorder="1"/>
    <xf numFmtId="172" fontId="6" fillId="0" borderId="14" xfId="0" applyNumberFormat="1" applyFont="1" applyFill="1" applyBorder="1"/>
    <xf numFmtId="0" fontId="19" fillId="0" borderId="15" xfId="0" applyFont="1" applyFill="1" applyBorder="1"/>
    <xf numFmtId="0" fontId="6" fillId="0" borderId="15" xfId="0" applyFont="1" applyFill="1" applyBorder="1" applyAlignment="1">
      <alignment horizontal="right"/>
    </xf>
    <xf numFmtId="169" fontId="19" fillId="0" borderId="15" xfId="0" applyNumberFormat="1" applyFont="1" applyFill="1" applyBorder="1"/>
    <xf numFmtId="174" fontId="6" fillId="0" borderId="15" xfId="0" applyNumberFormat="1" applyFont="1" applyFill="1" applyBorder="1"/>
    <xf numFmtId="170" fontId="6" fillId="0" borderId="12" xfId="0" applyNumberFormat="1" applyFont="1" applyFill="1" applyBorder="1"/>
    <xf numFmtId="174" fontId="6" fillId="0" borderId="0" xfId="0" applyNumberFormat="1" applyFont="1" applyFill="1" applyBorder="1"/>
    <xf numFmtId="170" fontId="6" fillId="0" borderId="14" xfId="0" applyNumberFormat="1" applyFont="1" applyFill="1" applyBorder="1"/>
    <xf numFmtId="0" fontId="3" fillId="0" borderId="4" xfId="0" applyFont="1" applyFill="1" applyBorder="1" applyProtection="1">
      <protection locked="0"/>
    </xf>
    <xf numFmtId="0" fontId="19" fillId="0" borderId="2" xfId="0" applyFont="1" applyFill="1" applyBorder="1"/>
    <xf numFmtId="169" fontId="6" fillId="0" borderId="14" xfId="0" applyNumberFormat="1" applyFont="1" applyFill="1" applyBorder="1"/>
    <xf numFmtId="170" fontId="19" fillId="0" borderId="0" xfId="0" applyNumberFormat="1" applyFont="1" applyFill="1" applyBorder="1"/>
    <xf numFmtId="169" fontId="19" fillId="0" borderId="0" xfId="0" applyNumberFormat="1" applyFont="1" applyFill="1" applyBorder="1"/>
    <xf numFmtId="172" fontId="19" fillId="0" borderId="0" xfId="0" applyNumberFormat="1" applyFont="1" applyFill="1" applyBorder="1"/>
    <xf numFmtId="169" fontId="19" fillId="0" borderId="2" xfId="0" applyNumberFormat="1" applyFont="1" applyFill="1" applyBorder="1"/>
    <xf numFmtId="169" fontId="6" fillId="0" borderId="0" xfId="0" applyNumberFormat="1" applyFont="1" applyFill="1"/>
    <xf numFmtId="169" fontId="3" fillId="0" borderId="2" xfId="0" applyNumberFormat="1" applyFont="1" applyFill="1" applyBorder="1"/>
    <xf numFmtId="169" fontId="3" fillId="0" borderId="5" xfId="0" applyNumberFormat="1" applyFont="1" applyFill="1" applyBorder="1"/>
    <xf numFmtId="180" fontId="19" fillId="0" borderId="15" xfId="0" applyNumberFormat="1" applyFont="1" applyFill="1" applyBorder="1"/>
    <xf numFmtId="180" fontId="6" fillId="0" borderId="15" xfId="0" applyNumberFormat="1" applyFont="1" applyFill="1" applyBorder="1"/>
    <xf numFmtId="169" fontId="6" fillId="0" borderId="12" xfId="0" applyNumberFormat="1" applyFont="1" applyFill="1" applyBorder="1"/>
    <xf numFmtId="0" fontId="18" fillId="0" borderId="8" xfId="0" applyFont="1" applyFill="1" applyBorder="1" applyProtection="1">
      <protection locked="0"/>
    </xf>
    <xf numFmtId="0" fontId="19" fillId="0" borderId="8" xfId="0" applyFont="1" applyFill="1" applyBorder="1"/>
    <xf numFmtId="0" fontId="6" fillId="0" borderId="9" xfId="0" applyFont="1" applyFill="1" applyBorder="1"/>
    <xf numFmtId="0" fontId="18" fillId="0" borderId="0" xfId="0" applyFont="1" applyFill="1" applyBorder="1"/>
    <xf numFmtId="0" fontId="19" fillId="0" borderId="0" xfId="0" applyFont="1" applyFill="1" applyBorder="1" applyProtection="1">
      <protection locked="0"/>
    </xf>
    <xf numFmtId="3" fontId="19" fillId="0" borderId="0" xfId="0" applyNumberFormat="1" applyFont="1" applyFill="1" applyBorder="1"/>
    <xf numFmtId="0" fontId="3" fillId="0" borderId="11" xfId="0" applyFont="1" applyFill="1" applyBorder="1"/>
    <xf numFmtId="0" fontId="18" fillId="0" borderId="15" xfId="0" applyFont="1" applyFill="1" applyBorder="1"/>
    <xf numFmtId="0" fontId="6" fillId="0" borderId="7" xfId="0" applyFont="1" applyFill="1" applyBorder="1" applyAlignment="1">
      <alignment horizontal="center"/>
    </xf>
    <xf numFmtId="0" fontId="19" fillId="0" borderId="8" xfId="0" applyFont="1" applyFill="1" applyBorder="1" applyAlignment="1">
      <alignment horizontal="center"/>
    </xf>
    <xf numFmtId="0" fontId="6" fillId="0" borderId="8" xfId="0" applyFont="1" applyFill="1" applyBorder="1" applyAlignment="1">
      <alignment horizontal="center"/>
    </xf>
    <xf numFmtId="0" fontId="6" fillId="0" borderId="14" xfId="0" applyFont="1" applyFill="1" applyBorder="1"/>
    <xf numFmtId="0" fontId="6" fillId="0" borderId="12" xfId="0" applyFont="1" applyFill="1" applyBorder="1"/>
    <xf numFmtId="169" fontId="3" fillId="0" borderId="14" xfId="0" applyNumberFormat="1" applyFont="1" applyFill="1" applyBorder="1"/>
    <xf numFmtId="169" fontId="19" fillId="0" borderId="2" xfId="0" applyNumberFormat="1" applyFont="1" applyFill="1" applyBorder="1" applyAlignment="1">
      <alignment horizontal="right"/>
    </xf>
    <xf numFmtId="172" fontId="6" fillId="0" borderId="8" xfId="0" applyNumberFormat="1" applyFont="1" applyFill="1" applyBorder="1"/>
    <xf numFmtId="169" fontId="19" fillId="0" borderId="0" xfId="0" applyNumberFormat="1" applyFont="1" applyFill="1" applyBorder="1" applyAlignment="1">
      <alignment horizontal="right"/>
    </xf>
    <xf numFmtId="3" fontId="19" fillId="0" borderId="15" xfId="0" applyNumberFormat="1" applyFont="1" applyFill="1" applyBorder="1"/>
    <xf numFmtId="169" fontId="6" fillId="0" borderId="14" xfId="0" applyNumberFormat="1" applyFont="1" applyFill="1" applyBorder="1" applyAlignment="1">
      <alignment horizontal="right"/>
    </xf>
    <xf numFmtId="0" fontId="3" fillId="0" borderId="13" xfId="0" applyFont="1" applyFill="1" applyBorder="1" applyProtection="1">
      <protection locked="0"/>
    </xf>
    <xf numFmtId="0" fontId="18" fillId="0" borderId="0" xfId="0" applyFont="1" applyFill="1" applyBorder="1" applyProtection="1">
      <protection locked="0"/>
    </xf>
    <xf numFmtId="169" fontId="3" fillId="0" borderId="14" xfId="0" applyNumberFormat="1" applyFont="1" applyFill="1" applyBorder="1" applyAlignment="1">
      <alignment horizontal="right"/>
    </xf>
    <xf numFmtId="170" fontId="10" fillId="2" borderId="0" xfId="0" applyNumberFormat="1" applyFont="1" applyFill="1" applyBorder="1" applyAlignment="1">
      <alignment horizontal="right"/>
    </xf>
    <xf numFmtId="10" fontId="10" fillId="2" borderId="0" xfId="2" applyNumberFormat="1" applyFont="1" applyFill="1"/>
    <xf numFmtId="10" fontId="10" fillId="2" borderId="15" xfId="2" applyNumberFormat="1" applyFont="1" applyFill="1" applyBorder="1"/>
    <xf numFmtId="181" fontId="10" fillId="2" borderId="0" xfId="0" applyNumberFormat="1" applyFont="1" applyFill="1"/>
    <xf numFmtId="0" fontId="3" fillId="0" borderId="7" xfId="0" applyFont="1" applyFill="1" applyBorder="1"/>
    <xf numFmtId="0" fontId="18" fillId="0" borderId="8" xfId="0" applyFont="1" applyFill="1" applyBorder="1"/>
    <xf numFmtId="169" fontId="19" fillId="0" borderId="8" xfId="0" applyNumberFormat="1" applyFont="1" applyFill="1" applyBorder="1"/>
    <xf numFmtId="0" fontId="18" fillId="0" borderId="0" xfId="0" applyFont="1" applyFill="1"/>
    <xf numFmtId="175" fontId="19" fillId="0" borderId="0" xfId="0" applyNumberFormat="1" applyFont="1" applyFill="1" applyBorder="1"/>
    <xf numFmtId="170" fontId="19" fillId="0" borderId="0" xfId="0" applyNumberFormat="1" applyFont="1" applyFill="1"/>
    <xf numFmtId="164" fontId="19" fillId="0" borderId="0" xfId="0" applyNumberFormat="1" applyFont="1" applyFill="1" applyBorder="1"/>
    <xf numFmtId="175" fontId="19" fillId="0" borderId="2" xfId="0" applyNumberFormat="1" applyFont="1" applyFill="1" applyBorder="1"/>
    <xf numFmtId="164" fontId="19" fillId="0" borderId="2" xfId="0" applyNumberFormat="1" applyFont="1" applyFill="1" applyBorder="1"/>
    <xf numFmtId="175" fontId="19" fillId="0" borderId="0" xfId="0" applyNumberFormat="1" applyFont="1" applyFill="1"/>
    <xf numFmtId="164" fontId="19" fillId="0" borderId="0" xfId="0" applyNumberFormat="1" applyFont="1" applyFill="1"/>
    <xf numFmtId="164" fontId="18" fillId="0" borderId="0" xfId="0" applyNumberFormat="1" applyFont="1" applyFill="1"/>
    <xf numFmtId="164" fontId="20" fillId="0" borderId="0" xfId="0" applyNumberFormat="1" applyFont="1" applyFill="1"/>
    <xf numFmtId="164" fontId="21" fillId="0" borderId="0" xfId="0" applyNumberFormat="1" applyFont="1" applyFill="1"/>
    <xf numFmtId="164" fontId="21" fillId="0" borderId="0" xfId="0" applyNumberFormat="1" applyFont="1" applyFill="1" applyBorder="1"/>
    <xf numFmtId="0" fontId="3" fillId="0" borderId="0" xfId="0" applyFont="1" applyFill="1"/>
    <xf numFmtId="0" fontId="22" fillId="0" borderId="0" xfId="0" applyFont="1"/>
    <xf numFmtId="0" fontId="23" fillId="0" borderId="0" xfId="0" applyFont="1"/>
    <xf numFmtId="175" fontId="23" fillId="0" borderId="0" xfId="0" applyNumberFormat="1" applyFont="1"/>
    <xf numFmtId="175" fontId="23" fillId="0" borderId="0" xfId="0" applyNumberFormat="1" applyFont="1" applyAlignment="1"/>
    <xf numFmtId="0" fontId="22" fillId="0" borderId="0" xfId="0" applyFont="1" applyAlignment="1">
      <alignment horizontal="center"/>
    </xf>
    <xf numFmtId="0" fontId="4" fillId="0" borderId="26" xfId="0" quotePrefix="1" applyFont="1" applyBorder="1" applyAlignment="1">
      <alignment horizontal="center" wrapText="1"/>
    </xf>
    <xf numFmtId="0" fontId="4" fillId="0" borderId="26" xfId="0" quotePrefix="1" applyFont="1" applyBorder="1" applyAlignment="1">
      <alignment horizontal="left" wrapText="1"/>
    </xf>
    <xf numFmtId="0" fontId="25" fillId="0" borderId="26" xfId="0" quotePrefix="1" applyFont="1" applyBorder="1" applyAlignment="1">
      <alignment horizontal="center" wrapText="1"/>
    </xf>
    <xf numFmtId="175" fontId="25" fillId="0" borderId="26" xfId="0" quotePrefix="1" applyNumberFormat="1" applyFont="1" applyBorder="1" applyAlignment="1">
      <alignment horizontal="center" wrapText="1"/>
    </xf>
    <xf numFmtId="0" fontId="22" fillId="0" borderId="0" xfId="0" quotePrefix="1" applyFont="1"/>
    <xf numFmtId="0" fontId="22" fillId="0" borderId="0" xfId="0" quotePrefix="1" applyFont="1" applyAlignment="1">
      <alignment horizontal="center"/>
    </xf>
    <xf numFmtId="0" fontId="26" fillId="0" borderId="0" xfId="0" applyFont="1" applyAlignment="1">
      <alignment horizontal="center"/>
    </xf>
    <xf numFmtId="0" fontId="27" fillId="0" borderId="0" xfId="0" quotePrefix="1" applyFont="1" applyAlignment="1">
      <alignment horizontal="left"/>
    </xf>
    <xf numFmtId="164" fontId="23" fillId="0" borderId="0" xfId="0" applyNumberFormat="1" applyFont="1" applyFill="1"/>
    <xf numFmtId="164" fontId="22" fillId="0" borderId="0" xfId="0" applyNumberFormat="1" applyFont="1" applyFill="1"/>
    <xf numFmtId="164" fontId="22" fillId="0" borderId="0" xfId="0" applyNumberFormat="1" applyFont="1"/>
    <xf numFmtId="164" fontId="23" fillId="0" borderId="0" xfId="0" applyNumberFormat="1" applyFont="1"/>
    <xf numFmtId="164" fontId="23" fillId="0" borderId="27" xfId="0" applyNumberFormat="1" applyFont="1" applyBorder="1"/>
    <xf numFmtId="164" fontId="22" fillId="0" borderId="27" xfId="0" applyNumberFormat="1" applyFont="1" applyBorder="1"/>
    <xf numFmtId="164" fontId="22" fillId="0" borderId="27" xfId="0" applyNumberFormat="1" applyFont="1" applyFill="1" applyBorder="1"/>
    <xf numFmtId="164" fontId="23" fillId="0" borderId="0" xfId="0" applyNumberFormat="1" applyFont="1" applyBorder="1"/>
    <xf numFmtId="164" fontId="22" fillId="0" borderId="0" xfId="0" applyNumberFormat="1" applyFont="1" applyBorder="1"/>
    <xf numFmtId="164" fontId="22" fillId="0" borderId="0" xfId="0" applyNumberFormat="1" applyFont="1" applyFill="1" applyBorder="1"/>
    <xf numFmtId="0" fontId="28" fillId="0" borderId="0" xfId="0" applyFont="1"/>
    <xf numFmtId="164" fontId="28" fillId="0" borderId="0" xfId="0" applyNumberFormat="1" applyFont="1"/>
    <xf numFmtId="175" fontId="28" fillId="0" borderId="0" xfId="0" applyNumberFormat="1" applyFont="1"/>
    <xf numFmtId="41" fontId="28" fillId="0" borderId="0" xfId="0" applyNumberFormat="1" applyFont="1"/>
    <xf numFmtId="164" fontId="28" fillId="0" borderId="0" xfId="0" applyNumberFormat="1" applyFont="1" applyFill="1"/>
    <xf numFmtId="164" fontId="28" fillId="0" borderId="0" xfId="0" applyNumberFormat="1" applyFont="1" applyBorder="1"/>
    <xf numFmtId="0" fontId="29" fillId="0" borderId="0" xfId="0" applyFont="1"/>
    <xf numFmtId="175" fontId="29" fillId="0" borderId="0" xfId="0" applyNumberFormat="1" applyFont="1"/>
    <xf numFmtId="0" fontId="28" fillId="0" borderId="0" xfId="0" applyFont="1" applyAlignment="1">
      <alignment horizontal="center"/>
    </xf>
    <xf numFmtId="170" fontId="6" fillId="0" borderId="8" xfId="0" applyNumberFormat="1" applyFont="1" applyFill="1" applyBorder="1" applyAlignment="1">
      <alignment horizontal="centerContinuous"/>
    </xf>
    <xf numFmtId="0" fontId="6" fillId="0" borderId="13" xfId="0" applyFont="1" applyBorder="1" applyAlignment="1">
      <alignment horizontal="center"/>
    </xf>
    <xf numFmtId="3" fontId="6" fillId="0" borderId="0" xfId="0" applyNumberFormat="1" applyFont="1" applyBorder="1" applyAlignment="1">
      <alignment horizontal="center"/>
    </xf>
    <xf numFmtId="3" fontId="6" fillId="0" borderId="0" xfId="0" applyNumberFormat="1" applyFont="1" applyFill="1" applyBorder="1" applyAlignment="1">
      <alignment horizontal="center"/>
    </xf>
    <xf numFmtId="170" fontId="6" fillId="0" borderId="0" xfId="0" applyNumberFormat="1" applyFont="1" applyFill="1" applyBorder="1" applyAlignment="1">
      <alignment horizontal="center"/>
    </xf>
    <xf numFmtId="171" fontId="6" fillId="0" borderId="14" xfId="0" applyNumberFormat="1" applyFont="1" applyBorder="1" applyAlignment="1">
      <alignment horizontal="center"/>
    </xf>
    <xf numFmtId="0" fontId="0" fillId="0" borderId="13" xfId="0" applyBorder="1"/>
    <xf numFmtId="0" fontId="0" fillId="0" borderId="14" xfId="0" applyBorder="1"/>
    <xf numFmtId="3" fontId="6" fillId="0" borderId="0" xfId="0" applyNumberFormat="1" applyFont="1" applyFill="1" applyBorder="1" applyAlignment="1">
      <alignment horizontal="right"/>
    </xf>
    <xf numFmtId="0" fontId="0" fillId="0" borderId="11" xfId="0" applyBorder="1"/>
    <xf numFmtId="0" fontId="0" fillId="0" borderId="15" xfId="0" applyBorder="1"/>
    <xf numFmtId="3" fontId="0" fillId="0" borderId="15" xfId="0" applyNumberFormat="1" applyBorder="1"/>
    <xf numFmtId="169" fontId="0" fillId="0" borderId="15" xfId="0" applyNumberFormat="1" applyBorder="1"/>
    <xf numFmtId="172" fontId="0" fillId="0" borderId="0" xfId="0" applyNumberFormat="1"/>
    <xf numFmtId="37" fontId="2" fillId="0" borderId="0" xfId="0" applyNumberFormat="1" applyFont="1"/>
    <xf numFmtId="0" fontId="6" fillId="0" borderId="0" xfId="0" applyNumberFormat="1" applyFont="1" applyAlignment="1">
      <alignment horizontal="centerContinuous"/>
    </xf>
    <xf numFmtId="0" fontId="6" fillId="0" borderId="0" xfId="0" applyNumberFormat="1" applyFont="1" applyAlignment="1"/>
    <xf numFmtId="41" fontId="6" fillId="0" borderId="15" xfId="0" applyNumberFormat="1" applyFont="1" applyBorder="1" applyAlignment="1">
      <alignment horizontal="center" wrapText="1"/>
    </xf>
    <xf numFmtId="0" fontId="6" fillId="0" borderId="15" xfId="0" applyNumberFormat="1" applyFont="1" applyBorder="1" applyAlignment="1">
      <alignment horizontal="center"/>
    </xf>
    <xf numFmtId="41" fontId="6" fillId="0" borderId="15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Alignment="1">
      <alignment horizontal="center"/>
    </xf>
    <xf numFmtId="42" fontId="6" fillId="0" borderId="0" xfId="0" applyNumberFormat="1" applyFont="1" applyAlignment="1"/>
    <xf numFmtId="177" fontId="0" fillId="0" borderId="0" xfId="0" applyNumberFormat="1" applyFont="1" applyFill="1"/>
    <xf numFmtId="182" fontId="0" fillId="0" borderId="0" xfId="0" applyNumberFormat="1" applyFont="1" applyFill="1"/>
    <xf numFmtId="177" fontId="6" fillId="0" borderId="0" xfId="0" applyNumberFormat="1" applyFont="1" applyAlignment="1"/>
    <xf numFmtId="175" fontId="6" fillId="0" borderId="0" xfId="0" applyNumberFormat="1" applyFont="1" applyAlignment="1"/>
    <xf numFmtId="41" fontId="6" fillId="0" borderId="0" xfId="0" applyNumberFormat="1" applyFont="1" applyAlignment="1"/>
    <xf numFmtId="9" fontId="6" fillId="0" borderId="0" xfId="0" applyNumberFormat="1" applyFont="1" applyAlignment="1"/>
    <xf numFmtId="10" fontId="6" fillId="0" borderId="0" xfId="0" applyNumberFormat="1" applyFont="1" applyAlignment="1"/>
    <xf numFmtId="166" fontId="6" fillId="0" borderId="0" xfId="0" quotePrefix="1" applyNumberFormat="1" applyFont="1" applyFill="1" applyBorder="1" applyAlignment="1">
      <alignment horizontal="center" vertical="center"/>
    </xf>
    <xf numFmtId="166" fontId="6" fillId="0" borderId="15" xfId="0" quotePrefix="1" applyNumberFormat="1" applyFont="1" applyFill="1" applyBorder="1" applyAlignment="1">
      <alignment horizontal="center" vertical="center"/>
    </xf>
    <xf numFmtId="166" fontId="6" fillId="0" borderId="14" xfId="0" quotePrefix="1" applyNumberFormat="1" applyFont="1" applyFill="1" applyBorder="1" applyAlignment="1">
      <alignment horizontal="center" vertical="center"/>
    </xf>
    <xf numFmtId="166" fontId="6" fillId="0" borderId="12" xfId="0" quotePrefix="1" applyNumberFormat="1" applyFont="1" applyFill="1" applyBorder="1" applyAlignment="1">
      <alignment horizontal="center" vertical="center"/>
    </xf>
    <xf numFmtId="167" fontId="6" fillId="0" borderId="13" xfId="0" quotePrefix="1" applyNumberFormat="1" applyFont="1" applyBorder="1" applyAlignment="1">
      <alignment horizontal="center" vertical="center" wrapText="1"/>
    </xf>
    <xf numFmtId="167" fontId="6" fillId="0" borderId="11" xfId="0" quotePrefix="1" applyNumberFormat="1" applyFont="1" applyBorder="1" applyAlignment="1">
      <alignment horizontal="center" vertical="center" wrapText="1"/>
    </xf>
    <xf numFmtId="167" fontId="6" fillId="0" borderId="0" xfId="0" quotePrefix="1" applyNumberFormat="1" applyFont="1" applyBorder="1" applyAlignment="1">
      <alignment horizontal="center" vertical="center" wrapText="1"/>
    </xf>
    <xf numFmtId="167" fontId="6" fillId="0" borderId="15" xfId="0" quotePrefix="1" applyNumberFormat="1" applyFont="1" applyBorder="1" applyAlignment="1">
      <alignment horizontal="center" vertical="center" wrapText="1"/>
    </xf>
    <xf numFmtId="8" fontId="6" fillId="0" borderId="13" xfId="0" quotePrefix="1" applyNumberFormat="1" applyFont="1" applyBorder="1" applyAlignment="1">
      <alignment horizontal="center" vertical="center" wrapText="1"/>
    </xf>
    <xf numFmtId="8" fontId="6" fillId="0" borderId="11" xfId="0" quotePrefix="1" applyNumberFormat="1" applyFont="1" applyBorder="1" applyAlignment="1">
      <alignment horizontal="center" vertical="center" wrapText="1"/>
    </xf>
    <xf numFmtId="8" fontId="6" fillId="0" borderId="0" xfId="0" quotePrefix="1" applyNumberFormat="1" applyFont="1" applyBorder="1" applyAlignment="1">
      <alignment horizontal="center" vertical="center" wrapText="1"/>
    </xf>
    <xf numFmtId="8" fontId="6" fillId="0" borderId="15" xfId="0" quotePrefix="1" applyNumberFormat="1" applyFont="1" applyBorder="1" applyAlignment="1">
      <alignment horizontal="center" vertical="center" wrapText="1"/>
    </xf>
    <xf numFmtId="167" fontId="6" fillId="0" borderId="0" xfId="0" quotePrefix="1" applyNumberFormat="1" applyFont="1" applyBorder="1" applyAlignment="1">
      <alignment horizontal="right" vertical="center" wrapText="1"/>
    </xf>
    <xf numFmtId="8" fontId="6" fillId="0" borderId="13" xfId="0" quotePrefix="1" applyNumberFormat="1" applyFont="1" applyBorder="1" applyAlignment="1">
      <alignment vertical="center" wrapText="1"/>
    </xf>
    <xf numFmtId="8" fontId="6" fillId="0" borderId="11" xfId="0" quotePrefix="1" applyNumberFormat="1" applyFont="1" applyBorder="1" applyAlignment="1">
      <alignment vertical="center" wrapText="1"/>
    </xf>
    <xf numFmtId="8" fontId="6" fillId="0" borderId="0" xfId="0" quotePrefix="1" applyNumberFormat="1" applyFont="1" applyBorder="1" applyAlignment="1">
      <alignment vertical="center" wrapText="1"/>
    </xf>
    <xf numFmtId="8" fontId="6" fillId="0" borderId="15" xfId="0" quotePrefix="1" applyNumberFormat="1" applyFont="1" applyBorder="1" applyAlignment="1">
      <alignment vertical="center" wrapText="1"/>
    </xf>
    <xf numFmtId="165" fontId="6" fillId="0" borderId="13" xfId="0" quotePrefix="1" applyNumberFormat="1" applyFont="1" applyFill="1" applyBorder="1" applyAlignment="1">
      <alignment horizontal="center" vertical="center"/>
    </xf>
    <xf numFmtId="165" fontId="6" fillId="0" borderId="11" xfId="0" quotePrefix="1" applyNumberFormat="1" applyFont="1" applyFill="1" applyBorder="1" applyAlignment="1">
      <alignment horizontal="center" vertical="center"/>
    </xf>
    <xf numFmtId="165" fontId="6" fillId="0" borderId="0" xfId="0" quotePrefix="1" applyNumberFormat="1" applyFont="1" applyFill="1" applyBorder="1" applyAlignment="1">
      <alignment horizontal="center" vertical="center"/>
    </xf>
    <xf numFmtId="165" fontId="6" fillId="0" borderId="15" xfId="0" quotePrefix="1" applyNumberFormat="1" applyFont="1" applyFill="1" applyBorder="1" applyAlignment="1">
      <alignment horizontal="center" vertical="center"/>
    </xf>
    <xf numFmtId="8" fontId="6" fillId="0" borderId="13" xfId="0" quotePrefix="1" applyNumberFormat="1" applyFont="1" applyBorder="1" applyAlignment="1">
      <alignment horizontal="center" vertical="center"/>
    </xf>
    <xf numFmtId="8" fontId="6" fillId="0" borderId="0" xfId="0" quotePrefix="1" applyNumberFormat="1" applyFont="1" applyBorder="1" applyAlignment="1">
      <alignment horizontal="center" vertical="center"/>
    </xf>
    <xf numFmtId="166" fontId="6" fillId="0" borderId="0" xfId="0" quotePrefix="1" applyNumberFormat="1" applyFont="1" applyFill="1" applyBorder="1" applyAlignment="1">
      <alignment horizontal="center" vertical="center" wrapText="1"/>
    </xf>
    <xf numFmtId="167" fontId="6" fillId="0" borderId="13" xfId="0" quotePrefix="1" applyNumberFormat="1" applyFont="1" applyBorder="1" applyAlignment="1">
      <alignment horizontal="right" vertical="center" wrapText="1"/>
    </xf>
    <xf numFmtId="8" fontId="6" fillId="0" borderId="13" xfId="0" quotePrefix="1" applyNumberFormat="1" applyFont="1" applyBorder="1" applyAlignment="1">
      <alignment vertical="center"/>
    </xf>
    <xf numFmtId="8" fontId="6" fillId="0" borderId="0" xfId="0" quotePrefix="1" applyNumberFormat="1" applyFont="1" applyBorder="1" applyAlignment="1">
      <alignment vertical="center"/>
    </xf>
    <xf numFmtId="166" fontId="6" fillId="0" borderId="14" xfId="0" quotePrefix="1" applyNumberFormat="1" applyFont="1" applyFill="1" applyBorder="1" applyAlignment="1">
      <alignment horizontal="center" vertical="center" wrapText="1"/>
    </xf>
    <xf numFmtId="167" fontId="6" fillId="0" borderId="13" xfId="0" quotePrefix="1" applyNumberFormat="1" applyFont="1" applyBorder="1" applyAlignment="1">
      <alignment horizontal="center" vertical="center"/>
    </xf>
    <xf numFmtId="167" fontId="6" fillId="0" borderId="0" xfId="0" quotePrefix="1" applyNumberFormat="1" applyFont="1" applyBorder="1" applyAlignment="1">
      <alignment horizontal="center" vertical="center"/>
    </xf>
    <xf numFmtId="167" fontId="6" fillId="0" borderId="13" xfId="0" quotePrefix="1" applyNumberFormat="1" applyFont="1" applyBorder="1" applyAlignment="1">
      <alignment horizontal="right" vertical="center"/>
    </xf>
    <xf numFmtId="167" fontId="6" fillId="0" borderId="0" xfId="0" quotePrefix="1" applyNumberFormat="1" applyFont="1" applyBorder="1" applyAlignment="1">
      <alignment horizontal="right" vertical="center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70" fontId="6" fillId="0" borderId="8" xfId="0" applyNumberFormat="1" applyFont="1" applyBorder="1" applyAlignment="1">
      <alignment horizontal="center"/>
    </xf>
    <xf numFmtId="170" fontId="6" fillId="0" borderId="9" xfId="0" applyNumberFormat="1" applyFont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24" fillId="0" borderId="15" xfId="0" quotePrefix="1" applyFont="1" applyBorder="1" applyAlignment="1">
      <alignment horizontal="center"/>
    </xf>
    <xf numFmtId="0" fontId="24" fillId="0" borderId="15" xfId="0" applyFont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F37102-56F4-41A9-AF80-2D5343E0251A}">
  <dimension ref="A1"/>
  <sheetViews>
    <sheetView tabSelected="1" workbookViewId="0">
      <selection activeCell="K16" sqref="K16"/>
    </sheetView>
  </sheetViews>
  <sheetFormatPr defaultRowHeight="15" x14ac:dyDescent="0.25"/>
  <sheetData>
    <row r="1" spans="1:1" x14ac:dyDescent="0.25">
      <c r="A1" t="s">
        <v>264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N91"/>
  <sheetViews>
    <sheetView zoomScale="90" zoomScaleNormal="90" zoomScaleSheetLayoutView="85" workbookViewId="0">
      <pane xSplit="4" ySplit="8" topLeftCell="E45" activePane="bottomRight" state="frozen"/>
      <selection activeCell="F68" sqref="F68"/>
      <selection pane="topRight" activeCell="F68" sqref="F68"/>
      <selection pane="bottomLeft" activeCell="F68" sqref="F68"/>
      <selection pane="bottomRight" activeCell="F76" sqref="F76"/>
    </sheetView>
  </sheetViews>
  <sheetFormatPr defaultRowHeight="15" outlineLevelRow="1" x14ac:dyDescent="0.25"/>
  <cols>
    <col min="1" max="1" width="5.5703125" customWidth="1"/>
    <col min="2" max="2" width="44" customWidth="1"/>
    <col min="3" max="3" width="21.5703125" bestFit="1" customWidth="1"/>
    <col min="4" max="4" width="6.5703125" customWidth="1"/>
    <col min="5" max="5" width="5.5703125" customWidth="1"/>
    <col min="6" max="6" width="19.85546875" bestFit="1" customWidth="1"/>
    <col min="7" max="7" width="18.85546875" bestFit="1" customWidth="1"/>
    <col min="8" max="8" width="16.28515625" customWidth="1"/>
    <col min="9" max="9" width="17.85546875" bestFit="1" customWidth="1"/>
    <col min="10" max="10" width="16.28515625" customWidth="1"/>
    <col min="11" max="11" width="17.85546875" customWidth="1"/>
    <col min="12" max="12" width="16.28515625" customWidth="1"/>
    <col min="14" max="14" width="11.85546875" bestFit="1" customWidth="1"/>
  </cols>
  <sheetData>
    <row r="2" spans="1:13" x14ac:dyDescent="0.25">
      <c r="B2" s="1" t="s">
        <v>261</v>
      </c>
    </row>
    <row r="3" spans="1:13" x14ac:dyDescent="0.25">
      <c r="B3" s="1" t="s">
        <v>262</v>
      </c>
    </row>
    <row r="4" spans="1:13" x14ac:dyDescent="0.25">
      <c r="B4" s="1" t="s">
        <v>263</v>
      </c>
    </row>
    <row r="5" spans="1:13" x14ac:dyDescent="0.25">
      <c r="B5" s="1" t="s">
        <v>0</v>
      </c>
    </row>
    <row r="6" spans="1:13" x14ac:dyDescent="0.25">
      <c r="B6" s="1"/>
    </row>
    <row r="8" spans="1:13" ht="51.75" x14ac:dyDescent="0.4">
      <c r="A8" s="2" t="s">
        <v>1</v>
      </c>
      <c r="B8" s="3" t="s">
        <v>2</v>
      </c>
      <c r="C8" s="4" t="s">
        <v>3</v>
      </c>
      <c r="D8" s="5" t="s">
        <v>4</v>
      </c>
      <c r="E8" s="4"/>
      <c r="F8" s="5" t="s">
        <v>5</v>
      </c>
      <c r="G8" s="5" t="s">
        <v>6</v>
      </c>
      <c r="H8" s="5" t="s">
        <v>7</v>
      </c>
      <c r="I8" s="5" t="s">
        <v>8</v>
      </c>
      <c r="J8" s="5" t="s">
        <v>9</v>
      </c>
      <c r="K8" s="5" t="s">
        <v>10</v>
      </c>
      <c r="L8" s="5" t="s">
        <v>11</v>
      </c>
    </row>
    <row r="9" spans="1:13" x14ac:dyDescent="0.25">
      <c r="D9" s="6" t="str">
        <f>IFERROR(IF(C9="","",IF(C9=0,0,IF(ABS(C9-SUM($F9:$L9))&lt;1,0,1))),1)</f>
        <v/>
      </c>
    </row>
    <row r="10" spans="1:13" x14ac:dyDescent="0.25">
      <c r="A10" s="7">
        <f>IF(B10="","",MAX(A$1:A9)+1)</f>
        <v>1</v>
      </c>
      <c r="B10" s="8" t="s">
        <v>12</v>
      </c>
      <c r="C10" s="9">
        <v>2505934583.959002</v>
      </c>
      <c r="D10" s="6">
        <f t="shared" ref="D10:D75" si="0">IFERROR(IF(C10="","",IF(C10=0,0,IF(ABS(C10-SUM($F10:$L10))&lt;1,0,1))),1)</f>
        <v>0</v>
      </c>
      <c r="E10" s="10"/>
      <c r="F10" s="9">
        <v>1596156415.1727796</v>
      </c>
      <c r="G10" s="9">
        <v>678456097.36979342</v>
      </c>
      <c r="H10" s="9">
        <v>110631752.34983608</v>
      </c>
      <c r="I10" s="9">
        <v>55281326.231082186</v>
      </c>
      <c r="J10" s="9">
        <v>5523181.2504190234</v>
      </c>
      <c r="K10" s="9">
        <v>55762350.353318401</v>
      </c>
      <c r="L10" s="9">
        <v>4123461.2317721341</v>
      </c>
      <c r="M10" s="11"/>
    </row>
    <row r="11" spans="1:13" x14ac:dyDescent="0.25">
      <c r="A11" s="7" t="str">
        <f>IF(B11="","",MAX(A$1:A10)+1)</f>
        <v/>
      </c>
      <c r="C11" s="9"/>
      <c r="D11" s="6" t="str">
        <f t="shared" si="0"/>
        <v/>
      </c>
      <c r="F11" s="9"/>
      <c r="G11" s="9"/>
      <c r="H11" s="9"/>
      <c r="I11" s="9"/>
      <c r="J11" s="9"/>
      <c r="K11" s="9"/>
      <c r="L11" s="9"/>
    </row>
    <row r="12" spans="1:13" x14ac:dyDescent="0.25">
      <c r="A12" s="7">
        <f>IF(B12="","",MAX(A$1:A11)+1)</f>
        <v>2</v>
      </c>
      <c r="B12" s="12" t="s">
        <v>13</v>
      </c>
      <c r="C12" s="9">
        <v>505230012.57985079</v>
      </c>
      <c r="D12" s="6">
        <f t="shared" si="0"/>
        <v>0</v>
      </c>
      <c r="F12" s="9">
        <v>373297420.9992581</v>
      </c>
      <c r="G12" s="9">
        <v>111423891.32188874</v>
      </c>
      <c r="H12" s="9">
        <v>16099373.816760825</v>
      </c>
      <c r="I12" s="9">
        <v>1951708.4759720333</v>
      </c>
      <c r="J12" s="9">
        <v>1141594.4005907846</v>
      </c>
      <c r="K12" s="9">
        <v>1316023.5653802969</v>
      </c>
      <c r="L12" s="9">
        <v>0</v>
      </c>
    </row>
    <row r="13" spans="1:13" x14ac:dyDescent="0.25">
      <c r="A13" s="7">
        <f>IF(B13="","",MAX(A$1:A12)+1)</f>
        <v>3</v>
      </c>
      <c r="B13" s="12" t="s">
        <v>14</v>
      </c>
      <c r="C13" s="9">
        <v>17393364.781592574</v>
      </c>
      <c r="D13" s="6">
        <f t="shared" si="0"/>
        <v>0</v>
      </c>
      <c r="F13" s="9">
        <v>0</v>
      </c>
      <c r="G13" s="9">
        <v>23614.13409035069</v>
      </c>
      <c r="H13" s="9">
        <v>4220060.4380970374</v>
      </c>
      <c r="I13" s="9">
        <v>6736111.6716514546</v>
      </c>
      <c r="J13" s="9">
        <v>354888.86008747591</v>
      </c>
      <c r="K13" s="9">
        <v>4379365.2253098423</v>
      </c>
      <c r="L13" s="9">
        <v>1679324.4523564125</v>
      </c>
    </row>
    <row r="14" spans="1:13" x14ac:dyDescent="0.25">
      <c r="A14" s="7">
        <f>IF(B14="","",MAX(A$1:A13)+1)</f>
        <v>4</v>
      </c>
      <c r="B14" s="12" t="s">
        <v>15</v>
      </c>
      <c r="C14" s="9">
        <v>4050270.1499999203</v>
      </c>
      <c r="D14" s="6">
        <f t="shared" si="0"/>
        <v>0</v>
      </c>
      <c r="F14" s="9">
        <v>3435958.1962399483</v>
      </c>
      <c r="G14" s="9">
        <v>570807.71651443676</v>
      </c>
      <c r="H14" s="9">
        <v>20150.303886016831</v>
      </c>
      <c r="I14" s="9">
        <v>21487.467672093771</v>
      </c>
      <c r="J14" s="9">
        <v>1177.0665426650667</v>
      </c>
      <c r="K14" s="9">
        <v>678.60546119138598</v>
      </c>
      <c r="L14" s="9">
        <v>10.793683631811291</v>
      </c>
    </row>
    <row r="15" spans="1:13" x14ac:dyDescent="0.25">
      <c r="A15" s="7">
        <f>IF(B15="","",MAX(A$1:A14)+1)</f>
        <v>5</v>
      </c>
      <c r="B15" s="13" t="s">
        <v>16</v>
      </c>
      <c r="C15" s="14">
        <f>SUM(C12:C14)</f>
        <v>526673647.51144326</v>
      </c>
      <c r="D15" s="6">
        <f t="shared" si="0"/>
        <v>0</v>
      </c>
      <c r="F15" s="14">
        <f>SUM(F12:F14)</f>
        <v>376733379.19549805</v>
      </c>
      <c r="G15" s="14">
        <f t="shared" ref="G15:L15" si="1">SUM(G12:G14)</f>
        <v>112018313.17249353</v>
      </c>
      <c r="H15" s="14">
        <f t="shared" si="1"/>
        <v>20339584.558743879</v>
      </c>
      <c r="I15" s="14">
        <f t="shared" si="1"/>
        <v>8709307.6152955815</v>
      </c>
      <c r="J15" s="14">
        <f t="shared" si="1"/>
        <v>1497660.3272209256</v>
      </c>
      <c r="K15" s="14">
        <f t="shared" si="1"/>
        <v>5696067.3961513303</v>
      </c>
      <c r="L15" s="14">
        <f t="shared" si="1"/>
        <v>1679335.2460400444</v>
      </c>
    </row>
    <row r="16" spans="1:13" x14ac:dyDescent="0.25">
      <c r="A16" s="7">
        <f>IF(B16="","",MAX(A$1:A15)+1)</f>
        <v>6</v>
      </c>
      <c r="B16" s="15" t="s">
        <v>17</v>
      </c>
      <c r="C16" s="16">
        <f>SUM(C12:C13)/C21</f>
        <v>0.91774215093648248</v>
      </c>
      <c r="D16" s="6"/>
      <c r="E16" s="16"/>
      <c r="F16" s="16">
        <f>SUM(F12:F13)/F21</f>
        <v>1.0023462101248022</v>
      </c>
      <c r="G16" s="16">
        <f t="shared" ref="G16:L16" si="2">SUM(G12:G13)/G21</f>
        <v>0.76894210004279728</v>
      </c>
      <c r="H16" s="16">
        <f t="shared" si="2"/>
        <v>0.82899249885526616</v>
      </c>
      <c r="I16" s="16">
        <f t="shared" si="2"/>
        <v>0.70058983678198361</v>
      </c>
      <c r="J16" s="16">
        <f t="shared" si="2"/>
        <v>1.1569115007997881</v>
      </c>
      <c r="K16" s="16">
        <f t="shared" si="2"/>
        <v>0.44672037667886416</v>
      </c>
      <c r="L16" s="16">
        <f t="shared" si="2"/>
        <v>1.4576139789375437</v>
      </c>
    </row>
    <row r="17" spans="1:14" x14ac:dyDescent="0.25">
      <c r="A17" s="7">
        <f>IF(B17="","",MAX(A$1:A16)+1)</f>
        <v>7</v>
      </c>
      <c r="B17" s="17" t="s">
        <v>18</v>
      </c>
      <c r="C17" s="16">
        <f>C16/$C$16</f>
        <v>1</v>
      </c>
      <c r="D17" s="6"/>
      <c r="F17" s="16">
        <f>F16/$C$16</f>
        <v>1.0921871781763408</v>
      </c>
      <c r="G17" s="16">
        <f t="shared" ref="G17:L17" si="3">G16/$C$16</f>
        <v>0.83786290000753849</v>
      </c>
      <c r="H17" s="16">
        <f t="shared" si="3"/>
        <v>0.90329565663879074</v>
      </c>
      <c r="I17" s="16">
        <f t="shared" si="3"/>
        <v>0.76338417720825802</v>
      </c>
      <c r="J17" s="16">
        <f t="shared" si="3"/>
        <v>1.2606062602870016</v>
      </c>
      <c r="K17" s="16">
        <f t="shared" si="3"/>
        <v>0.48676022586847706</v>
      </c>
      <c r="L17" s="16">
        <f t="shared" si="3"/>
        <v>1.5882609047107243</v>
      </c>
    </row>
    <row r="18" spans="1:14" x14ac:dyDescent="0.25">
      <c r="A18" s="7" t="str">
        <f>IF(B18="","",MAX(A$1:A17)+1)</f>
        <v/>
      </c>
      <c r="B18" s="17"/>
      <c r="C18" s="16"/>
      <c r="D18" s="6" t="str">
        <f t="shared" si="0"/>
        <v/>
      </c>
      <c r="F18" s="16"/>
      <c r="G18" s="16"/>
      <c r="H18" s="16"/>
      <c r="I18" s="16"/>
      <c r="J18" s="16"/>
      <c r="K18" s="16"/>
      <c r="L18" s="16"/>
    </row>
    <row r="19" spans="1:14" x14ac:dyDescent="0.25">
      <c r="A19" s="7">
        <f>IF(B19="","",MAX(A$1:A18)+1)</f>
        <v>8</v>
      </c>
      <c r="B19" s="18" t="s">
        <v>19</v>
      </c>
      <c r="D19" s="6" t="str">
        <f t="shared" si="0"/>
        <v/>
      </c>
    </row>
    <row r="20" spans="1:14" x14ac:dyDescent="0.25">
      <c r="A20" s="7">
        <f>IF(B20="","",MAX(A$1:A19)+1)</f>
        <v>9</v>
      </c>
      <c r="B20" s="17" t="s">
        <v>20</v>
      </c>
      <c r="C20" s="19">
        <v>46843086.424869597</v>
      </c>
      <c r="D20" s="6">
        <f t="shared" si="0"/>
        <v>0</v>
      </c>
      <c r="F20" s="9">
        <v>-873784.10759085417</v>
      </c>
      <c r="G20" s="9">
        <v>33488641.816717014</v>
      </c>
      <c r="H20" s="9">
        <v>4191564.6780835465</v>
      </c>
      <c r="I20" s="9">
        <v>3712902.3457675334</v>
      </c>
      <c r="J20" s="9">
        <v>-202967.49940894824</v>
      </c>
      <c r="K20" s="9">
        <v>7053948.5756337792</v>
      </c>
      <c r="L20" s="9">
        <v>-527219.38433252205</v>
      </c>
    </row>
    <row r="21" spans="1:14" x14ac:dyDescent="0.25">
      <c r="A21" s="7">
        <f>IF(B21="","",MAX(A$1:A20)+1)</f>
        <v>10</v>
      </c>
      <c r="B21" s="17" t="s">
        <v>21</v>
      </c>
      <c r="C21" s="9">
        <v>569466463.78631294</v>
      </c>
      <c r="D21" s="6">
        <f t="shared" si="0"/>
        <v>0</v>
      </c>
      <c r="F21" s="9">
        <v>372423636.89166725</v>
      </c>
      <c r="G21" s="9">
        <v>144936147.27269611</v>
      </c>
      <c r="H21" s="9">
        <v>24510998.932941407</v>
      </c>
      <c r="I21" s="9">
        <v>12400722.493391022</v>
      </c>
      <c r="J21" s="9">
        <v>1293515.7612693124</v>
      </c>
      <c r="K21" s="9">
        <v>12749337.366323918</v>
      </c>
      <c r="L21" s="9">
        <v>1152105.0680238905</v>
      </c>
      <c r="N21" s="20"/>
    </row>
    <row r="22" spans="1:14" x14ac:dyDescent="0.25">
      <c r="A22" s="7">
        <f>IF(B22="","",MAX(A$1:A21)+1)</f>
        <v>11</v>
      </c>
      <c r="B22" s="17" t="s">
        <v>22</v>
      </c>
      <c r="C22" s="9">
        <v>4050270.1499999203</v>
      </c>
      <c r="D22" s="6">
        <f t="shared" si="0"/>
        <v>0</v>
      </c>
      <c r="F22" s="9">
        <v>3435958.1962399483</v>
      </c>
      <c r="G22" s="9">
        <v>570807.71651443676</v>
      </c>
      <c r="H22" s="9">
        <v>20150.303886016831</v>
      </c>
      <c r="I22" s="9">
        <v>21487.467672093771</v>
      </c>
      <c r="J22" s="9">
        <v>1177.0665426650667</v>
      </c>
      <c r="K22" s="9">
        <v>678.60546119138598</v>
      </c>
      <c r="L22" s="9">
        <v>10.793683631811291</v>
      </c>
    </row>
    <row r="23" spans="1:14" x14ac:dyDescent="0.25">
      <c r="A23" s="7">
        <f>IF(B23="","",MAX(A$1:A22)+1)</f>
        <v>12</v>
      </c>
      <c r="B23" s="21" t="s">
        <v>23</v>
      </c>
      <c r="C23" s="22">
        <f>SUM(C21:C22)</f>
        <v>573516733.93631291</v>
      </c>
      <c r="D23" s="6">
        <f t="shared" si="0"/>
        <v>0</v>
      </c>
      <c r="F23" s="22">
        <f t="shared" ref="F23:L23" si="4">SUM(F21:F22)</f>
        <v>375859595.0879072</v>
      </c>
      <c r="G23" s="22">
        <f t="shared" si="4"/>
        <v>145506954.98921055</v>
      </c>
      <c r="H23" s="22">
        <f t="shared" si="4"/>
        <v>24531149.236827426</v>
      </c>
      <c r="I23" s="22">
        <f t="shared" si="4"/>
        <v>12422209.961063117</v>
      </c>
      <c r="J23" s="22">
        <f t="shared" si="4"/>
        <v>1294692.8278119774</v>
      </c>
      <c r="K23" s="22">
        <f t="shared" si="4"/>
        <v>12750015.971785109</v>
      </c>
      <c r="L23" s="22">
        <f t="shared" si="4"/>
        <v>1152115.8617075223</v>
      </c>
    </row>
    <row r="24" spans="1:14" x14ac:dyDescent="0.25">
      <c r="A24" s="7">
        <f>IF(B24="","",MAX(A$1:A23)+1)</f>
        <v>13</v>
      </c>
      <c r="B24" s="17" t="s">
        <v>24</v>
      </c>
      <c r="C24" s="23">
        <f>C23/C15-1</f>
        <v>8.8941390263601372E-2</v>
      </c>
      <c r="D24" s="6"/>
      <c r="F24" s="23">
        <f t="shared" ref="F24:L24" si="5">F23/F15-1</f>
        <v>-2.3193700262418293E-3</v>
      </c>
      <c r="G24" s="23">
        <f t="shared" si="5"/>
        <v>0.29895684793207788</v>
      </c>
      <c r="H24" s="23">
        <f t="shared" si="5"/>
        <v>0.2060791687252832</v>
      </c>
      <c r="I24" s="23">
        <f t="shared" si="5"/>
        <v>0.42631429612691707</v>
      </c>
      <c r="J24" s="23">
        <f t="shared" si="5"/>
        <v>-0.13552305267081277</v>
      </c>
      <c r="K24" s="23">
        <f t="shared" si="5"/>
        <v>1.2383892403379795</v>
      </c>
      <c r="L24" s="23">
        <f t="shared" si="5"/>
        <v>-0.3139452861337434</v>
      </c>
    </row>
    <row r="25" spans="1:14" x14ac:dyDescent="0.25">
      <c r="A25" s="7">
        <f>IF(B25="","",MAX(A$1:A24)+1)</f>
        <v>14</v>
      </c>
      <c r="B25" s="17" t="s">
        <v>25</v>
      </c>
      <c r="C25" s="24">
        <f>C23/C$23</f>
        <v>1</v>
      </c>
      <c r="D25" s="6"/>
      <c r="F25" s="24">
        <f t="shared" ref="F25:L25" si="6">F23/F$23</f>
        <v>1</v>
      </c>
      <c r="G25" s="24">
        <f t="shared" si="6"/>
        <v>1</v>
      </c>
      <c r="H25" s="24">
        <f t="shared" si="6"/>
        <v>1</v>
      </c>
      <c r="I25" s="24">
        <f t="shared" si="6"/>
        <v>1</v>
      </c>
      <c r="J25" s="24">
        <f t="shared" si="6"/>
        <v>1</v>
      </c>
      <c r="K25" s="24">
        <f t="shared" si="6"/>
        <v>1</v>
      </c>
      <c r="L25" s="24">
        <f t="shared" si="6"/>
        <v>1</v>
      </c>
    </row>
    <row r="26" spans="1:14" x14ac:dyDescent="0.25">
      <c r="A26" s="7" t="str">
        <f>IF(B26="","",MAX(A$1:A25)+1)</f>
        <v/>
      </c>
      <c r="B26" s="17"/>
      <c r="C26" s="16"/>
      <c r="D26" s="6" t="str">
        <f t="shared" si="0"/>
        <v/>
      </c>
      <c r="F26" s="16"/>
      <c r="G26" s="16"/>
      <c r="H26" s="16"/>
      <c r="I26" s="16"/>
      <c r="J26" s="16"/>
      <c r="K26" s="16"/>
      <c r="L26" s="16"/>
    </row>
    <row r="27" spans="1:14" x14ac:dyDescent="0.25">
      <c r="A27" s="7">
        <f>IF(B27="","",MAX(A$1:A26)+1)</f>
        <v>15</v>
      </c>
      <c r="B27" s="25" t="s">
        <v>26</v>
      </c>
      <c r="C27" s="9">
        <f>SUM(F27:L27)</f>
        <v>524994312.26540327</v>
      </c>
      <c r="D27" s="6">
        <f t="shared" si="0"/>
        <v>0</v>
      </c>
      <c r="F27" s="26">
        <f t="shared" ref="F27:K27" si="7">F15</f>
        <v>376733379.19549805</v>
      </c>
      <c r="G27" s="26">
        <f t="shared" si="7"/>
        <v>112018313.17249353</v>
      </c>
      <c r="H27" s="26">
        <f t="shared" si="7"/>
        <v>20339584.558743879</v>
      </c>
      <c r="I27" s="26">
        <f t="shared" si="7"/>
        <v>8709307.6152955815</v>
      </c>
      <c r="J27" s="26">
        <f t="shared" si="7"/>
        <v>1497660.3272209256</v>
      </c>
      <c r="K27" s="26">
        <f t="shared" si="7"/>
        <v>5696067.3961513303</v>
      </c>
      <c r="L27" s="26"/>
    </row>
    <row r="28" spans="1:14" x14ac:dyDescent="0.25">
      <c r="A28" s="7" t="str">
        <f>IF(B28="","",MAX(A$1:A27)+1)</f>
        <v/>
      </c>
      <c r="B28" s="17"/>
      <c r="D28" s="6" t="str">
        <f t="shared" si="0"/>
        <v/>
      </c>
    </row>
    <row r="29" spans="1:14" x14ac:dyDescent="0.25">
      <c r="A29" s="7">
        <f>IF(B29="","",MAX(A$1:A28)+1)</f>
        <v>16</v>
      </c>
      <c r="B29" s="18" t="s">
        <v>27</v>
      </c>
      <c r="D29" s="6" t="str">
        <f t="shared" si="0"/>
        <v/>
      </c>
    </row>
    <row r="30" spans="1:14" x14ac:dyDescent="0.25">
      <c r="A30" s="7">
        <f>IF(B30="","",MAX(A$1:A29)+1)</f>
        <v>17</v>
      </c>
      <c r="B30" s="17" t="s">
        <v>20</v>
      </c>
      <c r="C30" s="27">
        <f>$C$34*C27</f>
        <v>46843086.424869597</v>
      </c>
      <c r="D30" s="6">
        <f t="shared" si="0"/>
        <v>0</v>
      </c>
      <c r="E30" s="28"/>
      <c r="F30" s="29">
        <f>$C$34*F27-($L$30*F27/$C$27)</f>
        <v>33600206.919889376</v>
      </c>
      <c r="G30" s="29">
        <f t="shared" ref="G30:J30" si="8">$C$34*G27-($L$30*G27/$C$27)</f>
        <v>9990722.1108209398</v>
      </c>
      <c r="H30" s="29">
        <f t="shared" si="8"/>
        <v>1814052.8224437935</v>
      </c>
      <c r="I30" s="29">
        <f t="shared" si="8"/>
        <v>776768.27741627628</v>
      </c>
      <c r="J30" s="29">
        <f t="shared" si="8"/>
        <v>133573.76773407412</v>
      </c>
      <c r="K30" s="29">
        <f>$C$34*K27-($L$30*K27/$C$27)</f>
        <v>508022.52656514081</v>
      </c>
      <c r="L30" s="29">
        <f>L41</f>
        <v>19740.000000000015</v>
      </c>
    </row>
    <row r="31" spans="1:14" x14ac:dyDescent="0.25">
      <c r="A31" s="7">
        <f>IF(B31="","",MAX(A$1:A30)+1)</f>
        <v>18</v>
      </c>
      <c r="B31" s="17" t="s">
        <v>28</v>
      </c>
      <c r="C31" s="30">
        <f>C30+C12+C13</f>
        <v>569466463.78631306</v>
      </c>
      <c r="D31" s="6">
        <f t="shared" si="0"/>
        <v>0</v>
      </c>
      <c r="E31" s="28"/>
      <c r="F31" s="30">
        <f>F30+F12+F13</f>
        <v>406897627.91914749</v>
      </c>
      <c r="G31" s="30">
        <f t="shared" ref="G31:L31" si="9">G30+G12+G13</f>
        <v>121438227.56680003</v>
      </c>
      <c r="H31" s="30">
        <f t="shared" si="9"/>
        <v>22133487.077301655</v>
      </c>
      <c r="I31" s="30">
        <f t="shared" si="9"/>
        <v>9464588.4250397645</v>
      </c>
      <c r="J31" s="30">
        <f t="shared" si="9"/>
        <v>1630057.0284123346</v>
      </c>
      <c r="K31" s="30">
        <f t="shared" si="9"/>
        <v>6203411.31725528</v>
      </c>
      <c r="L31" s="30">
        <f t="shared" si="9"/>
        <v>1699064.4523564125</v>
      </c>
    </row>
    <row r="32" spans="1:14" x14ac:dyDescent="0.25">
      <c r="A32" s="7">
        <f>IF(B32="","",MAX(A$1:A31)+1)</f>
        <v>19</v>
      </c>
      <c r="B32" s="17" t="s">
        <v>22</v>
      </c>
      <c r="C32" s="9">
        <f>C22</f>
        <v>4050270.1499999203</v>
      </c>
      <c r="D32" s="6">
        <f t="shared" si="0"/>
        <v>0</v>
      </c>
      <c r="F32" s="9">
        <f>F22</f>
        <v>3435958.1962399483</v>
      </c>
      <c r="G32" s="9">
        <f t="shared" ref="G32:L32" si="10">G22</f>
        <v>570807.71651443676</v>
      </c>
      <c r="H32" s="9">
        <f t="shared" si="10"/>
        <v>20150.303886016831</v>
      </c>
      <c r="I32" s="9">
        <f t="shared" si="10"/>
        <v>21487.467672093771</v>
      </c>
      <c r="J32" s="9">
        <f t="shared" si="10"/>
        <v>1177.0665426650667</v>
      </c>
      <c r="K32" s="9">
        <f t="shared" si="10"/>
        <v>678.60546119138598</v>
      </c>
      <c r="L32" s="9">
        <f t="shared" si="10"/>
        <v>10.793683631811291</v>
      </c>
    </row>
    <row r="33" spans="1:12" x14ac:dyDescent="0.25">
      <c r="A33" s="7">
        <f>IF(B33="","",MAX(A$1:A32)+1)</f>
        <v>20</v>
      </c>
      <c r="B33" s="21" t="s">
        <v>29</v>
      </c>
      <c r="C33" s="22">
        <f>SUM(C31:C32)</f>
        <v>573516733.93631303</v>
      </c>
      <c r="D33" s="6">
        <f t="shared" si="0"/>
        <v>0</v>
      </c>
      <c r="F33" s="22">
        <f t="shared" ref="F33:L33" si="11">SUM(F31:F32)</f>
        <v>410333586.11538744</v>
      </c>
      <c r="G33" s="22">
        <f t="shared" si="11"/>
        <v>122009035.28331447</v>
      </c>
      <c r="H33" s="22">
        <f t="shared" si="11"/>
        <v>22153637.38118767</v>
      </c>
      <c r="I33" s="22">
        <f t="shared" si="11"/>
        <v>9486075.8927118592</v>
      </c>
      <c r="J33" s="22">
        <f t="shared" si="11"/>
        <v>1631234.0949549996</v>
      </c>
      <c r="K33" s="22">
        <f t="shared" si="11"/>
        <v>6204089.9227164714</v>
      </c>
      <c r="L33" s="22">
        <f t="shared" si="11"/>
        <v>1699075.2460400444</v>
      </c>
    </row>
    <row r="34" spans="1:12" x14ac:dyDescent="0.25">
      <c r="A34" s="7">
        <f>IF(B34="","",MAX(A$1:A33)+1)</f>
        <v>21</v>
      </c>
      <c r="B34" s="17" t="s">
        <v>30</v>
      </c>
      <c r="C34" s="23">
        <f>C20/C27</f>
        <v>8.9225893177274557E-2</v>
      </c>
      <c r="D34" s="6">
        <f t="shared" si="0"/>
        <v>0</v>
      </c>
      <c r="F34" s="31">
        <f>F33/F15-1</f>
        <v>8.918829276992013E-2</v>
      </c>
      <c r="G34" s="31">
        <f t="shared" ref="G34:L34" si="12">G33/G15-1</f>
        <v>8.9188292769919908E-2</v>
      </c>
      <c r="H34" s="31">
        <f t="shared" si="12"/>
        <v>8.9188292769919908E-2</v>
      </c>
      <c r="I34" s="31">
        <f t="shared" si="12"/>
        <v>8.918829276992013E-2</v>
      </c>
      <c r="J34" s="31">
        <f t="shared" si="12"/>
        <v>8.9188292769919908E-2</v>
      </c>
      <c r="K34" s="31">
        <f t="shared" si="12"/>
        <v>8.918829276992013E-2</v>
      </c>
      <c r="L34" s="31">
        <f t="shared" si="12"/>
        <v>1.1754651161254293E-2</v>
      </c>
    </row>
    <row r="35" spans="1:12" x14ac:dyDescent="0.25">
      <c r="A35" s="7">
        <f>IF(B35="","",MAX(A$1:A34)+1)</f>
        <v>22</v>
      </c>
      <c r="B35" s="17" t="s">
        <v>18</v>
      </c>
      <c r="C35" s="24">
        <f>C31/C$21</f>
        <v>1.0000000000000002</v>
      </c>
      <c r="D35" s="6"/>
      <c r="F35" s="24">
        <f>F31/F$21</f>
        <v>1.0925666032242423</v>
      </c>
      <c r="G35" s="24">
        <f t="shared" ref="G35:L35" si="13">G31/G$21</f>
        <v>0.83787398693795179</v>
      </c>
      <c r="H35" s="24">
        <f t="shared" si="13"/>
        <v>0.90300224555742159</v>
      </c>
      <c r="I35" s="24">
        <f t="shared" si="13"/>
        <v>0.763228790103474</v>
      </c>
      <c r="J35" s="24">
        <f t="shared" si="13"/>
        <v>1.2601756215268518</v>
      </c>
      <c r="K35" s="24">
        <f t="shared" si="13"/>
        <v>0.48656735162103104</v>
      </c>
      <c r="L35" s="24">
        <f t="shared" si="13"/>
        <v>1.474747832913083</v>
      </c>
    </row>
    <row r="36" spans="1:12" x14ac:dyDescent="0.25">
      <c r="A36" s="7" t="str">
        <f>IF(B36="","",MAX(A$1:A35)+1)</f>
        <v/>
      </c>
      <c r="B36" s="18"/>
      <c r="D36" s="6" t="str">
        <f t="shared" si="0"/>
        <v/>
      </c>
    </row>
    <row r="37" spans="1:12" x14ac:dyDescent="0.25">
      <c r="A37" s="7">
        <f>IF(B37="","",MAX(A$1:A36)+1)</f>
        <v>23</v>
      </c>
      <c r="B37" s="18" t="s">
        <v>31</v>
      </c>
      <c r="D37" s="6" t="str">
        <f t="shared" si="0"/>
        <v/>
      </c>
    </row>
    <row r="38" spans="1:12" outlineLevel="1" x14ac:dyDescent="0.25">
      <c r="A38" s="7"/>
      <c r="B38" s="32" t="s">
        <v>30</v>
      </c>
      <c r="C38" s="33">
        <f>C34</f>
        <v>8.9225893177274557E-2</v>
      </c>
      <c r="D38" s="34"/>
      <c r="E38" s="35"/>
      <c r="F38" s="36"/>
      <c r="G38" s="36"/>
      <c r="H38" s="36"/>
      <c r="I38" s="36"/>
      <c r="J38" s="36"/>
      <c r="K38" s="36"/>
      <c r="L38" s="36"/>
    </row>
    <row r="39" spans="1:12" outlineLevel="1" x14ac:dyDescent="0.25">
      <c r="A39" s="7"/>
      <c r="B39" s="32" t="s">
        <v>32</v>
      </c>
      <c r="C39" s="37"/>
      <c r="D39" s="34"/>
      <c r="E39" s="35"/>
      <c r="F39" s="36">
        <v>0.8</v>
      </c>
      <c r="G39" s="36">
        <v>1.25</v>
      </c>
      <c r="H39" s="36">
        <v>1.25</v>
      </c>
      <c r="I39" s="36">
        <v>1.5</v>
      </c>
      <c r="J39" s="36">
        <v>0</v>
      </c>
      <c r="K39" s="36">
        <v>1.5</v>
      </c>
      <c r="L39" s="36">
        <v>0</v>
      </c>
    </row>
    <row r="40" spans="1:12" outlineLevel="1" x14ac:dyDescent="0.25">
      <c r="A40" s="7"/>
      <c r="B40" s="32" t="s">
        <v>33</v>
      </c>
      <c r="C40" s="36"/>
      <c r="D40" s="34"/>
      <c r="E40" s="35"/>
      <c r="F40" s="33">
        <f>$C$38*F39</f>
        <v>7.1380714541819643E-2</v>
      </c>
      <c r="G40" s="33">
        <f t="shared" ref="G40:L40" si="14">$C$38*G39</f>
        <v>0.1115323664715932</v>
      </c>
      <c r="H40" s="33">
        <f t="shared" si="14"/>
        <v>0.1115323664715932</v>
      </c>
      <c r="I40" s="33">
        <f t="shared" si="14"/>
        <v>0.13383883976591182</v>
      </c>
      <c r="J40" s="33">
        <f t="shared" si="14"/>
        <v>0</v>
      </c>
      <c r="K40" s="33">
        <f t="shared" si="14"/>
        <v>0.13383883976591182</v>
      </c>
      <c r="L40" s="33">
        <f t="shared" si="14"/>
        <v>0</v>
      </c>
    </row>
    <row r="41" spans="1:12" outlineLevel="1" x14ac:dyDescent="0.25">
      <c r="A41" s="7"/>
      <c r="B41" s="32" t="s">
        <v>34</v>
      </c>
      <c r="C41" s="38">
        <f>SUM(F41:L41)</f>
        <v>43601426.031823888</v>
      </c>
      <c r="D41" s="34"/>
      <c r="E41" s="35"/>
      <c r="F41" s="38">
        <f t="shared" ref="F41:K41" si="15">F40*F27</f>
        <v>26891497.798728943</v>
      </c>
      <c r="G41" s="38">
        <f t="shared" si="15"/>
        <v>12493667.556284245</v>
      </c>
      <c r="H41" s="38">
        <f t="shared" si="15"/>
        <v>2268521.9988857806</v>
      </c>
      <c r="I41" s="38">
        <f t="shared" si="15"/>
        <v>1165643.6263955808</v>
      </c>
      <c r="J41" s="38">
        <f t="shared" si="15"/>
        <v>0</v>
      </c>
      <c r="K41" s="38">
        <f t="shared" si="15"/>
        <v>762355.05152933253</v>
      </c>
      <c r="L41" s="39">
        <v>19740.000000000015</v>
      </c>
    </row>
    <row r="42" spans="1:12" outlineLevel="1" x14ac:dyDescent="0.25">
      <c r="A42" s="7"/>
      <c r="B42" s="40" t="s">
        <v>35</v>
      </c>
      <c r="C42" s="38">
        <f>C30-C41</f>
        <v>3241660.3930457085</v>
      </c>
      <c r="D42" s="34"/>
      <c r="E42" s="35"/>
      <c r="F42" s="36"/>
      <c r="G42" s="36"/>
      <c r="H42" s="36"/>
      <c r="I42" s="36"/>
      <c r="J42" s="36"/>
      <c r="K42" s="36"/>
      <c r="L42" s="36"/>
    </row>
    <row r="43" spans="1:12" outlineLevel="1" x14ac:dyDescent="0.25">
      <c r="A43" s="7"/>
      <c r="B43" s="32" t="s">
        <v>36</v>
      </c>
      <c r="C43" s="38"/>
      <c r="D43" s="34"/>
      <c r="E43" s="35"/>
      <c r="F43" s="38">
        <f>C42</f>
        <v>3241660.3930457085</v>
      </c>
      <c r="G43" s="38"/>
      <c r="H43" s="38"/>
      <c r="I43" s="38"/>
      <c r="J43" s="38"/>
      <c r="K43" s="38"/>
      <c r="L43" s="38"/>
    </row>
    <row r="44" spans="1:12" x14ac:dyDescent="0.25">
      <c r="A44" s="7">
        <f>IF(B44="","",MAX(A$1:A43)+1)</f>
        <v>24</v>
      </c>
      <c r="B44" s="17" t="s">
        <v>37</v>
      </c>
      <c r="C44" s="29"/>
      <c r="D44" s="6"/>
      <c r="F44" s="41">
        <f>F50/$C$38</f>
        <v>0.89643673750887698</v>
      </c>
      <c r="G44" s="41">
        <f t="shared" ref="G44:L44" si="16">G50/$C$38</f>
        <v>1.2500000000000007</v>
      </c>
      <c r="H44" s="41">
        <f t="shared" si="16"/>
        <v>1.2500000000000007</v>
      </c>
      <c r="I44" s="41">
        <f t="shared" si="16"/>
        <v>1.5000000000000024</v>
      </c>
      <c r="J44" s="42">
        <f t="shared" si="16"/>
        <v>0</v>
      </c>
      <c r="K44" s="41">
        <f>K50/$C$38</f>
        <v>1.4999999999999998</v>
      </c>
      <c r="L44" s="42">
        <f t="shared" si="16"/>
        <v>0.13174035857394084</v>
      </c>
    </row>
    <row r="45" spans="1:12" x14ac:dyDescent="0.25">
      <c r="A45" s="7">
        <f>IF(B45="","",MAX(A$1:A44)+1)</f>
        <v>25</v>
      </c>
      <c r="B45" s="17" t="s">
        <v>24</v>
      </c>
      <c r="C45" s="29"/>
      <c r="D45" s="6"/>
      <c r="F45" s="23">
        <f>$C$38*F44</f>
        <v>7.9985368581151572E-2</v>
      </c>
      <c r="G45" s="23">
        <f t="shared" ref="G45:L45" si="17">$C$38*G44</f>
        <v>0.11153236647159326</v>
      </c>
      <c r="H45" s="23">
        <f>$C$38*H44</f>
        <v>0.11153236647159326</v>
      </c>
      <c r="I45" s="23">
        <f t="shared" si="17"/>
        <v>0.13383883976591204</v>
      </c>
      <c r="J45" s="23">
        <f t="shared" si="17"/>
        <v>0</v>
      </c>
      <c r="K45" s="23">
        <f t="shared" si="17"/>
        <v>0.13383883976591182</v>
      </c>
      <c r="L45" s="23">
        <f t="shared" si="17"/>
        <v>1.1754651161254293E-2</v>
      </c>
    </row>
    <row r="46" spans="1:12" x14ac:dyDescent="0.25">
      <c r="A46" s="7">
        <f>IF(B46="","",MAX(A$1:A45)+1)</f>
        <v>26</v>
      </c>
      <c r="B46" s="17" t="s">
        <v>20</v>
      </c>
      <c r="C46" s="27">
        <f>SUM(F46:L46)</f>
        <v>46843086.424869597</v>
      </c>
      <c r="D46" s="6">
        <f t="shared" si="0"/>
        <v>0</v>
      </c>
      <c r="E46" s="28"/>
      <c r="F46" s="29">
        <f>F41+F43</f>
        <v>30133158.191774651</v>
      </c>
      <c r="G46" s="29">
        <f>G41+G43</f>
        <v>12493667.556284245</v>
      </c>
      <c r="H46" s="29">
        <f t="shared" ref="H46:L46" si="18">H41+H43</f>
        <v>2268521.9988857806</v>
      </c>
      <c r="I46" s="29">
        <f t="shared" si="18"/>
        <v>1165643.6263955808</v>
      </c>
      <c r="J46" s="29">
        <f t="shared" si="18"/>
        <v>0</v>
      </c>
      <c r="K46" s="29">
        <f t="shared" si="18"/>
        <v>762355.05152933253</v>
      </c>
      <c r="L46" s="29">
        <f t="shared" si="18"/>
        <v>19740.000000000015</v>
      </c>
    </row>
    <row r="47" spans="1:12" x14ac:dyDescent="0.25">
      <c r="A47" s="7">
        <f>IF(B47="","",MAX(A$1:A46)+1)</f>
        <v>27</v>
      </c>
      <c r="B47" s="17" t="s">
        <v>28</v>
      </c>
      <c r="C47" s="29">
        <f>SUM(F47:L47)</f>
        <v>569466463.78631306</v>
      </c>
      <c r="D47" s="6">
        <f t="shared" si="0"/>
        <v>0</v>
      </c>
      <c r="E47" s="28"/>
      <c r="F47" s="30">
        <f>F46+F12+F13</f>
        <v>403430579.19103277</v>
      </c>
      <c r="G47" s="30">
        <f t="shared" ref="G47:L47" si="19">G46+G12+G13</f>
        <v>123941173.01226334</v>
      </c>
      <c r="H47" s="30">
        <f t="shared" si="19"/>
        <v>22587956.253743641</v>
      </c>
      <c r="I47" s="30">
        <f t="shared" si="19"/>
        <v>9853463.77401907</v>
      </c>
      <c r="J47" s="30">
        <f t="shared" si="19"/>
        <v>1496483.2606782606</v>
      </c>
      <c r="K47" s="30">
        <f t="shared" si="19"/>
        <v>6457743.8422194719</v>
      </c>
      <c r="L47" s="30">
        <f t="shared" si="19"/>
        <v>1699064.4523564125</v>
      </c>
    </row>
    <row r="48" spans="1:12" x14ac:dyDescent="0.25">
      <c r="A48" s="7">
        <f>IF(B48="","",MAX(A$1:A47)+1)</f>
        <v>28</v>
      </c>
      <c r="B48" s="17" t="s">
        <v>22</v>
      </c>
      <c r="C48" s="9">
        <f>C32</f>
        <v>4050270.1499999203</v>
      </c>
      <c r="D48" s="6">
        <f t="shared" si="0"/>
        <v>0</v>
      </c>
      <c r="F48" s="9">
        <f>F32</f>
        <v>3435958.1962399483</v>
      </c>
      <c r="G48" s="9">
        <f t="shared" ref="G48:L48" si="20">G32</f>
        <v>570807.71651443676</v>
      </c>
      <c r="H48" s="9">
        <f t="shared" si="20"/>
        <v>20150.303886016831</v>
      </c>
      <c r="I48" s="9">
        <f t="shared" si="20"/>
        <v>21487.467672093771</v>
      </c>
      <c r="J48" s="9">
        <f t="shared" si="20"/>
        <v>1177.0665426650667</v>
      </c>
      <c r="K48" s="9">
        <f t="shared" si="20"/>
        <v>678.60546119138598</v>
      </c>
      <c r="L48" s="9">
        <f t="shared" si="20"/>
        <v>10.793683631811291</v>
      </c>
    </row>
    <row r="49" spans="1:12" x14ac:dyDescent="0.25">
      <c r="A49" s="7">
        <f>IF(B49="","",MAX(A$1:A48)+1)</f>
        <v>29</v>
      </c>
      <c r="B49" s="21" t="s">
        <v>29</v>
      </c>
      <c r="C49" s="22">
        <f>SUM(C47:C48)</f>
        <v>573516733.93631303</v>
      </c>
      <c r="D49" s="6">
        <f t="shared" si="0"/>
        <v>0</v>
      </c>
      <c r="F49" s="22">
        <f>SUM(F47:F48)</f>
        <v>406866537.38727272</v>
      </c>
      <c r="G49" s="22">
        <f t="shared" ref="G49:L49" si="21">SUM(G47:G48)</f>
        <v>124511980.72877778</v>
      </c>
      <c r="H49" s="22">
        <f t="shared" si="21"/>
        <v>22608106.55762966</v>
      </c>
      <c r="I49" s="22">
        <f t="shared" si="21"/>
        <v>9874951.2416911647</v>
      </c>
      <c r="J49" s="22">
        <f t="shared" si="21"/>
        <v>1497660.3272209256</v>
      </c>
      <c r="K49" s="22">
        <f t="shared" si="21"/>
        <v>6458422.4476806633</v>
      </c>
      <c r="L49" s="22">
        <f t="shared" si="21"/>
        <v>1699075.2460400444</v>
      </c>
    </row>
    <row r="50" spans="1:12" x14ac:dyDescent="0.25">
      <c r="A50" s="7">
        <f>IF(B50="","",MAX(A$1:A49)+1)</f>
        <v>30</v>
      </c>
      <c r="B50" s="17" t="s">
        <v>24</v>
      </c>
      <c r="C50" s="23">
        <f>C49/C15-1</f>
        <v>8.8941390263601594E-2</v>
      </c>
      <c r="D50" s="6">
        <f t="shared" si="0"/>
        <v>0</v>
      </c>
      <c r="F50" s="23">
        <f>F49/F15-1</f>
        <v>7.9985368581151572E-2</v>
      </c>
      <c r="G50" s="23">
        <f t="shared" ref="G50:L50" si="22">G49/G15-1</f>
        <v>0.11153236647159326</v>
      </c>
      <c r="H50" s="23">
        <f>H49/H15-1</f>
        <v>0.11153236647159326</v>
      </c>
      <c r="I50" s="23">
        <f t="shared" si="22"/>
        <v>0.13383883976591204</v>
      </c>
      <c r="J50" s="23">
        <f t="shared" si="22"/>
        <v>0</v>
      </c>
      <c r="K50" s="23">
        <f t="shared" si="22"/>
        <v>0.13383883976591182</v>
      </c>
      <c r="L50" s="23">
        <f t="shared" si="22"/>
        <v>1.1754651161254293E-2</v>
      </c>
    </row>
    <row r="51" spans="1:12" x14ac:dyDescent="0.25">
      <c r="A51" s="7">
        <f>IF(B51="","",MAX(A$1:A50)+1)</f>
        <v>31</v>
      </c>
      <c r="B51" s="17" t="s">
        <v>38</v>
      </c>
      <c r="C51" s="24">
        <f>C47/C$21</f>
        <v>1.0000000000000002</v>
      </c>
      <c r="D51" s="6"/>
      <c r="F51" s="24">
        <f>F47/F$21</f>
        <v>1.0832571814135015</v>
      </c>
      <c r="G51" s="24">
        <f t="shared" ref="G51:L51" si="23">G47/G$21</f>
        <v>0.85514328443593235</v>
      </c>
      <c r="H51" s="24">
        <f t="shared" si="23"/>
        <v>0.92154368394128139</v>
      </c>
      <c r="I51" s="24">
        <f t="shared" si="23"/>
        <v>0.79458787818778165</v>
      </c>
      <c r="J51" s="24">
        <f t="shared" si="23"/>
        <v>1.1569115007997881</v>
      </c>
      <c r="K51" s="24">
        <f t="shared" si="23"/>
        <v>0.50651603739633932</v>
      </c>
      <c r="L51" s="24">
        <f t="shared" si="23"/>
        <v>1.474747832913083</v>
      </c>
    </row>
    <row r="52" spans="1:12" x14ac:dyDescent="0.25">
      <c r="A52" s="7">
        <f>IF(B52="","",MAX(A$1:A51)+1)</f>
        <v>32</v>
      </c>
      <c r="B52" s="17" t="s">
        <v>39</v>
      </c>
      <c r="C52" s="43">
        <f>C17</f>
        <v>1</v>
      </c>
      <c r="D52" s="6"/>
      <c r="F52" s="43">
        <f t="shared" ref="F52:L52" si="24">F17</f>
        <v>1.0921871781763408</v>
      </c>
      <c r="G52" s="43">
        <f t="shared" si="24"/>
        <v>0.83786290000753849</v>
      </c>
      <c r="H52" s="43">
        <f t="shared" si="24"/>
        <v>0.90329565663879074</v>
      </c>
      <c r="I52" s="43">
        <f t="shared" si="24"/>
        <v>0.76338417720825802</v>
      </c>
      <c r="J52" s="43">
        <f t="shared" si="24"/>
        <v>1.2606062602870016</v>
      </c>
      <c r="K52" s="43">
        <f t="shared" si="24"/>
        <v>0.48676022586847706</v>
      </c>
      <c r="L52" s="43">
        <f t="shared" si="24"/>
        <v>1.5882609047107243</v>
      </c>
    </row>
    <row r="53" spans="1:12" x14ac:dyDescent="0.25">
      <c r="A53" s="7"/>
      <c r="B53" s="17"/>
      <c r="C53" s="17"/>
      <c r="D53" s="6"/>
      <c r="F53" s="17"/>
      <c r="G53" s="17"/>
      <c r="H53" s="17"/>
      <c r="I53" s="17"/>
      <c r="J53" s="17"/>
      <c r="K53" s="17"/>
      <c r="L53" s="17"/>
    </row>
    <row r="54" spans="1:12" x14ac:dyDescent="0.25">
      <c r="A54" s="44">
        <f>IF(B54="","",MAX(A$1:A53)+1)</f>
        <v>33</v>
      </c>
      <c r="B54" s="45" t="s">
        <v>40</v>
      </c>
      <c r="C54" s="46"/>
      <c r="D54" s="47"/>
      <c r="E54" s="48"/>
      <c r="F54" s="46"/>
      <c r="G54" s="46"/>
      <c r="H54" s="46"/>
      <c r="I54" s="46"/>
      <c r="J54" s="46"/>
      <c r="K54" s="46"/>
      <c r="L54" s="46"/>
    </row>
    <row r="55" spans="1:12" x14ac:dyDescent="0.25">
      <c r="A55" s="44">
        <f>IF(B55="","",MAX(A$1:A54)+1)</f>
        <v>34</v>
      </c>
      <c r="B55" s="46" t="s">
        <v>41</v>
      </c>
      <c r="C55" s="27">
        <f>SUM(F55:L55)</f>
        <v>46843086.424869597</v>
      </c>
      <c r="D55" s="47"/>
      <c r="E55" s="48"/>
      <c r="F55" s="19">
        <f>AVERAGE(F30,F46)</f>
        <v>31866682.555832013</v>
      </c>
      <c r="G55" s="19">
        <f t="shared" ref="G55:K55" si="25">AVERAGE(G30,G46)</f>
        <v>11242194.833552592</v>
      </c>
      <c r="H55" s="19">
        <f t="shared" si="25"/>
        <v>2041287.4106647871</v>
      </c>
      <c r="I55" s="19">
        <f t="shared" si="25"/>
        <v>971205.95190592855</v>
      </c>
      <c r="J55" s="19">
        <f t="shared" si="25"/>
        <v>66786.883867037061</v>
      </c>
      <c r="K55" s="19">
        <f t="shared" si="25"/>
        <v>635188.78904723667</v>
      </c>
      <c r="L55" s="19">
        <f>L41</f>
        <v>19740.000000000015</v>
      </c>
    </row>
    <row r="56" spans="1:12" x14ac:dyDescent="0.25">
      <c r="A56" s="44">
        <f>IF(B56="","",MAX(A$1:A55)+1)</f>
        <v>35</v>
      </c>
      <c r="B56" s="46" t="s">
        <v>28</v>
      </c>
      <c r="C56" s="27">
        <f t="shared" ref="C56:C58" si="26">SUM(F56:L56)</f>
        <v>569466463.78631306</v>
      </c>
      <c r="D56" s="47"/>
      <c r="E56" s="48"/>
      <c r="F56" s="19">
        <f>F12+F13+F55</f>
        <v>405164103.55509013</v>
      </c>
      <c r="G56" s="19">
        <f t="shared" ref="G56:L56" si="27">G12+G13+G55</f>
        <v>122689700.28953168</v>
      </c>
      <c r="H56" s="19">
        <f t="shared" si="27"/>
        <v>22360721.665522646</v>
      </c>
      <c r="I56" s="19">
        <f t="shared" si="27"/>
        <v>9659026.0995294172</v>
      </c>
      <c r="J56" s="19">
        <f t="shared" si="27"/>
        <v>1563270.1445452976</v>
      </c>
      <c r="K56" s="19">
        <f t="shared" si="27"/>
        <v>6330577.5797373755</v>
      </c>
      <c r="L56" s="19">
        <f t="shared" si="27"/>
        <v>1699064.4523564125</v>
      </c>
    </row>
    <row r="57" spans="1:12" x14ac:dyDescent="0.25">
      <c r="A57" s="44">
        <f>IF(B57="","",MAX(A$1:A56)+1)</f>
        <v>36</v>
      </c>
      <c r="B57" s="46" t="s">
        <v>22</v>
      </c>
      <c r="C57" s="27">
        <f t="shared" si="26"/>
        <v>4050270.1499999836</v>
      </c>
      <c r="D57" s="47"/>
      <c r="E57" s="48"/>
      <c r="F57" s="19">
        <f>F14</f>
        <v>3435958.1962399483</v>
      </c>
      <c r="G57" s="19">
        <f t="shared" ref="G57:L57" si="28">G14</f>
        <v>570807.71651443676</v>
      </c>
      <c r="H57" s="19">
        <f t="shared" si="28"/>
        <v>20150.303886016831</v>
      </c>
      <c r="I57" s="19">
        <f t="shared" si="28"/>
        <v>21487.467672093771</v>
      </c>
      <c r="J57" s="19">
        <f t="shared" si="28"/>
        <v>1177.0665426650667</v>
      </c>
      <c r="K57" s="19">
        <f t="shared" si="28"/>
        <v>678.60546119138598</v>
      </c>
      <c r="L57" s="19">
        <f t="shared" si="28"/>
        <v>10.793683631811291</v>
      </c>
    </row>
    <row r="58" spans="1:12" x14ac:dyDescent="0.25">
      <c r="A58" s="44">
        <f>IF(B58="","",MAX(A$1:A57)+1)</f>
        <v>37</v>
      </c>
      <c r="B58" s="46" t="s">
        <v>42</v>
      </c>
      <c r="C58" s="27">
        <f t="shared" si="26"/>
        <v>573516733.93631279</v>
      </c>
      <c r="D58" s="47"/>
      <c r="E58" s="48"/>
      <c r="F58" s="19">
        <f>SUM(F56:F57)</f>
        <v>408600061.75133008</v>
      </c>
      <c r="G58" s="19">
        <f t="shared" ref="G58:L58" si="29">SUM(G56:G57)</f>
        <v>123260508.00604612</v>
      </c>
      <c r="H58" s="19">
        <f t="shared" si="29"/>
        <v>22380871.969408661</v>
      </c>
      <c r="I58" s="19">
        <f t="shared" si="29"/>
        <v>9680513.5672015101</v>
      </c>
      <c r="J58" s="19">
        <f t="shared" si="29"/>
        <v>1564447.2110879626</v>
      </c>
      <c r="K58" s="19">
        <f t="shared" si="29"/>
        <v>6331256.1851985669</v>
      </c>
      <c r="L58" s="19">
        <f t="shared" si="29"/>
        <v>1699075.2460400444</v>
      </c>
    </row>
    <row r="59" spans="1:12" x14ac:dyDescent="0.25">
      <c r="A59" s="44">
        <f>IF(B59="","",MAX(A$1:A58)+1)</f>
        <v>38</v>
      </c>
      <c r="B59" s="46" t="s">
        <v>43</v>
      </c>
      <c r="C59" s="49">
        <f>C58/C15-1</f>
        <v>8.894139026360115E-2</v>
      </c>
      <c r="D59" s="47"/>
      <c r="E59" s="48"/>
      <c r="F59" s="49">
        <f>F58/F15-1</f>
        <v>8.458683067553574E-2</v>
      </c>
      <c r="G59" s="49">
        <f t="shared" ref="G59:L59" si="30">G58/G15-1</f>
        <v>0.10036032962075647</v>
      </c>
      <c r="H59" s="49">
        <f t="shared" si="30"/>
        <v>0.10036032962075625</v>
      </c>
      <c r="I59" s="49">
        <f t="shared" si="30"/>
        <v>0.11151356626791586</v>
      </c>
      <c r="J59" s="49">
        <f t="shared" si="30"/>
        <v>4.4594146384959954E-2</v>
      </c>
      <c r="K59" s="49">
        <f t="shared" si="30"/>
        <v>0.11151356626791586</v>
      </c>
      <c r="L59" s="49">
        <f t="shared" si="30"/>
        <v>1.1754651161254293E-2</v>
      </c>
    </row>
    <row r="60" spans="1:12" x14ac:dyDescent="0.25">
      <c r="A60" s="44">
        <f>IF(B60="","",MAX(A$1:A59)+1)</f>
        <v>39</v>
      </c>
      <c r="B60" s="46" t="s">
        <v>44</v>
      </c>
      <c r="C60" s="50">
        <f>C56/C21</f>
        <v>1.0000000000000002</v>
      </c>
      <c r="D60" s="47"/>
      <c r="E60" s="48"/>
      <c r="F60" s="50">
        <f>F56/F21</f>
        <v>1.0879118923188718</v>
      </c>
      <c r="G60" s="50">
        <f t="shared" ref="G60:L60" si="31">G56/G21</f>
        <v>0.84650863568694201</v>
      </c>
      <c r="H60" s="50">
        <f t="shared" si="31"/>
        <v>0.91227296474935138</v>
      </c>
      <c r="I60" s="50">
        <f t="shared" si="31"/>
        <v>0.77890833414562777</v>
      </c>
      <c r="J60" s="50">
        <f t="shared" si="31"/>
        <v>1.20854356116332</v>
      </c>
      <c r="K60" s="50">
        <f t="shared" si="31"/>
        <v>0.49654169450868513</v>
      </c>
      <c r="L60" s="50">
        <f t="shared" si="31"/>
        <v>1.474747832913083</v>
      </c>
    </row>
    <row r="61" spans="1:12" x14ac:dyDescent="0.25">
      <c r="A61" s="7"/>
      <c r="B61" s="17"/>
      <c r="C61" s="17"/>
      <c r="D61" s="6"/>
      <c r="F61" s="17"/>
      <c r="G61" s="17"/>
      <c r="H61" s="17"/>
      <c r="I61" s="17"/>
      <c r="J61" s="17"/>
      <c r="K61" s="17"/>
      <c r="L61" s="17"/>
    </row>
    <row r="62" spans="1:12" x14ac:dyDescent="0.25">
      <c r="A62" s="7">
        <f>IF(B62="","",MAX(A$1:A61)+1)</f>
        <v>40</v>
      </c>
      <c r="B62" s="8" t="s">
        <v>45</v>
      </c>
      <c r="C62" s="51"/>
      <c r="D62" s="6" t="str">
        <f t="shared" si="0"/>
        <v/>
      </c>
    </row>
    <row r="63" spans="1:12" x14ac:dyDescent="0.25">
      <c r="A63" s="7" t="str">
        <f>IF(B63="","",MAX(A$1:A62)+1)</f>
        <v/>
      </c>
      <c r="B63" s="52"/>
      <c r="C63" s="51"/>
      <c r="D63" s="6" t="str">
        <f t="shared" si="0"/>
        <v/>
      </c>
    </row>
    <row r="64" spans="1:12" x14ac:dyDescent="0.25">
      <c r="A64" s="7">
        <f>IF(B64="","",MAX(A$1:A63)+1)</f>
        <v>41</v>
      </c>
      <c r="B64" s="53" t="s">
        <v>46</v>
      </c>
      <c r="C64" s="19">
        <f>SUM(F64:L64)</f>
        <v>46823346.424869597</v>
      </c>
      <c r="D64" s="47">
        <f t="shared" si="0"/>
        <v>0</v>
      </c>
      <c r="E64" s="48"/>
      <c r="F64" s="19">
        <f>F55</f>
        <v>31866682.555832013</v>
      </c>
      <c r="G64" s="19">
        <f t="shared" ref="G64:K64" si="32">G55</f>
        <v>11242194.833552592</v>
      </c>
      <c r="H64" s="19">
        <f t="shared" si="32"/>
        <v>2041287.4106647871</v>
      </c>
      <c r="I64" s="19">
        <f t="shared" si="32"/>
        <v>971205.95190592855</v>
      </c>
      <c r="J64" s="19">
        <f t="shared" si="32"/>
        <v>66786.883867037061</v>
      </c>
      <c r="K64" s="19">
        <f t="shared" si="32"/>
        <v>635188.78904723667</v>
      </c>
      <c r="L64" s="9"/>
    </row>
    <row r="65" spans="1:12" x14ac:dyDescent="0.25">
      <c r="A65" s="7">
        <f>IF(B65="","",MAX(A$1:A64)+1)</f>
        <v>42</v>
      </c>
      <c r="B65" s="54" t="s">
        <v>47</v>
      </c>
      <c r="C65" s="49">
        <f>SUM(F65:K65)</f>
        <v>1</v>
      </c>
      <c r="D65" s="47">
        <f t="shared" si="0"/>
        <v>0</v>
      </c>
      <c r="E65" s="48"/>
      <c r="F65" s="49">
        <f>F64/$C$64</f>
        <v>0.68057251326458912</v>
      </c>
      <c r="G65" s="49">
        <f t="shared" ref="G65:K65" si="33">G64/$C$64</f>
        <v>0.24009806414821835</v>
      </c>
      <c r="H65" s="49">
        <f t="shared" si="33"/>
        <v>4.3595504519099992E-2</v>
      </c>
      <c r="I65" s="49">
        <f t="shared" si="33"/>
        <v>2.074191671593309E-2</v>
      </c>
      <c r="J65" s="49">
        <f t="shared" si="33"/>
        <v>1.4263586216376046E-3</v>
      </c>
      <c r="K65" s="49">
        <f t="shared" si="33"/>
        <v>1.3565642730521811E-2</v>
      </c>
      <c r="L65" s="23"/>
    </row>
    <row r="66" spans="1:12" x14ac:dyDescent="0.25">
      <c r="A66" s="7" t="str">
        <f>IF(B66="","",MAX(A$1:A65)+1)</f>
        <v/>
      </c>
      <c r="B66" s="55"/>
      <c r="C66" s="56"/>
      <c r="D66" s="6" t="str">
        <f t="shared" si="0"/>
        <v/>
      </c>
    </row>
    <row r="67" spans="1:12" x14ac:dyDescent="0.25">
      <c r="A67" s="7">
        <f>IF(B67="","",MAX(A$1:A66)+1)</f>
        <v>43</v>
      </c>
      <c r="B67" s="55" t="s">
        <v>48</v>
      </c>
      <c r="C67" s="56"/>
      <c r="D67" s="6" t="str">
        <f t="shared" si="0"/>
        <v/>
      </c>
    </row>
    <row r="68" spans="1:12" x14ac:dyDescent="0.25">
      <c r="A68" s="7">
        <f>IF(B68="","",MAX(A$1:A67)+1)</f>
        <v>44</v>
      </c>
      <c r="B68" s="57" t="s">
        <v>49</v>
      </c>
      <c r="C68" s="27">
        <v>716876.11746409535</v>
      </c>
      <c r="D68" s="6"/>
      <c r="F68" s="20"/>
      <c r="G68" s="20"/>
      <c r="H68" s="20"/>
      <c r="I68" s="20"/>
      <c r="J68" s="20"/>
      <c r="K68" s="20"/>
    </row>
    <row r="69" spans="1:12" x14ac:dyDescent="0.25">
      <c r="A69" s="7">
        <f>IF(B69="","",MAX(A$1:A68)+1)</f>
        <v>45</v>
      </c>
      <c r="B69" s="57" t="s">
        <v>50</v>
      </c>
      <c r="C69" s="58">
        <f>'Exh JDT-5 (JDT-MYRP-SUM)'!G22</f>
        <v>1663059.2377731204</v>
      </c>
      <c r="D69" s="6"/>
      <c r="F69" s="26"/>
      <c r="G69" s="26"/>
      <c r="H69" s="26"/>
      <c r="I69" s="26"/>
      <c r="J69" s="26"/>
      <c r="K69" s="26"/>
    </row>
    <row r="70" spans="1:12" x14ac:dyDescent="0.25">
      <c r="A70" s="7">
        <f>IF(B70="","",MAX(A$1:A69)+1)</f>
        <v>46</v>
      </c>
      <c r="B70" s="59" t="s">
        <v>51</v>
      </c>
      <c r="C70" s="60">
        <f>C68-C69</f>
        <v>-946183.12030902505</v>
      </c>
      <c r="D70" s="6">
        <f t="shared" si="0"/>
        <v>0</v>
      </c>
      <c r="E70" s="55"/>
      <c r="F70" s="60">
        <f>$C$70*F65</f>
        <v>-643946.22419724427</v>
      </c>
      <c r="G70" s="60">
        <f t="shared" ref="G70:J70" si="34">$C$70*G65</f>
        <v>-227176.73551591771</v>
      </c>
      <c r="H70" s="60">
        <f t="shared" si="34"/>
        <v>-41249.330497328236</v>
      </c>
      <c r="I70" s="60">
        <f t="shared" si="34"/>
        <v>-19625.651479471497</v>
      </c>
      <c r="J70" s="60">
        <f t="shared" si="34"/>
        <v>-1349.5964513007489</v>
      </c>
      <c r="K70" s="60">
        <f>$C$70*K65</f>
        <v>-12835.58216776257</v>
      </c>
      <c r="L70" s="20"/>
    </row>
    <row r="71" spans="1:12" x14ac:dyDescent="0.25">
      <c r="A71" s="7" t="str">
        <f>IF(B71="","",MAX(A$1:A70)+1)</f>
        <v/>
      </c>
      <c r="B71" s="57"/>
      <c r="C71" s="58"/>
      <c r="D71" s="6" t="str">
        <f t="shared" si="0"/>
        <v/>
      </c>
      <c r="F71" s="20"/>
      <c r="G71" s="20"/>
      <c r="H71" s="20"/>
      <c r="I71" s="20"/>
      <c r="J71" s="20"/>
      <c r="K71" s="20"/>
      <c r="L71" s="20"/>
    </row>
    <row r="72" spans="1:12" x14ac:dyDescent="0.25">
      <c r="A72" s="7">
        <f>IF(B72="","",MAX(A$1:A71)+1)</f>
        <v>47</v>
      </c>
      <c r="B72" s="57" t="s">
        <v>52</v>
      </c>
      <c r="C72" s="27">
        <v>-26474012.260225475</v>
      </c>
      <c r="D72" s="6"/>
      <c r="F72" s="20"/>
      <c r="G72" s="20"/>
      <c r="H72" s="20"/>
      <c r="I72" s="20"/>
      <c r="J72" s="20"/>
      <c r="K72" s="20"/>
      <c r="L72" s="20"/>
    </row>
    <row r="73" spans="1:12" x14ac:dyDescent="0.25">
      <c r="A73" s="7">
        <f>IF(B73="","",MAX(A$1:A72)+1)</f>
        <v>48</v>
      </c>
      <c r="B73" s="57" t="s">
        <v>50</v>
      </c>
      <c r="C73" s="58">
        <f>'Exh JDT-5 (JDT-MYRP-SUM)'!L22</f>
        <v>2024595.1083447337</v>
      </c>
      <c r="D73" s="6"/>
      <c r="F73" s="61"/>
      <c r="G73" s="61"/>
      <c r="H73" s="61"/>
      <c r="I73" s="61"/>
      <c r="J73" s="61"/>
      <c r="K73" s="61"/>
      <c r="L73" s="20"/>
    </row>
    <row r="74" spans="1:12" x14ac:dyDescent="0.25">
      <c r="A74" s="7">
        <f>IF(B74="","",MAX(A$1:A73)+1)</f>
        <v>49</v>
      </c>
      <c r="B74" s="59" t="s">
        <v>53</v>
      </c>
      <c r="C74" s="60">
        <f>C72-C73</f>
        <v>-28498607.368570209</v>
      </c>
      <c r="D74" s="6">
        <f t="shared" si="0"/>
        <v>0</v>
      </c>
      <c r="E74" s="55"/>
      <c r="F74" s="60">
        <f>$C$74*F65</f>
        <v>-19395368.841368567</v>
      </c>
      <c r="G74" s="60">
        <f t="shared" ref="G74:K74" si="35">$C$74*G65</f>
        <v>-6842460.4601138579</v>
      </c>
      <c r="H74" s="60">
        <f t="shared" si="35"/>
        <v>-1242411.1663245589</v>
      </c>
      <c r="I74" s="60">
        <f t="shared" si="35"/>
        <v>-591115.74055896036</v>
      </c>
      <c r="J74" s="60">
        <f t="shared" si="35"/>
        <v>-40649.234324825084</v>
      </c>
      <c r="K74" s="60">
        <f t="shared" si="35"/>
        <v>-386601.92587943975</v>
      </c>
      <c r="L74" s="20"/>
    </row>
    <row r="75" spans="1:12" x14ac:dyDescent="0.25">
      <c r="A75" s="7" t="str">
        <f>IF(B75="","",MAX(A$1:A74)+1)</f>
        <v/>
      </c>
      <c r="B75" s="57"/>
      <c r="C75" s="58"/>
      <c r="D75" s="6" t="str">
        <f t="shared" si="0"/>
        <v/>
      </c>
      <c r="F75" s="20"/>
      <c r="G75" s="20"/>
      <c r="H75" s="20"/>
      <c r="I75" s="20"/>
      <c r="J75" s="20"/>
      <c r="K75" s="20"/>
      <c r="L75" s="20"/>
    </row>
    <row r="76" spans="1:12" x14ac:dyDescent="0.25">
      <c r="A76" s="7">
        <f>IF(B76="","",MAX(A$1:A75)+1)</f>
        <v>50</v>
      </c>
      <c r="B76" s="57" t="s">
        <v>54</v>
      </c>
      <c r="C76" s="58"/>
      <c r="D76" s="6"/>
      <c r="F76" s="20"/>
      <c r="G76" s="20"/>
      <c r="H76" s="20"/>
      <c r="I76" s="20"/>
      <c r="J76" s="20"/>
      <c r="K76" s="20"/>
      <c r="L76" s="20"/>
    </row>
    <row r="77" spans="1:12" x14ac:dyDescent="0.25">
      <c r="A77" s="7">
        <f>IF(B77="","",MAX(A$1:A76)+1)</f>
        <v>51</v>
      </c>
      <c r="B77" s="57" t="s">
        <v>50</v>
      </c>
      <c r="C77" s="58"/>
      <c r="D77" s="6"/>
      <c r="F77" s="61"/>
      <c r="G77" s="61"/>
      <c r="H77" s="61"/>
      <c r="I77" s="61"/>
      <c r="J77" s="61"/>
      <c r="K77" s="61"/>
      <c r="L77" s="20"/>
    </row>
    <row r="78" spans="1:12" x14ac:dyDescent="0.25">
      <c r="A78" s="7">
        <f>IF(B78="","",MAX(A$1:A77)+1)</f>
        <v>52</v>
      </c>
      <c r="B78" s="59" t="s">
        <v>55</v>
      </c>
      <c r="C78" s="60"/>
      <c r="D78" s="6"/>
      <c r="E78" s="55"/>
      <c r="F78" s="60"/>
      <c r="G78" s="60"/>
      <c r="H78" s="60"/>
      <c r="I78" s="60"/>
      <c r="J78" s="60"/>
      <c r="K78" s="60"/>
      <c r="L78" s="20"/>
    </row>
    <row r="79" spans="1:12" x14ac:dyDescent="0.25">
      <c r="A79" s="7" t="str">
        <f>IF(B79="","",MAX(A$1:A78)+1)</f>
        <v/>
      </c>
      <c r="B79" s="55"/>
      <c r="C79" s="51"/>
      <c r="D79" s="6" t="str">
        <f t="shared" ref="D79:D83" si="36">IFERROR(IF(C79="","",IF(C79=0,0,IF(ABS(C79-SUM($F79:$L79))&lt;1,0,1))),1)</f>
        <v/>
      </c>
    </row>
    <row r="80" spans="1:12" x14ac:dyDescent="0.25">
      <c r="A80" s="7">
        <f>IF(B80="","",MAX(A$1:A79)+1)</f>
        <v>53</v>
      </c>
      <c r="B80" s="55" t="s">
        <v>56</v>
      </c>
      <c r="C80" s="62"/>
      <c r="D80" s="6" t="str">
        <f t="shared" si="36"/>
        <v/>
      </c>
    </row>
    <row r="81" spans="1:12" x14ac:dyDescent="0.25">
      <c r="A81" s="7">
        <f>IF(B81="","",MAX(A$1:A80)+1)</f>
        <v>54</v>
      </c>
      <c r="B81" s="55" t="s">
        <v>57</v>
      </c>
      <c r="C81" s="27">
        <v>45493538.650030538</v>
      </c>
      <c r="D81" s="6">
        <f t="shared" si="36"/>
        <v>0</v>
      </c>
      <c r="E81" s="55"/>
      <c r="F81" s="60">
        <f>$C81*F$65</f>
        <v>30961651.936351005</v>
      </c>
      <c r="G81" s="60">
        <f t="shared" ref="G81:K82" si="37">$C81*G$65</f>
        <v>10922910.561124483</v>
      </c>
      <c r="H81" s="60">
        <f t="shared" si="37"/>
        <v>1983313.7698072565</v>
      </c>
      <c r="I81" s="60">
        <f t="shared" si="37"/>
        <v>943623.18979201652</v>
      </c>
      <c r="J81" s="60">
        <f t="shared" si="37"/>
        <v>64890.101082274654</v>
      </c>
      <c r="K81" s="60">
        <f t="shared" si="37"/>
        <v>617149.0918734998</v>
      </c>
      <c r="L81" s="20"/>
    </row>
    <row r="82" spans="1:12" x14ac:dyDescent="0.25">
      <c r="A82" s="7">
        <f>IF(B82="","",MAX(A$1:A81)+1)</f>
        <v>55</v>
      </c>
      <c r="B82" s="55" t="s">
        <v>58</v>
      </c>
      <c r="C82" s="27">
        <v>92817360.872042105</v>
      </c>
      <c r="D82" s="6">
        <f t="shared" si="36"/>
        <v>0</v>
      </c>
      <c r="E82" s="55"/>
      <c r="F82" s="60">
        <f t="shared" ref="F82" si="38">$C82*F$65</f>
        <v>63168944.563272029</v>
      </c>
      <c r="G82" s="60">
        <f t="shared" si="37"/>
        <v>22285268.664723899</v>
      </c>
      <c r="H82" s="60">
        <f t="shared" si="37"/>
        <v>4046419.6753480462</v>
      </c>
      <c r="I82" s="60">
        <f t="shared" si="37"/>
        <v>1925209.969000604</v>
      </c>
      <c r="J82" s="60">
        <f t="shared" si="37"/>
        <v>132390.84291748612</v>
      </c>
      <c r="K82" s="60">
        <f t="shared" si="37"/>
        <v>1259127.1567800376</v>
      </c>
      <c r="L82" s="20"/>
    </row>
    <row r="83" spans="1:12" x14ac:dyDescent="0.25">
      <c r="A83" s="7">
        <f>IF(B83="","",MAX(A$1:A82)+1)</f>
        <v>56</v>
      </c>
      <c r="B83" s="55" t="s">
        <v>59</v>
      </c>
      <c r="C83" s="11"/>
      <c r="D83" s="6" t="str">
        <f t="shared" si="36"/>
        <v/>
      </c>
      <c r="E83" s="55"/>
      <c r="F83" s="60"/>
      <c r="G83" s="60"/>
      <c r="H83" s="60"/>
      <c r="I83" s="60"/>
      <c r="J83" s="60"/>
      <c r="K83" s="60"/>
      <c r="L83" s="20"/>
    </row>
    <row r="84" spans="1:12" x14ac:dyDescent="0.25">
      <c r="D84" s="6" t="str">
        <f>IFERROR(IF(C84="","",IF(C84=0,0,IF(ABS(C84-SUM($F84:$L84))&lt;1,0,1))),1)</f>
        <v/>
      </c>
    </row>
    <row r="85" spans="1:12" x14ac:dyDescent="0.25">
      <c r="B85" s="63" t="s">
        <v>60</v>
      </c>
      <c r="D85" s="6" t="str">
        <f>IFERROR(IF(C85="","",IF(C85=0,0,IF(ABS(C85-SUM($F85:$L85))&lt;1,0,1))),1)</f>
        <v/>
      </c>
    </row>
    <row r="86" spans="1:12" x14ac:dyDescent="0.25">
      <c r="B86" s="63" t="s">
        <v>61</v>
      </c>
      <c r="C86" s="20"/>
      <c r="D86" s="6"/>
    </row>
    <row r="88" spans="1:12" x14ac:dyDescent="0.25">
      <c r="C88" s="20"/>
    </row>
    <row r="91" spans="1:12" x14ac:dyDescent="0.25">
      <c r="C91" s="20"/>
    </row>
  </sheetData>
  <pageMargins left="0.7" right="0.7" top="0.75" bottom="0.75" header="0.3" footer="0.3"/>
  <pageSetup scale="60" fitToHeight="2" orientation="landscape" horizontalDpi="300" verticalDpi="300" r:id="rId1"/>
  <headerFooter>
    <oddFooter>&amp;R&amp;A
 Page &amp;P of &amp;N</oddFooter>
  </headerFooter>
  <rowBreaks count="1" manualBreakCount="1">
    <brk id="6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53"/>
  <sheetViews>
    <sheetView zoomScale="80" zoomScaleNormal="80" workbookViewId="0">
      <pane xSplit="3" ySplit="7" topLeftCell="G8" activePane="bottomRight" state="frozen"/>
      <selection activeCell="F68" sqref="F68"/>
      <selection pane="topRight" activeCell="F68" sqref="F68"/>
      <selection pane="bottomLeft" activeCell="F68" sqref="F68"/>
      <selection pane="bottomRight" activeCell="F68" sqref="F68"/>
    </sheetView>
  </sheetViews>
  <sheetFormatPr defaultColWidth="42.28515625" defaultRowHeight="12.75" x14ac:dyDescent="0.2"/>
  <cols>
    <col min="1" max="1" width="26.5703125" style="123" customWidth="1"/>
    <col min="2" max="2" width="26.7109375" style="15" bestFit="1" customWidth="1"/>
    <col min="3" max="3" width="22.140625" style="15" bestFit="1" customWidth="1"/>
    <col min="4" max="5" width="12.85546875" style="15" customWidth="1"/>
    <col min="6" max="6" width="12.85546875" style="65" customWidth="1"/>
    <col min="7" max="8" width="12.85546875" style="15" customWidth="1"/>
    <col min="9" max="9" width="12.85546875" style="65" customWidth="1"/>
    <col min="10" max="15" width="12.85546875" style="15" customWidth="1"/>
    <col min="16" max="17" width="13.5703125" style="15" customWidth="1"/>
    <col min="18" max="18" width="13.5703125" style="65" customWidth="1"/>
    <col min="19" max="20" width="13.5703125" style="15" customWidth="1"/>
    <col min="21" max="21" width="13.5703125" style="65" customWidth="1"/>
    <col min="22" max="23" width="13.5703125" style="15" customWidth="1"/>
    <col min="24" max="24" width="13.5703125" style="65" customWidth="1"/>
    <col min="25" max="16384" width="42.28515625" style="15"/>
  </cols>
  <sheetData>
    <row r="1" spans="1:24" x14ac:dyDescent="0.2">
      <c r="A1" s="1" t="s">
        <v>261</v>
      </c>
      <c r="B1" s="64"/>
      <c r="C1" s="64"/>
      <c r="D1" s="64"/>
      <c r="G1" s="64"/>
      <c r="H1" s="64"/>
      <c r="I1" s="64"/>
      <c r="J1" s="64"/>
      <c r="K1" s="64"/>
      <c r="L1" s="64"/>
    </row>
    <row r="2" spans="1:24" x14ac:dyDescent="0.2">
      <c r="A2" s="1" t="s">
        <v>262</v>
      </c>
      <c r="B2" s="64"/>
      <c r="C2" s="64"/>
      <c r="D2" s="64"/>
      <c r="G2" s="64"/>
      <c r="H2" s="64"/>
      <c r="I2" s="64"/>
      <c r="J2" s="64"/>
      <c r="K2" s="64"/>
      <c r="L2" s="64"/>
    </row>
    <row r="3" spans="1:24" x14ac:dyDescent="0.2">
      <c r="A3" s="1" t="s">
        <v>263</v>
      </c>
      <c r="B3" s="66"/>
      <c r="C3" s="66"/>
      <c r="D3" s="64"/>
      <c r="G3" s="64"/>
      <c r="H3" s="64"/>
      <c r="I3" s="64"/>
      <c r="J3" s="64"/>
      <c r="K3" s="64"/>
      <c r="L3" s="64"/>
    </row>
    <row r="4" spans="1:24" x14ac:dyDescent="0.2">
      <c r="A4" s="1" t="s">
        <v>62</v>
      </c>
      <c r="B4" s="66"/>
      <c r="C4" s="66"/>
      <c r="D4" s="64"/>
      <c r="G4" s="64"/>
      <c r="H4" s="64"/>
      <c r="I4" s="64"/>
      <c r="J4" s="64"/>
      <c r="K4" s="64"/>
      <c r="L4" s="64"/>
    </row>
    <row r="6" spans="1:24" s="67" customFormat="1" ht="27" customHeight="1" x14ac:dyDescent="0.25">
      <c r="A6" s="556" t="s">
        <v>63</v>
      </c>
      <c r="B6" s="558" t="s">
        <v>64</v>
      </c>
      <c r="C6" s="559"/>
      <c r="D6" s="555" t="s">
        <v>65</v>
      </c>
      <c r="E6" s="555"/>
      <c r="F6" s="555"/>
      <c r="G6" s="555" t="s">
        <v>66</v>
      </c>
      <c r="H6" s="555"/>
      <c r="I6" s="555"/>
      <c r="J6" s="562" t="s">
        <v>67</v>
      </c>
      <c r="K6" s="563"/>
      <c r="L6" s="564"/>
      <c r="M6" s="562" t="s">
        <v>68</v>
      </c>
      <c r="N6" s="563"/>
      <c r="O6" s="564"/>
      <c r="P6" s="555" t="s">
        <v>69</v>
      </c>
      <c r="Q6" s="555"/>
      <c r="R6" s="555"/>
      <c r="S6" s="555" t="s">
        <v>70</v>
      </c>
      <c r="T6" s="555"/>
      <c r="U6" s="555"/>
      <c r="V6" s="555" t="s">
        <v>71</v>
      </c>
      <c r="W6" s="555"/>
      <c r="X6" s="555"/>
    </row>
    <row r="7" spans="1:24" s="67" customFormat="1" ht="25.5" x14ac:dyDescent="0.25">
      <c r="A7" s="557"/>
      <c r="B7" s="560"/>
      <c r="C7" s="561"/>
      <c r="D7" s="68" t="s">
        <v>72</v>
      </c>
      <c r="E7" s="68" t="s">
        <v>73</v>
      </c>
      <c r="F7" s="68" t="s">
        <v>74</v>
      </c>
      <c r="G7" s="68" t="s">
        <v>72</v>
      </c>
      <c r="H7" s="68" t="s">
        <v>73</v>
      </c>
      <c r="I7" s="68" t="s">
        <v>74</v>
      </c>
      <c r="J7" s="68" t="s">
        <v>72</v>
      </c>
      <c r="K7" s="68" t="s">
        <v>73</v>
      </c>
      <c r="L7" s="68" t="s">
        <v>74</v>
      </c>
      <c r="M7" s="68" t="s">
        <v>72</v>
      </c>
      <c r="N7" s="68" t="s">
        <v>73</v>
      </c>
      <c r="O7" s="68" t="s">
        <v>74</v>
      </c>
      <c r="P7" s="68" t="s">
        <v>72</v>
      </c>
      <c r="Q7" s="68" t="s">
        <v>73</v>
      </c>
      <c r="R7" s="68" t="s">
        <v>74</v>
      </c>
      <c r="S7" s="69" t="s">
        <v>75</v>
      </c>
      <c r="T7" s="69" t="s">
        <v>76</v>
      </c>
      <c r="U7" s="69" t="s">
        <v>77</v>
      </c>
      <c r="V7" s="69" t="s">
        <v>75</v>
      </c>
      <c r="W7" s="69" t="s">
        <v>76</v>
      </c>
      <c r="X7" s="69" t="s">
        <v>77</v>
      </c>
    </row>
    <row r="8" spans="1:24" s="67" customFormat="1" x14ac:dyDescent="0.25">
      <c r="A8" s="70"/>
      <c r="B8" s="71"/>
      <c r="C8" s="72"/>
      <c r="D8" s="73"/>
      <c r="E8" s="74"/>
      <c r="F8" s="72"/>
      <c r="G8" s="75"/>
      <c r="H8" s="74"/>
      <c r="I8" s="76"/>
      <c r="J8" s="77"/>
      <c r="K8" s="78"/>
      <c r="L8" s="79"/>
      <c r="M8" s="73"/>
      <c r="N8" s="74"/>
      <c r="O8" s="80"/>
      <c r="P8" s="73"/>
      <c r="Q8" s="74"/>
      <c r="R8" s="71"/>
      <c r="S8" s="81"/>
      <c r="T8" s="82"/>
      <c r="U8" s="83"/>
      <c r="V8" s="81"/>
      <c r="W8" s="82"/>
      <c r="X8" s="83"/>
    </row>
    <row r="9" spans="1:24" s="64" customFormat="1" x14ac:dyDescent="0.2">
      <c r="A9" s="84" t="s">
        <v>78</v>
      </c>
      <c r="B9" s="85" t="s">
        <v>79</v>
      </c>
      <c r="C9" s="86" t="s">
        <v>80</v>
      </c>
      <c r="D9" s="87">
        <f>'Exh JDT-5 (JDT-RES_RD)'!E13</f>
        <v>0.41964000000000001</v>
      </c>
      <c r="E9" s="88">
        <f>'Exh JDT-5 (JDT-RES_RD)'!H13</f>
        <v>0.45862000000000003</v>
      </c>
      <c r="F9" s="89">
        <f>IFERROR((E9-D9)/D9,"na")</f>
        <v>9.2889143075016709E-2</v>
      </c>
      <c r="G9" s="90">
        <f>'Exh JDT-5 (JDT-RES_RD)'!E12</f>
        <v>11.52</v>
      </c>
      <c r="H9" s="91">
        <f>'Exh JDT-5 (JDT-RES_RD)'!H12</f>
        <v>12.5</v>
      </c>
      <c r="I9" s="89">
        <f>IFERROR((H9-G9)/G9,"na")</f>
        <v>8.5069444444444489E-2</v>
      </c>
      <c r="J9" s="92"/>
      <c r="K9" s="93"/>
      <c r="L9" s="89" t="str">
        <f t="shared" ref="L9:L11" si="0">IFERROR((K9-J9)/J9,"na")</f>
        <v>na</v>
      </c>
      <c r="M9" s="94" t="s">
        <v>81</v>
      </c>
      <c r="N9" s="95" t="s">
        <v>81</v>
      </c>
      <c r="O9" s="96" t="s">
        <v>81</v>
      </c>
      <c r="P9" s="94" t="s">
        <v>81</v>
      </c>
      <c r="Q9" s="95" t="s">
        <v>81</v>
      </c>
      <c r="R9" s="97" t="str">
        <f>IFERROR((Q9-P9)/P9,"na")</f>
        <v>na</v>
      </c>
      <c r="S9" s="87">
        <f>'Exh JDT-5 (JDT-MYRP)'!$H$11</f>
        <v>-1.01E-3</v>
      </c>
      <c r="T9" s="88">
        <f>'Exh JDT-5 (JDT-MYRP)'!$N$11</f>
        <v>-3.0329999999999999E-2</v>
      </c>
      <c r="U9" s="98"/>
      <c r="V9" s="87">
        <f>'Exh JDT-5 (JDT-MYRP)'!$I$11</f>
        <v>4.8649999999999999E-2</v>
      </c>
      <c r="W9" s="88">
        <f>'Exh JDT-5 (JDT-MYRP)'!$O$11</f>
        <v>9.8780000000000007E-2</v>
      </c>
      <c r="X9" s="98"/>
    </row>
    <row r="10" spans="1:24" s="64" customFormat="1" x14ac:dyDescent="0.2">
      <c r="A10" s="84" t="s">
        <v>78</v>
      </c>
      <c r="B10" s="85" t="s">
        <v>82</v>
      </c>
      <c r="C10" s="86" t="s">
        <v>80</v>
      </c>
      <c r="D10" s="87">
        <f>'Exh JDT-5 (JDT-RES_RD)'!E21</f>
        <v>0.41964000000000001</v>
      </c>
      <c r="E10" s="88">
        <f>'Exh JDT-5 (JDT-RES_RD)'!H21</f>
        <v>0.45862000000000003</v>
      </c>
      <c r="F10" s="89">
        <f>IFERROR((E10-D10)/D10,"na")</f>
        <v>9.2889143075016709E-2</v>
      </c>
      <c r="G10" s="90">
        <f>'Exh JDT-5 (JDT-RES_RD)'!E20</f>
        <v>11.52</v>
      </c>
      <c r="H10" s="91">
        <f>'Exh JDT-5 (JDT-RES_RD)'!H20</f>
        <v>12.5</v>
      </c>
      <c r="I10" s="89">
        <f>IFERROR((H10-G10)/G10,"na")</f>
        <v>8.5069444444444489E-2</v>
      </c>
      <c r="J10" s="92"/>
      <c r="K10" s="93"/>
      <c r="L10" s="89" t="str">
        <f t="shared" si="0"/>
        <v>na</v>
      </c>
      <c r="M10" s="94" t="s">
        <v>81</v>
      </c>
      <c r="N10" s="95" t="s">
        <v>81</v>
      </c>
      <c r="O10" s="96" t="s">
        <v>81</v>
      </c>
      <c r="P10" s="94" t="s">
        <v>81</v>
      </c>
      <c r="Q10" s="95" t="s">
        <v>81</v>
      </c>
      <c r="R10" s="97" t="str">
        <f>IFERROR((Q10-P10)/P10,"na")</f>
        <v>na</v>
      </c>
      <c r="S10" s="87">
        <f>'Exh JDT-5 (JDT-MYRP)'!$H$11</f>
        <v>-1.01E-3</v>
      </c>
      <c r="T10" s="88">
        <f>'Exh JDT-5 (JDT-MYRP)'!$N$11</f>
        <v>-3.0329999999999999E-2</v>
      </c>
      <c r="U10" s="98"/>
      <c r="V10" s="87">
        <f>'Exh JDT-5 (JDT-MYRP)'!$I$11</f>
        <v>4.8649999999999999E-2</v>
      </c>
      <c r="W10" s="88">
        <f>'Exh JDT-5 (JDT-MYRP)'!$O$11</f>
        <v>9.8780000000000007E-2</v>
      </c>
      <c r="X10" s="98"/>
    </row>
    <row r="11" spans="1:24" s="64" customFormat="1" x14ac:dyDescent="0.2">
      <c r="A11" s="84" t="s">
        <v>78</v>
      </c>
      <c r="B11" s="85" t="s">
        <v>83</v>
      </c>
      <c r="C11" s="86" t="s">
        <v>84</v>
      </c>
      <c r="D11" s="94" t="s">
        <v>81</v>
      </c>
      <c r="E11" s="95" t="s">
        <v>81</v>
      </c>
      <c r="F11" s="89" t="str">
        <f>IFERROR((E11-D11)/D11,"na")</f>
        <v>na</v>
      </c>
      <c r="G11" s="90">
        <f>'Exh JDT-5 (JDT-RES_RD)'!E28</f>
        <v>11.24</v>
      </c>
      <c r="H11" s="91">
        <f>'Exh JDT-5 (JDT-RES_RD)'!H28</f>
        <v>12.19</v>
      </c>
      <c r="I11" s="89">
        <f>IFERROR((H11-G11)/G11,"na")</f>
        <v>8.4519572953736591E-2</v>
      </c>
      <c r="J11" s="92"/>
      <c r="K11" s="93"/>
      <c r="L11" s="89" t="str">
        <f t="shared" si="0"/>
        <v>na</v>
      </c>
      <c r="M11" s="94" t="s">
        <v>81</v>
      </c>
      <c r="N11" s="95" t="s">
        <v>81</v>
      </c>
      <c r="O11" s="96" t="s">
        <v>81</v>
      </c>
      <c r="P11" s="94" t="s">
        <v>81</v>
      </c>
      <c r="Q11" s="95" t="s">
        <v>81</v>
      </c>
      <c r="R11" s="97" t="str">
        <f>IFERROR((Q11-P11)/P11,"na")</f>
        <v>na</v>
      </c>
      <c r="S11" s="92">
        <f>ROUND('Exh JDT-5 (JDT-MYRP)'!$H$11*19,2)</f>
        <v>-0.02</v>
      </c>
      <c r="T11" s="93">
        <f>ROUND('Exh JDT-5 (JDT-MYRP)'!$N$11*19,2)</f>
        <v>-0.57999999999999996</v>
      </c>
      <c r="U11" s="99"/>
      <c r="V11" s="92">
        <f>ROUND('Exh JDT-5 (JDT-MYRP)'!$I$11*19,2)</f>
        <v>0.92</v>
      </c>
      <c r="W11" s="93">
        <f>ROUND('Exh JDT-5 (JDT-MYRP)'!$O$11*19,2)</f>
        <v>1.88</v>
      </c>
      <c r="X11" s="99"/>
    </row>
    <row r="12" spans="1:24" s="64" customFormat="1" x14ac:dyDescent="0.2">
      <c r="A12" s="84"/>
      <c r="B12" s="85"/>
      <c r="C12" s="86"/>
      <c r="D12" s="87"/>
      <c r="E12" s="88"/>
      <c r="F12" s="89"/>
      <c r="G12" s="90"/>
      <c r="H12" s="91"/>
      <c r="I12" s="89"/>
      <c r="J12" s="92"/>
      <c r="K12" s="93"/>
      <c r="L12" s="89"/>
      <c r="M12" s="100"/>
      <c r="N12" s="101"/>
      <c r="O12" s="79"/>
      <c r="P12" s="87"/>
      <c r="Q12" s="88"/>
      <c r="R12" s="97"/>
      <c r="S12" s="87"/>
      <c r="T12" s="88"/>
      <c r="U12" s="98"/>
      <c r="V12" s="87"/>
      <c r="W12" s="88"/>
      <c r="X12" s="98"/>
    </row>
    <row r="13" spans="1:24" s="64" customFormat="1" x14ac:dyDescent="0.2">
      <c r="A13" s="84" t="s">
        <v>85</v>
      </c>
      <c r="B13" s="85" t="s">
        <v>86</v>
      </c>
      <c r="C13" s="102" t="s">
        <v>80</v>
      </c>
      <c r="D13" s="87">
        <f>'Exh JDT-5 (JDT-C&amp;I-RD)'!E13</f>
        <v>0.37956000000000001</v>
      </c>
      <c r="E13" s="88">
        <f>'Exh JDT-5 (JDT-C&amp;I-RD)'!H13</f>
        <v>0.41493999999999998</v>
      </c>
      <c r="F13" s="89">
        <f>IFERROR((E13-D13)/D13,"na")</f>
        <v>9.3213194224891896E-2</v>
      </c>
      <c r="G13" s="90">
        <f>'Exh JDT-5 (JDT-C&amp;I-RD)'!E12</f>
        <v>33.840000000000003</v>
      </c>
      <c r="H13" s="91">
        <f>'Exh JDT-5 (JDT-C&amp;I-RD)'!H12</f>
        <v>38.89</v>
      </c>
      <c r="I13" s="89">
        <f>IFERROR((H13-G13)/G13,"na")</f>
        <v>0.14923167848699753</v>
      </c>
      <c r="J13" s="92"/>
      <c r="K13" s="93"/>
      <c r="L13" s="89" t="str">
        <f t="shared" ref="L13:L14" si="1">IFERROR((K13-J13)/J13,"na")</f>
        <v>na</v>
      </c>
      <c r="M13" s="87">
        <f>'Exh JDT-5 (JDT-C&amp;I-RD)'!E14</f>
        <v>1.371E-2</v>
      </c>
      <c r="N13" s="88">
        <f>'Exh JDT-5 (JDT-C&amp;I-RD)'!H14</f>
        <v>1.4919999999999999E-2</v>
      </c>
      <c r="O13" s="89">
        <f>IFERROR((N13-M13)/M13,"na")</f>
        <v>8.8256746900072888E-2</v>
      </c>
      <c r="P13" s="94" t="s">
        <v>81</v>
      </c>
      <c r="Q13" s="95" t="s">
        <v>81</v>
      </c>
      <c r="R13" s="97" t="str">
        <f>IFERROR((Q13-P13)/P13,"na")</f>
        <v>na</v>
      </c>
      <c r="S13" s="87">
        <f>'Exh JDT-5 (JDT-MYRP)'!$H$40</f>
        <v>-9.3000000000000005E-4</v>
      </c>
      <c r="T13" s="88">
        <f>'Exh JDT-5 (JDT-MYRP)'!$N$40</f>
        <v>-2.7820000000000001E-2</v>
      </c>
      <c r="U13" s="98"/>
      <c r="V13" s="87">
        <f>'Exh JDT-5 (JDT-MYRP)'!$I$40</f>
        <v>4.4909999999999999E-2</v>
      </c>
      <c r="W13" s="88">
        <f>'Exh JDT-5 (JDT-MYRP)'!$O$40</f>
        <v>9.06E-2</v>
      </c>
      <c r="X13" s="98"/>
    </row>
    <row r="14" spans="1:24" s="64" customFormat="1" x14ac:dyDescent="0.2">
      <c r="A14" s="84" t="s">
        <v>85</v>
      </c>
      <c r="B14" s="85" t="s">
        <v>87</v>
      </c>
      <c r="C14" s="102" t="s">
        <v>80</v>
      </c>
      <c r="D14" s="87">
        <f>'Exh JDT-5 (JDT-C&amp;I-RD)'!E23</f>
        <v>0.37956000000000001</v>
      </c>
      <c r="E14" s="88">
        <f>'Exh JDT-5 (JDT-C&amp;I-RD)'!H23</f>
        <v>0.41493999999999998</v>
      </c>
      <c r="F14" s="89">
        <f>IFERROR((E14-D14)/D14,"na")</f>
        <v>9.3213194224891896E-2</v>
      </c>
      <c r="G14" s="90">
        <f>'Exh JDT-5 (JDT-C&amp;I-RD)'!E22</f>
        <v>364.04</v>
      </c>
      <c r="H14" s="91">
        <f>'Exh JDT-5 (JDT-C&amp;I-RD)'!H22</f>
        <v>364.04</v>
      </c>
      <c r="I14" s="89">
        <f>IFERROR((H14-G14)/G14,"na")</f>
        <v>0</v>
      </c>
      <c r="J14" s="92"/>
      <c r="K14" s="93"/>
      <c r="L14" s="89" t="str">
        <f t="shared" si="1"/>
        <v>na</v>
      </c>
      <c r="M14" s="94" t="s">
        <v>81</v>
      </c>
      <c r="N14" s="95" t="s">
        <v>81</v>
      </c>
      <c r="O14" s="96" t="s">
        <v>81</v>
      </c>
      <c r="P14" s="94" t="s">
        <v>81</v>
      </c>
      <c r="Q14" s="95" t="s">
        <v>81</v>
      </c>
      <c r="R14" s="97" t="str">
        <f>IFERROR((Q14-P14)/P14,"na")</f>
        <v>na</v>
      </c>
      <c r="S14" s="87">
        <f>'Exh JDT-5 (JDT-MYRP)'!$H$40</f>
        <v>-9.3000000000000005E-4</v>
      </c>
      <c r="T14" s="88">
        <f>'Exh JDT-5 (JDT-MYRP)'!$N$40</f>
        <v>-2.7820000000000001E-2</v>
      </c>
      <c r="U14" s="98"/>
      <c r="V14" s="87">
        <f>'Exh JDT-5 (JDT-MYRP)'!$I$40</f>
        <v>4.4909999999999999E-2</v>
      </c>
      <c r="W14" s="88">
        <f>'Exh JDT-5 (JDT-MYRP)'!$O$40</f>
        <v>9.06E-2</v>
      </c>
      <c r="X14" s="98"/>
    </row>
    <row r="15" spans="1:24" s="64" customFormat="1" x14ac:dyDescent="0.2">
      <c r="A15" s="84"/>
      <c r="B15" s="85"/>
      <c r="C15" s="102"/>
      <c r="D15" s="87"/>
      <c r="E15" s="88"/>
      <c r="F15" s="89"/>
      <c r="G15" s="90"/>
      <c r="H15" s="91"/>
      <c r="I15" s="89"/>
      <c r="J15" s="92"/>
      <c r="K15" s="93"/>
      <c r="L15" s="79"/>
      <c r="M15" s="100"/>
      <c r="N15" s="101"/>
      <c r="O15" s="79"/>
      <c r="P15" s="87"/>
      <c r="Q15" s="88"/>
      <c r="R15" s="97"/>
      <c r="S15" s="87"/>
      <c r="T15" s="88"/>
      <c r="U15" s="98"/>
      <c r="V15" s="87"/>
      <c r="W15" s="88"/>
      <c r="X15" s="98"/>
    </row>
    <row r="16" spans="1:24" s="64" customFormat="1" x14ac:dyDescent="0.2">
      <c r="A16" s="84" t="s">
        <v>88</v>
      </c>
      <c r="B16" s="85" t="s">
        <v>89</v>
      </c>
      <c r="C16" s="102" t="s">
        <v>90</v>
      </c>
      <c r="D16" s="87">
        <f>'Exh JDT-5 (JDT-C&amp;I-RD)'!E46</f>
        <v>0.13758000000000001</v>
      </c>
      <c r="E16" s="88">
        <f>'Exh JDT-5 (JDT-C&amp;I-RD)'!H46</f>
        <v>0.14072124633258759</v>
      </c>
      <c r="F16" s="89">
        <f>IFERROR((E16-D16)/D16,"na")</f>
        <v>2.283214371701979E-2</v>
      </c>
      <c r="G16" s="548">
        <f>'Exh JDT-5 (JDT-C&amp;I-RD)'!E41</f>
        <v>113.4</v>
      </c>
      <c r="H16" s="549">
        <f>'Exh JDT-5 (JDT-C&amp;I-RD)'!H41</f>
        <v>130.33000000000001</v>
      </c>
      <c r="I16" s="525">
        <f>IFERROR((H16-G16)/G16,"na")</f>
        <v>0.14929453262786602</v>
      </c>
      <c r="J16" s="544">
        <f>'Exh JDT-5 (JDT-C&amp;I-RD)'!E42</f>
        <v>123.82</v>
      </c>
      <c r="K16" s="545">
        <f>'Exh JDT-5 (JDT-C&amp;I-RD)'!H42</f>
        <v>126.65</v>
      </c>
      <c r="L16" s="525">
        <f>IFERROR((K16-J16)/J16,"na")</f>
        <v>2.2855758358908195E-2</v>
      </c>
      <c r="M16" s="553">
        <f>'Exh JDT-5 (JDT-C&amp;I-RD)'!E50</f>
        <v>1.005E-2</v>
      </c>
      <c r="N16" s="554">
        <f>'Exh JDT-5 (JDT-C&amp;I-RD)'!H50</f>
        <v>1.119E-2</v>
      </c>
      <c r="O16" s="525">
        <f>IFERROR((N16-M16)/M16,"na")</f>
        <v>0.11343283582089556</v>
      </c>
      <c r="P16" s="544">
        <f>'Exh JDT-5 (JDT-C&amp;I-RD)'!E43</f>
        <v>1.25</v>
      </c>
      <c r="Q16" s="545">
        <f>'Exh JDT-5 (JDT-C&amp;I-RD)'!H43</f>
        <v>1.38</v>
      </c>
      <c r="R16" s="523">
        <f>IFERROR((Q16-P16)/P16,"na")</f>
        <v>0.10399999999999991</v>
      </c>
      <c r="S16" s="103">
        <f>'Exh JDT-5 (JDT-MYRP)'!$H$64</f>
        <v>-4.4999999999999999E-4</v>
      </c>
      <c r="T16" s="104">
        <f>'Exh JDT-5 (JDT-MYRP)'!$N$64</f>
        <v>-1.3299999999999999E-2</v>
      </c>
      <c r="U16" s="105"/>
      <c r="V16" s="103">
        <f>'Exh JDT-5 (JDT-MYRP)'!$I$64</f>
        <v>2.147E-2</v>
      </c>
      <c r="W16" s="104">
        <f>'Exh JDT-5 (JDT-MYRP)'!$O$64</f>
        <v>4.3319999999999997E-2</v>
      </c>
      <c r="X16" s="105"/>
    </row>
    <row r="17" spans="1:24" s="64" customFormat="1" x14ac:dyDescent="0.2">
      <c r="A17" s="84" t="s">
        <v>88</v>
      </c>
      <c r="B17" s="85" t="s">
        <v>89</v>
      </c>
      <c r="C17" s="102" t="s">
        <v>91</v>
      </c>
      <c r="D17" s="87">
        <f>'Exh JDT-5 (JDT-C&amp;I-RD)'!E47</f>
        <v>0.13758000000000001</v>
      </c>
      <c r="E17" s="88">
        <f>'Exh JDT-5 (JDT-C&amp;I-RD)'!H47</f>
        <v>0.14072124633258759</v>
      </c>
      <c r="F17" s="89">
        <f>IFERROR((E17-D17)/D17,"na")</f>
        <v>2.283214371701979E-2</v>
      </c>
      <c r="G17" s="548"/>
      <c r="H17" s="549"/>
      <c r="I17" s="525"/>
      <c r="J17" s="544"/>
      <c r="K17" s="545"/>
      <c r="L17" s="525"/>
      <c r="M17" s="553"/>
      <c r="N17" s="554"/>
      <c r="O17" s="525"/>
      <c r="P17" s="544"/>
      <c r="Q17" s="545"/>
      <c r="R17" s="523"/>
      <c r="S17" s="103">
        <f>'Exh JDT-5 (JDT-MYRP)'!$H$64</f>
        <v>-4.4999999999999999E-4</v>
      </c>
      <c r="T17" s="104">
        <f>'Exh JDT-5 (JDT-MYRP)'!$N$64</f>
        <v>-1.3299999999999999E-2</v>
      </c>
      <c r="U17" s="105"/>
      <c r="V17" s="103">
        <f>'Exh JDT-5 (JDT-MYRP)'!$I$64</f>
        <v>2.147E-2</v>
      </c>
      <c r="W17" s="104">
        <f>'Exh JDT-5 (JDT-MYRP)'!$O$64</f>
        <v>4.3319999999999997E-2</v>
      </c>
      <c r="X17" s="105"/>
    </row>
    <row r="18" spans="1:24" s="64" customFormat="1" x14ac:dyDescent="0.2">
      <c r="A18" s="84" t="s">
        <v>88</v>
      </c>
      <c r="B18" s="85" t="s">
        <v>89</v>
      </c>
      <c r="C18" s="102" t="s">
        <v>92</v>
      </c>
      <c r="D18" s="87">
        <f>'Exh JDT-5 (JDT-C&amp;I-RD)'!E48</f>
        <v>0.11074000000000001</v>
      </c>
      <c r="E18" s="88">
        <f>'Exh JDT-5 (JDT-C&amp;I-RD)'!H48</f>
        <v>0.12185</v>
      </c>
      <c r="F18" s="89">
        <f>IFERROR((E18-D18)/D18,"na")</f>
        <v>0.10032508578652695</v>
      </c>
      <c r="G18" s="548"/>
      <c r="H18" s="549"/>
      <c r="I18" s="525"/>
      <c r="J18" s="544"/>
      <c r="K18" s="545"/>
      <c r="L18" s="525"/>
      <c r="M18" s="553"/>
      <c r="N18" s="554"/>
      <c r="O18" s="525"/>
      <c r="P18" s="544"/>
      <c r="Q18" s="545"/>
      <c r="R18" s="523"/>
      <c r="S18" s="103">
        <f>'Exh JDT-5 (JDT-MYRP)'!$H$64</f>
        <v>-4.4999999999999999E-4</v>
      </c>
      <c r="T18" s="104">
        <f>'Exh JDT-5 (JDT-MYRP)'!$N$64</f>
        <v>-1.3299999999999999E-2</v>
      </c>
      <c r="U18" s="105"/>
      <c r="V18" s="103">
        <f>'Exh JDT-5 (JDT-MYRP)'!$I$64</f>
        <v>2.147E-2</v>
      </c>
      <c r="W18" s="104">
        <f>'Exh JDT-5 (JDT-MYRP)'!$O$64</f>
        <v>4.3319999999999997E-2</v>
      </c>
      <c r="X18" s="105"/>
    </row>
    <row r="19" spans="1:24" s="64" customFormat="1" x14ac:dyDescent="0.2">
      <c r="A19" s="84"/>
      <c r="B19" s="85"/>
      <c r="C19" s="102"/>
      <c r="D19" s="87"/>
      <c r="E19" s="88"/>
      <c r="F19" s="89"/>
      <c r="G19" s="90"/>
      <c r="H19" s="91"/>
      <c r="I19" s="89"/>
      <c r="J19" s="106"/>
      <c r="K19" s="107"/>
      <c r="L19" s="89"/>
      <c r="M19" s="87"/>
      <c r="N19" s="88"/>
      <c r="O19" s="89"/>
      <c r="P19" s="106"/>
      <c r="Q19" s="107"/>
      <c r="R19" s="97"/>
      <c r="S19" s="106"/>
      <c r="T19" s="107"/>
      <c r="U19" s="108"/>
      <c r="V19" s="106"/>
      <c r="W19" s="107"/>
      <c r="X19" s="108"/>
    </row>
    <row r="20" spans="1:24" s="64" customFormat="1" x14ac:dyDescent="0.2">
      <c r="A20" s="84" t="s">
        <v>88</v>
      </c>
      <c r="B20" s="85" t="s">
        <v>93</v>
      </c>
      <c r="C20" s="102" t="s">
        <v>90</v>
      </c>
      <c r="D20" s="87">
        <f>'Exh JDT-5 (JDT-C&amp;I-RD)'!E63</f>
        <v>0.13758000000000001</v>
      </c>
      <c r="E20" s="88">
        <f>'Exh JDT-5 (JDT-C&amp;I-RD)'!H63</f>
        <v>0.14072124633258759</v>
      </c>
      <c r="F20" s="89">
        <f>IFERROR((E20-D20)/D20,"na")</f>
        <v>2.283214371701979E-2</v>
      </c>
      <c r="G20" s="548">
        <f>'Exh JDT-5 (JDT-C&amp;I-RD)'!E58</f>
        <v>422.79</v>
      </c>
      <c r="H20" s="549">
        <f>'Exh JDT-5 (JDT-C&amp;I-RD)'!H58</f>
        <v>422.79</v>
      </c>
      <c r="I20" s="525">
        <f>IFERROR((H20-G20)/G20,"na")</f>
        <v>0</v>
      </c>
      <c r="J20" s="544">
        <f>'Exh JDT-5 (JDT-C&amp;I-RD)'!E59</f>
        <v>123.82</v>
      </c>
      <c r="K20" s="545">
        <f>'Exh JDT-5 (JDT-C&amp;I-RD)'!H59</f>
        <v>126.65</v>
      </c>
      <c r="L20" s="525">
        <f>IFERROR((K20-J20)/J20,"na")</f>
        <v>2.2855758358908195E-2</v>
      </c>
      <c r="M20" s="551" t="s">
        <v>81</v>
      </c>
      <c r="N20" s="552" t="s">
        <v>81</v>
      </c>
      <c r="O20" s="525" t="str">
        <f>IFERROR((N20-M20)/M20,"na")</f>
        <v>na</v>
      </c>
      <c r="P20" s="544">
        <f>'Exh JDT-5 (JDT-C&amp;I-RD)'!E60</f>
        <v>1.25</v>
      </c>
      <c r="Q20" s="545">
        <f>'Exh JDT-5 (JDT-C&amp;I-RD)'!H60</f>
        <v>1.38</v>
      </c>
      <c r="R20" s="523">
        <f>IFERROR((Q20-P20)/P20,"na")</f>
        <v>0.10399999999999991</v>
      </c>
      <c r="S20" s="103">
        <f>'Exh JDT-5 (JDT-MYRP)'!$H$64</f>
        <v>-4.4999999999999999E-4</v>
      </c>
      <c r="T20" s="104">
        <f>'Exh JDT-5 (JDT-MYRP)'!$N$64</f>
        <v>-1.3299999999999999E-2</v>
      </c>
      <c r="U20" s="105"/>
      <c r="V20" s="103">
        <f>'Exh JDT-5 (JDT-MYRP)'!$I$64</f>
        <v>2.147E-2</v>
      </c>
      <c r="W20" s="104">
        <f>'Exh JDT-5 (JDT-MYRP)'!$O$64</f>
        <v>4.3319999999999997E-2</v>
      </c>
      <c r="X20" s="105"/>
    </row>
    <row r="21" spans="1:24" s="64" customFormat="1" x14ac:dyDescent="0.2">
      <c r="A21" s="84" t="s">
        <v>88</v>
      </c>
      <c r="B21" s="85" t="s">
        <v>93</v>
      </c>
      <c r="C21" s="102" t="s">
        <v>91</v>
      </c>
      <c r="D21" s="87">
        <f>'Exh JDT-5 (JDT-C&amp;I-RD)'!E64</f>
        <v>0.13758000000000001</v>
      </c>
      <c r="E21" s="88">
        <f>'Exh JDT-5 (JDT-C&amp;I-RD)'!H64</f>
        <v>0.14072124633258759</v>
      </c>
      <c r="F21" s="89">
        <f>IFERROR((E21-D21)/D21,"na")</f>
        <v>2.283214371701979E-2</v>
      </c>
      <c r="G21" s="548"/>
      <c r="H21" s="549"/>
      <c r="I21" s="525"/>
      <c r="J21" s="544"/>
      <c r="K21" s="545"/>
      <c r="L21" s="525"/>
      <c r="M21" s="551"/>
      <c r="N21" s="552"/>
      <c r="O21" s="525"/>
      <c r="P21" s="544"/>
      <c r="Q21" s="545"/>
      <c r="R21" s="523"/>
      <c r="S21" s="103">
        <f>'Exh JDT-5 (JDT-MYRP)'!$H$64</f>
        <v>-4.4999999999999999E-4</v>
      </c>
      <c r="T21" s="104">
        <f>'Exh JDT-5 (JDT-MYRP)'!$N$64</f>
        <v>-1.3299999999999999E-2</v>
      </c>
      <c r="U21" s="105"/>
      <c r="V21" s="103">
        <f>'Exh JDT-5 (JDT-MYRP)'!$I$64</f>
        <v>2.147E-2</v>
      </c>
      <c r="W21" s="104">
        <f>'Exh JDT-5 (JDT-MYRP)'!$O$64</f>
        <v>4.3319999999999997E-2</v>
      </c>
      <c r="X21" s="105"/>
    </row>
    <row r="22" spans="1:24" s="64" customFormat="1" x14ac:dyDescent="0.2">
      <c r="A22" s="84" t="s">
        <v>88</v>
      </c>
      <c r="B22" s="85" t="s">
        <v>93</v>
      </c>
      <c r="C22" s="102" t="s">
        <v>92</v>
      </c>
      <c r="D22" s="87">
        <f>'Exh JDT-5 (JDT-C&amp;I-RD)'!E65</f>
        <v>0.11074000000000001</v>
      </c>
      <c r="E22" s="88">
        <f>'Exh JDT-5 (JDT-C&amp;I-RD)'!H65</f>
        <v>0.12185</v>
      </c>
      <c r="F22" s="89">
        <f>IFERROR((E22-D22)/D22,"na")</f>
        <v>0.10032508578652695</v>
      </c>
      <c r="G22" s="548"/>
      <c r="H22" s="549"/>
      <c r="I22" s="525"/>
      <c r="J22" s="544"/>
      <c r="K22" s="545"/>
      <c r="L22" s="525"/>
      <c r="M22" s="551"/>
      <c r="N22" s="552"/>
      <c r="O22" s="525"/>
      <c r="P22" s="544"/>
      <c r="Q22" s="545"/>
      <c r="R22" s="523"/>
      <c r="S22" s="103">
        <f>'Exh JDT-5 (JDT-MYRP)'!$H$64</f>
        <v>-4.4999999999999999E-4</v>
      </c>
      <c r="T22" s="104">
        <f>'Exh JDT-5 (JDT-MYRP)'!$N$64</f>
        <v>-1.3299999999999999E-2</v>
      </c>
      <c r="U22" s="105"/>
      <c r="V22" s="103">
        <f>'Exh JDT-5 (JDT-MYRP)'!$I$64</f>
        <v>2.147E-2</v>
      </c>
      <c r="W22" s="104">
        <f>'Exh JDT-5 (JDT-MYRP)'!$O$64</f>
        <v>4.3319999999999997E-2</v>
      </c>
      <c r="X22" s="105"/>
    </row>
    <row r="23" spans="1:24" s="64" customFormat="1" x14ac:dyDescent="0.2">
      <c r="A23" s="84"/>
      <c r="B23" s="85"/>
      <c r="C23" s="102"/>
      <c r="D23" s="87"/>
      <c r="E23" s="88"/>
      <c r="F23" s="89"/>
      <c r="G23" s="90"/>
      <c r="H23" s="91"/>
      <c r="I23" s="89"/>
      <c r="J23" s="77"/>
      <c r="K23" s="78"/>
      <c r="L23" s="79"/>
      <c r="M23" s="100"/>
      <c r="N23" s="101"/>
      <c r="O23" s="79"/>
      <c r="P23" s="92"/>
      <c r="Q23" s="93"/>
      <c r="R23" s="97"/>
      <c r="S23" s="92"/>
      <c r="T23" s="93"/>
      <c r="U23" s="99"/>
      <c r="V23" s="92"/>
      <c r="W23" s="93"/>
      <c r="X23" s="99"/>
    </row>
    <row r="24" spans="1:24" s="64" customFormat="1" x14ac:dyDescent="0.2">
      <c r="A24" s="84" t="s">
        <v>94</v>
      </c>
      <c r="B24" s="85" t="s">
        <v>95</v>
      </c>
      <c r="C24" s="102" t="s">
        <v>96</v>
      </c>
      <c r="D24" s="87">
        <f>'Exh JDT-5 (JDT-INTRPL-RD)'!E18</f>
        <v>0.1084</v>
      </c>
      <c r="E24" s="88">
        <f>'Exh JDT-5 (JDT-INTRPL-RD)'!H18</f>
        <v>0.12581999999999999</v>
      </c>
      <c r="F24" s="89">
        <f>IFERROR((E24-D24)/D24,"na")</f>
        <v>0.16070110701107004</v>
      </c>
      <c r="G24" s="548">
        <f>'Exh JDT-5 (JDT-INTRPL-RD)'!E12</f>
        <v>595.08000000000004</v>
      </c>
      <c r="H24" s="549">
        <f>'Exh JDT-5 (JDT-INTRPL-RD)'!H12</f>
        <v>701.68</v>
      </c>
      <c r="I24" s="525">
        <f>IFERROR((H24-G24)/G24,"na")</f>
        <v>0.17913557840962543</v>
      </c>
      <c r="J24" s="540"/>
      <c r="K24" s="542"/>
      <c r="L24" s="525" t="str">
        <f>IFERROR((K24-J24)/J24,"na")</f>
        <v>na</v>
      </c>
      <c r="M24" s="553">
        <f>'Exh JDT-5 (JDT-INTRPL-RD)'!E14</f>
        <v>7.0499999999999998E-3</v>
      </c>
      <c r="N24" s="554">
        <f>'Exh JDT-5 (JDT-INTRPL-RD)'!H14</f>
        <v>7.8399999999999997E-3</v>
      </c>
      <c r="O24" s="525">
        <f>IFERROR((N24-M24)/M24,"na")</f>
        <v>0.11205673758865248</v>
      </c>
      <c r="P24" s="544">
        <f>'Exh JDT-5 (JDT-INTRPL-RD)'!E13</f>
        <v>1.3</v>
      </c>
      <c r="Q24" s="545">
        <f>'Exh JDT-5 (JDT-INTRPL-RD)'!H13</f>
        <v>1.44</v>
      </c>
      <c r="R24" s="523">
        <f>IFERROR((Q24-P24)/P24,"na")</f>
        <v>0.10769230769230762</v>
      </c>
      <c r="S24" s="103">
        <f>'Exh JDT-5 (JDT-MYRP)'!$H$102</f>
        <v>-2.7E-4</v>
      </c>
      <c r="T24" s="104">
        <f>'Exh JDT-5 (JDT-MYRP)'!$N$102</f>
        <v>-8.09E-3</v>
      </c>
      <c r="U24" s="105"/>
      <c r="V24" s="103">
        <f>'Exh JDT-5 (JDT-MYRP)'!$I$102</f>
        <v>1.277E-2</v>
      </c>
      <c r="W24" s="104">
        <f>'Exh JDT-5 (JDT-MYRP)'!$O$102</f>
        <v>2.6360000000000001E-2</v>
      </c>
      <c r="X24" s="105"/>
    </row>
    <row r="25" spans="1:24" s="64" customFormat="1" x14ac:dyDescent="0.2">
      <c r="A25" s="84" t="s">
        <v>94</v>
      </c>
      <c r="B25" s="85" t="s">
        <v>95</v>
      </c>
      <c r="C25" s="102" t="s">
        <v>97</v>
      </c>
      <c r="D25" s="87">
        <f>'Exh JDT-5 (JDT-INTRPL-RD)'!E19</f>
        <v>5.3650000000000003E-2</v>
      </c>
      <c r="E25" s="88">
        <f>'Exh JDT-5 (JDT-INTRPL-RD)'!H19</f>
        <v>5.9630000000000002E-2</v>
      </c>
      <c r="F25" s="89">
        <f>IFERROR((E25-D25)/D25,"na")</f>
        <v>0.11146318732525627</v>
      </c>
      <c r="G25" s="548"/>
      <c r="H25" s="549"/>
      <c r="I25" s="525"/>
      <c r="J25" s="540"/>
      <c r="K25" s="542"/>
      <c r="L25" s="525"/>
      <c r="M25" s="553"/>
      <c r="N25" s="554"/>
      <c r="O25" s="525"/>
      <c r="P25" s="544"/>
      <c r="Q25" s="545"/>
      <c r="R25" s="523"/>
      <c r="S25" s="103">
        <f>'Exh JDT-5 (JDT-MYRP)'!$H$102</f>
        <v>-2.7E-4</v>
      </c>
      <c r="T25" s="104">
        <f>'Exh JDT-5 (JDT-MYRP)'!$N$102</f>
        <v>-8.09E-3</v>
      </c>
      <c r="U25" s="105"/>
      <c r="V25" s="103">
        <f>'Exh JDT-5 (JDT-MYRP)'!$I$102</f>
        <v>1.277E-2</v>
      </c>
      <c r="W25" s="104">
        <f>'Exh JDT-5 (JDT-MYRP)'!$O$102</f>
        <v>2.6360000000000001E-2</v>
      </c>
      <c r="X25" s="105"/>
    </row>
    <row r="26" spans="1:24" s="64" customFormat="1" x14ac:dyDescent="0.2">
      <c r="A26" s="84" t="s">
        <v>94</v>
      </c>
      <c r="B26" s="85" t="s">
        <v>95</v>
      </c>
      <c r="C26" s="102" t="s">
        <v>98</v>
      </c>
      <c r="D26" s="87">
        <f>'Exh JDT-5 (JDT-INTRPL-RD)'!E20</f>
        <v>5.1319999999999998E-2</v>
      </c>
      <c r="E26" s="88">
        <f>'Exh JDT-5 (JDT-INTRPL-RD)'!H20</f>
        <v>5.704E-2</v>
      </c>
      <c r="F26" s="89">
        <f>IFERROR((E26-D26)/D26,"na")</f>
        <v>0.1114575214341388</v>
      </c>
      <c r="G26" s="548"/>
      <c r="H26" s="549"/>
      <c r="I26" s="525"/>
      <c r="J26" s="540"/>
      <c r="K26" s="542"/>
      <c r="L26" s="525"/>
      <c r="M26" s="553"/>
      <c r="N26" s="554"/>
      <c r="O26" s="525"/>
      <c r="P26" s="544"/>
      <c r="Q26" s="545"/>
      <c r="R26" s="523"/>
      <c r="S26" s="103">
        <f>'Exh JDT-5 (JDT-MYRP)'!$H$102</f>
        <v>-2.7E-4</v>
      </c>
      <c r="T26" s="104">
        <f>'Exh JDT-5 (JDT-MYRP)'!$N$102</f>
        <v>-8.09E-3</v>
      </c>
      <c r="U26" s="105"/>
      <c r="V26" s="103">
        <f>'Exh JDT-5 (JDT-MYRP)'!$I$102</f>
        <v>1.277E-2</v>
      </c>
      <c r="W26" s="104">
        <f>'Exh JDT-5 (JDT-MYRP)'!$O$102</f>
        <v>2.6360000000000001E-2</v>
      </c>
      <c r="X26" s="105"/>
    </row>
    <row r="27" spans="1:24" s="64" customFormat="1" x14ac:dyDescent="0.2">
      <c r="A27" s="84"/>
      <c r="B27" s="85"/>
      <c r="C27" s="102"/>
      <c r="D27" s="87"/>
      <c r="E27" s="88"/>
      <c r="F27" s="89"/>
      <c r="G27" s="90"/>
      <c r="H27" s="91"/>
      <c r="I27" s="89"/>
      <c r="J27" s="109"/>
      <c r="K27" s="110"/>
      <c r="L27" s="79"/>
      <c r="M27" s="100"/>
      <c r="N27" s="101"/>
      <c r="O27" s="79"/>
      <c r="P27" s="92"/>
      <c r="Q27" s="93"/>
      <c r="R27" s="97"/>
      <c r="S27" s="92"/>
      <c r="T27" s="93"/>
      <c r="U27" s="99"/>
      <c r="V27" s="92"/>
      <c r="W27" s="93"/>
      <c r="X27" s="99"/>
    </row>
    <row r="28" spans="1:24" s="64" customFormat="1" x14ac:dyDescent="0.2">
      <c r="A28" s="84" t="s">
        <v>94</v>
      </c>
      <c r="B28" s="85" t="s">
        <v>99</v>
      </c>
      <c r="C28" s="102" t="s">
        <v>96</v>
      </c>
      <c r="D28" s="87">
        <f>'Exh JDT-5 (JDT-INTRPL-RD)'!E33</f>
        <v>0.1084</v>
      </c>
      <c r="E28" s="88">
        <f>'Exh JDT-5 (JDT-INTRPL-RD)'!H33</f>
        <v>0.12581999999999999</v>
      </c>
      <c r="F28" s="89">
        <f>IFERROR((E28-D28)/D28,"na")</f>
        <v>0.16070110701107004</v>
      </c>
      <c r="G28" s="548">
        <f>'Exh JDT-5 (JDT-INTRPL-RD)'!E28</f>
        <v>903.09</v>
      </c>
      <c r="H28" s="549">
        <f>'Exh JDT-5 (JDT-INTRPL-RD)'!H28</f>
        <v>903.09</v>
      </c>
      <c r="I28" s="525">
        <f>IFERROR((H28-G28)/G28,"na")</f>
        <v>0</v>
      </c>
      <c r="J28" s="540"/>
      <c r="K28" s="542"/>
      <c r="L28" s="525" t="str">
        <f>IFERROR((K28-J28)/J28,"na")</f>
        <v>na</v>
      </c>
      <c r="M28" s="551" t="s">
        <v>81</v>
      </c>
      <c r="N28" s="552" t="s">
        <v>81</v>
      </c>
      <c r="O28" s="525" t="str">
        <f>IFERROR((N28-M28)/M28,"na")</f>
        <v>na</v>
      </c>
      <c r="P28" s="544">
        <f>'Exh JDT-5 (JDT-INTRPL-RD)'!E29</f>
        <v>1.3</v>
      </c>
      <c r="Q28" s="545">
        <f>'Exh JDT-5 (JDT-INTRPL-RD)'!H29</f>
        <v>1.44</v>
      </c>
      <c r="R28" s="523">
        <f>IFERROR((Q28-P28)/P28,"na")</f>
        <v>0.10769230769230762</v>
      </c>
      <c r="S28" s="103">
        <f>'Exh JDT-5 (JDT-MYRP)'!$H$102</f>
        <v>-2.7E-4</v>
      </c>
      <c r="T28" s="104">
        <f>'Exh JDT-5 (JDT-MYRP)'!$N$102</f>
        <v>-8.09E-3</v>
      </c>
      <c r="U28" s="105"/>
      <c r="V28" s="103">
        <f>'Exh JDT-5 (JDT-MYRP)'!$I$102</f>
        <v>1.277E-2</v>
      </c>
      <c r="W28" s="104">
        <f>'Exh JDT-5 (JDT-MYRP)'!$O$102</f>
        <v>2.6360000000000001E-2</v>
      </c>
      <c r="X28" s="105"/>
    </row>
    <row r="29" spans="1:24" s="64" customFormat="1" x14ac:dyDescent="0.2">
      <c r="A29" s="84" t="s">
        <v>94</v>
      </c>
      <c r="B29" s="85" t="s">
        <v>99</v>
      </c>
      <c r="C29" s="102" t="s">
        <v>97</v>
      </c>
      <c r="D29" s="87">
        <f>'Exh JDT-5 (JDT-INTRPL-RD)'!E34</f>
        <v>5.3650000000000003E-2</v>
      </c>
      <c r="E29" s="88">
        <f>'Exh JDT-5 (JDT-INTRPL-RD)'!H34</f>
        <v>5.9630000000000002E-2</v>
      </c>
      <c r="F29" s="89">
        <f>IFERROR((E29-D29)/D29,"na")</f>
        <v>0.11146318732525627</v>
      </c>
      <c r="G29" s="548"/>
      <c r="H29" s="549"/>
      <c r="I29" s="525"/>
      <c r="J29" s="540"/>
      <c r="K29" s="542"/>
      <c r="L29" s="525"/>
      <c r="M29" s="551"/>
      <c r="N29" s="552"/>
      <c r="O29" s="525"/>
      <c r="P29" s="544"/>
      <c r="Q29" s="545"/>
      <c r="R29" s="523"/>
      <c r="S29" s="103">
        <f>'Exh JDT-5 (JDT-MYRP)'!$H$102</f>
        <v>-2.7E-4</v>
      </c>
      <c r="T29" s="104">
        <f>'Exh JDT-5 (JDT-MYRP)'!$N$102</f>
        <v>-8.09E-3</v>
      </c>
      <c r="U29" s="105"/>
      <c r="V29" s="103">
        <f>'Exh JDT-5 (JDT-MYRP)'!$I$102</f>
        <v>1.277E-2</v>
      </c>
      <c r="W29" s="104">
        <f>'Exh JDT-5 (JDT-MYRP)'!$O$102</f>
        <v>2.6360000000000001E-2</v>
      </c>
      <c r="X29" s="105"/>
    </row>
    <row r="30" spans="1:24" s="64" customFormat="1" x14ac:dyDescent="0.2">
      <c r="A30" s="84" t="s">
        <v>94</v>
      </c>
      <c r="B30" s="85" t="s">
        <v>99</v>
      </c>
      <c r="C30" s="102" t="s">
        <v>98</v>
      </c>
      <c r="D30" s="87">
        <f>'Exh JDT-5 (JDT-INTRPL-RD)'!E35</f>
        <v>5.1319999999999998E-2</v>
      </c>
      <c r="E30" s="88">
        <f>'Exh JDT-5 (JDT-INTRPL-RD)'!H35</f>
        <v>5.704E-2</v>
      </c>
      <c r="F30" s="89">
        <f>IFERROR((E30-D30)/D30,"na")</f>
        <v>0.1114575214341388</v>
      </c>
      <c r="G30" s="548"/>
      <c r="H30" s="549"/>
      <c r="I30" s="525"/>
      <c r="J30" s="540"/>
      <c r="K30" s="542"/>
      <c r="L30" s="525"/>
      <c r="M30" s="551"/>
      <c r="N30" s="552"/>
      <c r="O30" s="525"/>
      <c r="P30" s="544"/>
      <c r="Q30" s="545"/>
      <c r="R30" s="523"/>
      <c r="S30" s="103">
        <f>'Exh JDT-5 (JDT-MYRP)'!$H$102</f>
        <v>-2.7E-4</v>
      </c>
      <c r="T30" s="104">
        <f>'Exh JDT-5 (JDT-MYRP)'!$N$102</f>
        <v>-8.09E-3</v>
      </c>
      <c r="U30" s="105"/>
      <c r="V30" s="103">
        <f>'Exh JDT-5 (JDT-MYRP)'!$I$102</f>
        <v>1.277E-2</v>
      </c>
      <c r="W30" s="104">
        <f>'Exh JDT-5 (JDT-MYRP)'!$O$102</f>
        <v>2.6360000000000001E-2</v>
      </c>
      <c r="X30" s="105"/>
    </row>
    <row r="31" spans="1:24" s="64" customFormat="1" x14ac:dyDescent="0.2">
      <c r="A31" s="84"/>
      <c r="B31" s="85"/>
      <c r="C31" s="102"/>
      <c r="D31" s="87"/>
      <c r="E31" s="88"/>
      <c r="F31" s="89"/>
      <c r="G31" s="90"/>
      <c r="H31" s="91"/>
      <c r="I31" s="89"/>
      <c r="J31" s="109"/>
      <c r="K31" s="110"/>
      <c r="L31" s="79"/>
      <c r="M31" s="100"/>
      <c r="N31" s="101"/>
      <c r="O31" s="79"/>
      <c r="P31" s="92"/>
      <c r="Q31" s="93"/>
      <c r="R31" s="97"/>
      <c r="S31" s="92"/>
      <c r="T31" s="93"/>
      <c r="U31" s="99"/>
      <c r="V31" s="92"/>
      <c r="W31" s="93"/>
      <c r="X31" s="99"/>
    </row>
    <row r="32" spans="1:24" s="64" customFormat="1" x14ac:dyDescent="0.2">
      <c r="A32" s="84" t="s">
        <v>100</v>
      </c>
      <c r="B32" s="85" t="s">
        <v>101</v>
      </c>
      <c r="C32" s="102" t="s">
        <v>102</v>
      </c>
      <c r="D32" s="87">
        <f>'Exh JDT-5 (JDT-INTRPL-RD)'!E65</f>
        <v>0.18382000000000001</v>
      </c>
      <c r="E32" s="88">
        <f>'Exh JDT-5 (JDT-INTRPL-RD)'!H65</f>
        <v>0.19567999999999999</v>
      </c>
      <c r="F32" s="89">
        <f>IFERROR((E32-D32)/D32,"na")</f>
        <v>6.4519638777064417E-2</v>
      </c>
      <c r="G32" s="548">
        <f>'Exh JDT-5 (JDT-INTRPL-RD)'!E59</f>
        <v>148.82</v>
      </c>
      <c r="H32" s="549">
        <f>'Exh JDT-5 (JDT-INTRPL-RD)'!H59</f>
        <v>148.82</v>
      </c>
      <c r="I32" s="550">
        <f>IFERROR((H32-G32)/G32,"na")</f>
        <v>0</v>
      </c>
      <c r="J32" s="540"/>
      <c r="K32" s="542"/>
      <c r="L32" s="550" t="str">
        <f>IFERROR((K32-J32)/J32,"na")</f>
        <v>na</v>
      </c>
      <c r="M32" s="553">
        <f>'Exh JDT-5 (JDT-INTRPL-RD)'!E61</f>
        <v>1.222E-2</v>
      </c>
      <c r="N32" s="554">
        <f>'Exh JDT-5 (JDT-INTRPL-RD)'!H61</f>
        <v>1.222E-2</v>
      </c>
      <c r="O32" s="550">
        <f>IFERROR((N32-M32)/M32,"na")</f>
        <v>0</v>
      </c>
      <c r="P32" s="544">
        <f>'Exh JDT-5 (JDT-INTRPL-RD)'!E60</f>
        <v>1.35</v>
      </c>
      <c r="Q32" s="545">
        <f>'Exh JDT-5 (JDT-INTRPL-RD)'!H60</f>
        <v>1.35</v>
      </c>
      <c r="R32" s="546">
        <f>IFERROR((Q32-P32)/P32,"na")</f>
        <v>0</v>
      </c>
      <c r="S32" s="103">
        <f>'Exh JDT-5 (JDT-MYRP)'!$H$139</f>
        <v>-2.2000000000000001E-4</v>
      </c>
      <c r="T32" s="104">
        <f>'Exh JDT-5 (JDT-MYRP)'!$N$139</f>
        <v>-6.7000000000000002E-3</v>
      </c>
      <c r="U32" s="105"/>
      <c r="V32" s="103">
        <f>'Exh JDT-5 (JDT-MYRP)'!$I$139</f>
        <v>1.0410000000000001E-2</v>
      </c>
      <c r="W32" s="104">
        <f>'Exh JDT-5 (JDT-MYRP)'!$O$139</f>
        <v>2.1819999999999999E-2</v>
      </c>
      <c r="X32" s="105"/>
    </row>
    <row r="33" spans="1:24" s="64" customFormat="1" x14ac:dyDescent="0.2">
      <c r="A33" s="84" t="s">
        <v>100</v>
      </c>
      <c r="B33" s="85" t="s">
        <v>101</v>
      </c>
      <c r="C33" s="102" t="s">
        <v>103</v>
      </c>
      <c r="D33" s="87">
        <f>'Exh JDT-5 (JDT-INTRPL-RD)'!E66</f>
        <v>0.13031000000000001</v>
      </c>
      <c r="E33" s="88">
        <f>'Exh JDT-5 (JDT-INTRPL-RD)'!H66</f>
        <v>0.13871</v>
      </c>
      <c r="F33" s="89">
        <f>IFERROR((E33-D33)/D33,"na")</f>
        <v>6.4461668329368352E-2</v>
      </c>
      <c r="G33" s="548"/>
      <c r="H33" s="549"/>
      <c r="I33" s="550"/>
      <c r="J33" s="540"/>
      <c r="K33" s="542"/>
      <c r="L33" s="550"/>
      <c r="M33" s="553"/>
      <c r="N33" s="554"/>
      <c r="O33" s="550"/>
      <c r="P33" s="544"/>
      <c r="Q33" s="545"/>
      <c r="R33" s="546"/>
      <c r="S33" s="103">
        <f>'Exh JDT-5 (JDT-MYRP)'!$H$139</f>
        <v>-2.2000000000000001E-4</v>
      </c>
      <c r="T33" s="104">
        <f>'Exh JDT-5 (JDT-MYRP)'!$N$139</f>
        <v>-6.7000000000000002E-3</v>
      </c>
      <c r="U33" s="105"/>
      <c r="V33" s="103">
        <f>'Exh JDT-5 (JDT-MYRP)'!$I$139</f>
        <v>1.0410000000000001E-2</v>
      </c>
      <c r="W33" s="104">
        <f>'Exh JDT-5 (JDT-MYRP)'!$O$139</f>
        <v>2.1819999999999999E-2</v>
      </c>
      <c r="X33" s="105"/>
    </row>
    <row r="34" spans="1:24" s="64" customFormat="1" x14ac:dyDescent="0.2">
      <c r="A34" s="84"/>
      <c r="B34" s="85"/>
      <c r="C34" s="102"/>
      <c r="D34" s="87"/>
      <c r="E34" s="88"/>
      <c r="F34" s="89"/>
      <c r="G34" s="90"/>
      <c r="H34" s="91"/>
      <c r="I34" s="89"/>
      <c r="J34" s="109"/>
      <c r="K34" s="110"/>
      <c r="L34" s="79"/>
      <c r="M34" s="100"/>
      <c r="N34" s="101"/>
      <c r="O34" s="79"/>
      <c r="P34" s="92"/>
      <c r="Q34" s="93"/>
      <c r="R34" s="97"/>
      <c r="S34" s="92"/>
      <c r="T34" s="93"/>
      <c r="U34" s="99"/>
      <c r="V34" s="92"/>
      <c r="W34" s="93"/>
      <c r="X34" s="99"/>
    </row>
    <row r="35" spans="1:24" s="64" customFormat="1" x14ac:dyDescent="0.2">
      <c r="A35" s="84" t="s">
        <v>100</v>
      </c>
      <c r="B35" s="85" t="s">
        <v>104</v>
      </c>
      <c r="C35" s="102" t="s">
        <v>102</v>
      </c>
      <c r="D35" s="87">
        <f>'Exh JDT-5 (JDT-INTRPL-RD)'!E79</f>
        <v>0.18382000000000001</v>
      </c>
      <c r="E35" s="88">
        <f>'Exh JDT-5 (JDT-INTRPL-RD)'!H79</f>
        <v>0.19567999999999999</v>
      </c>
      <c r="F35" s="89">
        <f>IFERROR((E35-D35)/D35,"na")</f>
        <v>6.4519638777064417E-2</v>
      </c>
      <c r="G35" s="548">
        <f>'Exh JDT-5 (JDT-INTRPL-RD)'!E74</f>
        <v>457.76</v>
      </c>
      <c r="H35" s="549">
        <f>'Exh JDT-5 (JDT-INTRPL-RD)'!H74</f>
        <v>457.76</v>
      </c>
      <c r="I35" s="550">
        <f>IFERROR((H35-G35)/G35,"na")</f>
        <v>0</v>
      </c>
      <c r="J35" s="540"/>
      <c r="K35" s="542"/>
      <c r="L35" s="550" t="str">
        <f>IFERROR((K35-J35)/J35,"na")</f>
        <v>na</v>
      </c>
      <c r="M35" s="551" t="s">
        <v>81</v>
      </c>
      <c r="N35" s="552" t="s">
        <v>81</v>
      </c>
      <c r="O35" s="550" t="str">
        <f>IFERROR((N35-M35)/M35,"na")</f>
        <v>na</v>
      </c>
      <c r="P35" s="544">
        <f>'Exh JDT-5 (JDT-INTRPL-RD)'!E75</f>
        <v>1.35</v>
      </c>
      <c r="Q35" s="545">
        <f>'Exh JDT-5 (JDT-INTRPL-RD)'!H75</f>
        <v>1.35</v>
      </c>
      <c r="R35" s="546">
        <f>IFERROR((Q35-P35)/P35,"na")</f>
        <v>0</v>
      </c>
      <c r="S35" s="103">
        <f>'Exh JDT-5 (JDT-MYRP)'!$H$139</f>
        <v>-2.2000000000000001E-4</v>
      </c>
      <c r="T35" s="104">
        <f>'Exh JDT-5 (JDT-MYRP)'!$N$139</f>
        <v>-6.7000000000000002E-3</v>
      </c>
      <c r="U35" s="105"/>
      <c r="V35" s="103">
        <f>'Exh JDT-5 (JDT-MYRP)'!$I$139</f>
        <v>1.0410000000000001E-2</v>
      </c>
      <c r="W35" s="104">
        <f>'Exh JDT-5 (JDT-MYRP)'!$O$139</f>
        <v>2.1819999999999999E-2</v>
      </c>
      <c r="X35" s="105"/>
    </row>
    <row r="36" spans="1:24" s="64" customFormat="1" x14ac:dyDescent="0.2">
      <c r="A36" s="84" t="s">
        <v>100</v>
      </c>
      <c r="B36" s="85" t="s">
        <v>104</v>
      </c>
      <c r="C36" s="102" t="s">
        <v>103</v>
      </c>
      <c r="D36" s="87">
        <f>'Exh JDT-5 (JDT-INTRPL-RD)'!E80</f>
        <v>0.13031000000000001</v>
      </c>
      <c r="E36" s="88">
        <f>'Exh JDT-5 (JDT-INTRPL-RD)'!H80</f>
        <v>0.13871</v>
      </c>
      <c r="F36" s="89">
        <f>IFERROR((E36-D36)/D36,"na")</f>
        <v>6.4461668329368352E-2</v>
      </c>
      <c r="G36" s="548"/>
      <c r="H36" s="549"/>
      <c r="I36" s="550"/>
      <c r="J36" s="540"/>
      <c r="K36" s="542"/>
      <c r="L36" s="550"/>
      <c r="M36" s="551"/>
      <c r="N36" s="552"/>
      <c r="O36" s="550"/>
      <c r="P36" s="544"/>
      <c r="Q36" s="545"/>
      <c r="R36" s="546"/>
      <c r="S36" s="103">
        <f>'Exh JDT-5 (JDT-MYRP)'!$H$139</f>
        <v>-2.2000000000000001E-4</v>
      </c>
      <c r="T36" s="104">
        <f>'Exh JDT-5 (JDT-MYRP)'!$N$139</f>
        <v>-6.7000000000000002E-3</v>
      </c>
      <c r="U36" s="105"/>
      <c r="V36" s="103">
        <f>'Exh JDT-5 (JDT-MYRP)'!$I$139</f>
        <v>1.0410000000000001E-2</v>
      </c>
      <c r="W36" s="104">
        <f>'Exh JDT-5 (JDT-MYRP)'!$O$139</f>
        <v>2.1819999999999999E-2</v>
      </c>
      <c r="X36" s="105"/>
    </row>
    <row r="37" spans="1:24" s="64" customFormat="1" x14ac:dyDescent="0.2">
      <c r="A37" s="84"/>
      <c r="B37" s="85"/>
      <c r="C37" s="102"/>
      <c r="D37" s="87"/>
      <c r="E37" s="88"/>
      <c r="F37" s="89"/>
      <c r="G37" s="90"/>
      <c r="H37" s="91"/>
      <c r="I37" s="89"/>
      <c r="J37" s="109"/>
      <c r="K37" s="110"/>
      <c r="L37" s="79"/>
      <c r="M37" s="100"/>
      <c r="N37" s="101"/>
      <c r="O37" s="79"/>
      <c r="P37" s="92"/>
      <c r="Q37" s="93"/>
      <c r="R37" s="97"/>
      <c r="S37" s="92"/>
      <c r="T37" s="93"/>
      <c r="U37" s="99"/>
      <c r="V37" s="92"/>
      <c r="W37" s="93"/>
      <c r="X37" s="99"/>
    </row>
    <row r="38" spans="1:24" s="64" customFormat="1" x14ac:dyDescent="0.2">
      <c r="A38" s="84" t="s">
        <v>105</v>
      </c>
      <c r="B38" s="85" t="s">
        <v>106</v>
      </c>
      <c r="C38" s="102" t="s">
        <v>96</v>
      </c>
      <c r="D38" s="87">
        <f>'Exh JDT-5 (JDT-INTRPL-RD)'!E110</f>
        <v>0.17533000000000001</v>
      </c>
      <c r="E38" s="88">
        <f>'Exh JDT-5 (JDT-INTRPL-RD)'!H110</f>
        <v>0.20896999999999999</v>
      </c>
      <c r="F38" s="89">
        <f t="shared" ref="F38:F43" si="2">IFERROR((E38-D38)/D38,"na")</f>
        <v>0.19186676552786158</v>
      </c>
      <c r="G38" s="536">
        <f>'Exh JDT-5 (JDT-INTRPL-RD)'!E104</f>
        <v>606.5</v>
      </c>
      <c r="H38" s="538">
        <f>'Exh JDT-5 (JDT-INTRPL-RD)'!H104</f>
        <v>715.15</v>
      </c>
      <c r="I38" s="525">
        <f>IFERROR((H38-G38)/G38,"na")</f>
        <v>0.17914262159934044</v>
      </c>
      <c r="J38" s="540"/>
      <c r="K38" s="542"/>
      <c r="L38" s="525" t="str">
        <f>IFERROR((K38-J38)/J35,"na")</f>
        <v>na</v>
      </c>
      <c r="M38" s="547">
        <f>'Exh JDT-5 (JDT-INTRPL-RD)'!E106</f>
        <v>8.43E-3</v>
      </c>
      <c r="N38" s="535">
        <f>'Exh JDT-5 (JDT-INTRPL-RD)'!H106</f>
        <v>9.3699999999999999E-3</v>
      </c>
      <c r="O38" s="525">
        <f>IFERROR((N38-M38)/M38,"na")</f>
        <v>0.11150652431791221</v>
      </c>
      <c r="P38" s="531">
        <f>'Exh JDT-5 (JDT-INTRPL-RD)'!E105</f>
        <v>1.45</v>
      </c>
      <c r="Q38" s="533">
        <f>'Exh JDT-5 (JDT-INTRPL-RD)'!H105</f>
        <v>1.45</v>
      </c>
      <c r="R38" s="523">
        <f>IFERROR((Q38-P38)/P38,"na")</f>
        <v>0</v>
      </c>
      <c r="S38" s="103">
        <f>'Exh JDT-5 (JDT-MYRP)'!H185</f>
        <v>-5.4000000000000001E-4</v>
      </c>
      <c r="T38" s="104">
        <f>'Exh JDT-5 (JDT-MYRP)'!N185</f>
        <v>-1.6379999999999999E-2</v>
      </c>
      <c r="U38" s="105"/>
      <c r="V38" s="103">
        <f>'Exh JDT-5 (JDT-MYRP)'!I185</f>
        <v>2.6460000000000001E-2</v>
      </c>
      <c r="W38" s="104">
        <f>'Exh JDT-5 (JDT-MYRP)'!O185</f>
        <v>5.3350000000000002E-2</v>
      </c>
      <c r="X38" s="105"/>
    </row>
    <row r="39" spans="1:24" s="64" customFormat="1" x14ac:dyDescent="0.2">
      <c r="A39" s="84" t="s">
        <v>105</v>
      </c>
      <c r="B39" s="85" t="s">
        <v>106</v>
      </c>
      <c r="C39" s="102" t="s">
        <v>97</v>
      </c>
      <c r="D39" s="87">
        <f>'Exh JDT-5 (JDT-INTRPL-RD)'!E111</f>
        <v>0.10595</v>
      </c>
      <c r="E39" s="88">
        <f>'Exh JDT-5 (JDT-INTRPL-RD)'!H111</f>
        <v>0.12628</v>
      </c>
      <c r="F39" s="89">
        <f t="shared" si="2"/>
        <v>0.19188296366210478</v>
      </c>
      <c r="G39" s="536"/>
      <c r="H39" s="538"/>
      <c r="I39" s="525"/>
      <c r="J39" s="540"/>
      <c r="K39" s="542"/>
      <c r="L39" s="525"/>
      <c r="M39" s="547"/>
      <c r="N39" s="535"/>
      <c r="O39" s="525"/>
      <c r="P39" s="531"/>
      <c r="Q39" s="533"/>
      <c r="R39" s="523"/>
      <c r="S39" s="103">
        <f>'Exh JDT-5 (JDT-MYRP)'!H186</f>
        <v>-3.2000000000000003E-4</v>
      </c>
      <c r="T39" s="104">
        <f>'Exh JDT-5 (JDT-MYRP)'!N186</f>
        <v>-9.9000000000000008E-3</v>
      </c>
      <c r="U39" s="105"/>
      <c r="V39" s="103">
        <f>'Exh JDT-5 (JDT-MYRP)'!I186</f>
        <v>1.5990000000000001E-2</v>
      </c>
      <c r="W39" s="104">
        <f>'Exh JDT-5 (JDT-MYRP)'!O186</f>
        <v>3.2239999999999998E-2</v>
      </c>
      <c r="X39" s="105"/>
    </row>
    <row r="40" spans="1:24" s="64" customFormat="1" x14ac:dyDescent="0.2">
      <c r="A40" s="84" t="s">
        <v>105</v>
      </c>
      <c r="B40" s="85" t="s">
        <v>106</v>
      </c>
      <c r="C40" s="102" t="s">
        <v>107</v>
      </c>
      <c r="D40" s="87">
        <f>'Exh JDT-5 (JDT-INTRPL-RD)'!E112</f>
        <v>6.7419999999999994E-2</v>
      </c>
      <c r="E40" s="88">
        <f>'Exh JDT-5 (JDT-INTRPL-RD)'!H112</f>
        <v>8.0350000000000005E-2</v>
      </c>
      <c r="F40" s="89">
        <f t="shared" si="2"/>
        <v>0.19178285375259585</v>
      </c>
      <c r="G40" s="536"/>
      <c r="H40" s="538"/>
      <c r="I40" s="525"/>
      <c r="J40" s="540"/>
      <c r="K40" s="542"/>
      <c r="L40" s="525"/>
      <c r="M40" s="547"/>
      <c r="N40" s="535"/>
      <c r="O40" s="525"/>
      <c r="P40" s="531"/>
      <c r="Q40" s="533"/>
      <c r="R40" s="523"/>
      <c r="S40" s="103">
        <f>'Exh JDT-5 (JDT-MYRP)'!H187</f>
        <v>-2.1000000000000001E-4</v>
      </c>
      <c r="T40" s="104">
        <f>'Exh JDT-5 (JDT-MYRP)'!N187</f>
        <v>-6.3E-3</v>
      </c>
      <c r="U40" s="105"/>
      <c r="V40" s="103">
        <f>'Exh JDT-5 (JDT-MYRP)'!I187</f>
        <v>1.017E-2</v>
      </c>
      <c r="W40" s="104">
        <f>'Exh JDT-5 (JDT-MYRP)'!O187</f>
        <v>2.051E-2</v>
      </c>
      <c r="X40" s="105"/>
    </row>
    <row r="41" spans="1:24" s="64" customFormat="1" x14ac:dyDescent="0.2">
      <c r="A41" s="84" t="s">
        <v>105</v>
      </c>
      <c r="B41" s="85" t="s">
        <v>106</v>
      </c>
      <c r="C41" s="102" t="s">
        <v>108</v>
      </c>
      <c r="D41" s="87">
        <f>'Exh JDT-5 (JDT-INTRPL-RD)'!E113</f>
        <v>4.3229999999999998E-2</v>
      </c>
      <c r="E41" s="88">
        <f>'Exh JDT-5 (JDT-INTRPL-RD)'!H113</f>
        <v>5.1520000000000003E-2</v>
      </c>
      <c r="F41" s="89">
        <f t="shared" si="2"/>
        <v>0.19176497802452014</v>
      </c>
      <c r="G41" s="536"/>
      <c r="H41" s="538"/>
      <c r="I41" s="525"/>
      <c r="J41" s="540"/>
      <c r="K41" s="542"/>
      <c r="L41" s="525"/>
      <c r="M41" s="547"/>
      <c r="N41" s="535"/>
      <c r="O41" s="525"/>
      <c r="P41" s="531"/>
      <c r="Q41" s="533"/>
      <c r="R41" s="523"/>
      <c r="S41" s="103">
        <f>'Exh JDT-5 (JDT-MYRP)'!H188</f>
        <v>-1.2999999999999999E-4</v>
      </c>
      <c r="T41" s="104">
        <f>'Exh JDT-5 (JDT-MYRP)'!N188</f>
        <v>-4.0400000000000002E-3</v>
      </c>
      <c r="U41" s="105"/>
      <c r="V41" s="103">
        <f>'Exh JDT-5 (JDT-MYRP)'!I188</f>
        <v>6.5199999999999998E-3</v>
      </c>
      <c r="W41" s="104">
        <f>'Exh JDT-5 (JDT-MYRP)'!O188</f>
        <v>1.315E-2</v>
      </c>
      <c r="X41" s="105"/>
    </row>
    <row r="42" spans="1:24" s="64" customFormat="1" x14ac:dyDescent="0.2">
      <c r="A42" s="84" t="s">
        <v>105</v>
      </c>
      <c r="B42" s="85" t="s">
        <v>106</v>
      </c>
      <c r="C42" s="102" t="s">
        <v>109</v>
      </c>
      <c r="D42" s="87">
        <f>'Exh JDT-5 (JDT-INTRPL-RD)'!E114</f>
        <v>3.1109999999999999E-2</v>
      </c>
      <c r="E42" s="88">
        <f>'Exh JDT-5 (JDT-INTRPL-RD)'!H114</f>
        <v>3.7080000000000002E-2</v>
      </c>
      <c r="F42" s="89">
        <f t="shared" si="2"/>
        <v>0.19189971070395381</v>
      </c>
      <c r="G42" s="536"/>
      <c r="H42" s="538"/>
      <c r="I42" s="525"/>
      <c r="J42" s="540"/>
      <c r="K42" s="542"/>
      <c r="L42" s="525"/>
      <c r="M42" s="547"/>
      <c r="N42" s="535"/>
      <c r="O42" s="525"/>
      <c r="P42" s="531"/>
      <c r="Q42" s="533"/>
      <c r="R42" s="523"/>
      <c r="S42" s="103">
        <f>'Exh JDT-5 (JDT-MYRP)'!H189</f>
        <v>-1E-4</v>
      </c>
      <c r="T42" s="104">
        <f>'Exh JDT-5 (JDT-MYRP)'!N189</f>
        <v>-2.9099999999999998E-3</v>
      </c>
      <c r="U42" s="105"/>
      <c r="V42" s="103">
        <f>'Exh JDT-5 (JDT-MYRP)'!I189</f>
        <v>4.6899999999999997E-3</v>
      </c>
      <c r="W42" s="104">
        <f>'Exh JDT-5 (JDT-MYRP)'!O189</f>
        <v>9.4699999999999993E-3</v>
      </c>
      <c r="X42" s="105"/>
    </row>
    <row r="43" spans="1:24" s="64" customFormat="1" x14ac:dyDescent="0.2">
      <c r="A43" s="84" t="s">
        <v>105</v>
      </c>
      <c r="B43" s="85" t="s">
        <v>106</v>
      </c>
      <c r="C43" s="102" t="s">
        <v>110</v>
      </c>
      <c r="D43" s="87">
        <f>'Exh JDT-5 (JDT-INTRPL-RD)'!E115</f>
        <v>2.3990000000000001E-2</v>
      </c>
      <c r="E43" s="88">
        <f>'Exh JDT-5 (JDT-INTRPL-RD)'!H115</f>
        <v>2.487E-2</v>
      </c>
      <c r="F43" s="89">
        <f t="shared" si="2"/>
        <v>3.6681950812838635E-2</v>
      </c>
      <c r="G43" s="536"/>
      <c r="H43" s="538"/>
      <c r="I43" s="525"/>
      <c r="J43" s="540"/>
      <c r="K43" s="542"/>
      <c r="L43" s="525"/>
      <c r="M43" s="547"/>
      <c r="N43" s="535"/>
      <c r="O43" s="525"/>
      <c r="P43" s="531"/>
      <c r="Q43" s="533"/>
      <c r="R43" s="523"/>
      <c r="S43" s="103">
        <f>'Exh JDT-5 (JDT-MYRP)'!H190</f>
        <v>-2.0000000000000002E-5</v>
      </c>
      <c r="T43" s="104">
        <f>'Exh JDT-5 (JDT-MYRP)'!N190</f>
        <v>-4.6999999999999999E-4</v>
      </c>
      <c r="U43" s="105"/>
      <c r="V43" s="103">
        <f>'Exh JDT-5 (JDT-MYRP)'!I190</f>
        <v>7.9000000000000001E-4</v>
      </c>
      <c r="W43" s="104">
        <f>'Exh JDT-5 (JDT-MYRP)'!O190</f>
        <v>1.5299999999999999E-3</v>
      </c>
      <c r="X43" s="105"/>
    </row>
    <row r="44" spans="1:24" s="64" customFormat="1" x14ac:dyDescent="0.2">
      <c r="A44" s="84"/>
      <c r="B44" s="85"/>
      <c r="C44" s="102"/>
      <c r="D44" s="87"/>
      <c r="E44" s="88"/>
      <c r="F44" s="89"/>
      <c r="G44" s="90"/>
      <c r="H44" s="91"/>
      <c r="I44" s="89"/>
      <c r="J44" s="109"/>
      <c r="K44" s="110"/>
      <c r="L44" s="79"/>
      <c r="M44" s="100"/>
      <c r="N44" s="101"/>
      <c r="O44" s="79"/>
      <c r="P44" s="92"/>
      <c r="Q44" s="93"/>
      <c r="R44" s="97"/>
      <c r="S44" s="92"/>
      <c r="T44" s="93"/>
      <c r="U44" s="99"/>
      <c r="V44" s="92"/>
      <c r="W44" s="93"/>
      <c r="X44" s="99"/>
    </row>
    <row r="45" spans="1:24" s="64" customFormat="1" x14ac:dyDescent="0.2">
      <c r="A45" s="84" t="s">
        <v>105</v>
      </c>
      <c r="B45" s="85" t="s">
        <v>111</v>
      </c>
      <c r="C45" s="102" t="s">
        <v>96</v>
      </c>
      <c r="D45" s="87">
        <f>'Exh JDT-5 (JDT-INTRPL-RD)'!E128</f>
        <v>0.17533000000000001</v>
      </c>
      <c r="E45" s="88">
        <f>'Exh JDT-5 (JDT-INTRPL-RD)'!H128</f>
        <v>0.20896999999999999</v>
      </c>
      <c r="F45" s="89">
        <f t="shared" ref="F45:F50" si="3">IFERROR((E45-D45)/D45,"na")</f>
        <v>0.19186676552786158</v>
      </c>
      <c r="G45" s="536">
        <f>'Exh JDT-5 (JDT-INTRPL-RD)'!E123</f>
        <v>918.31</v>
      </c>
      <c r="H45" s="538">
        <f>'Exh JDT-5 (JDT-INTRPL-RD)'!H123</f>
        <v>1082.81</v>
      </c>
      <c r="I45" s="525">
        <f>IFERROR((H45-G45)/G45,"na")</f>
        <v>0.179133408108373</v>
      </c>
      <c r="J45" s="540"/>
      <c r="K45" s="542"/>
      <c r="L45" s="525" t="str">
        <f>IFERROR((K45-J45)/J42,"na")</f>
        <v>na</v>
      </c>
      <c r="M45" s="527" t="s">
        <v>81</v>
      </c>
      <c r="N45" s="529" t="s">
        <v>81</v>
      </c>
      <c r="O45" s="525" t="str">
        <f>IFERROR((N45-M45)/M45,"na")</f>
        <v>na</v>
      </c>
      <c r="P45" s="531">
        <f>'Exh JDT-5 (JDT-INTRPL-RD)'!E124</f>
        <v>1.45</v>
      </c>
      <c r="Q45" s="533">
        <f>'Exh JDT-5 (JDT-INTRPL-RD)'!H124</f>
        <v>1.45</v>
      </c>
      <c r="R45" s="523">
        <f>IFERROR((Q45-P45)/P45,"na")</f>
        <v>0</v>
      </c>
      <c r="S45" s="103">
        <f>'Exh JDT-5 (JDT-MYRP)'!H203</f>
        <v>-5.4000000000000001E-4</v>
      </c>
      <c r="T45" s="104">
        <f>'Exh JDT-5 (JDT-MYRP)'!N203</f>
        <v>-1.6379999999999999E-2</v>
      </c>
      <c r="U45" s="105"/>
      <c r="V45" s="103">
        <f>'Exh JDT-5 (JDT-MYRP)'!I203</f>
        <v>2.6460000000000001E-2</v>
      </c>
      <c r="W45" s="104">
        <f>'Exh JDT-5 (JDT-MYRP)'!O203</f>
        <v>5.3350000000000002E-2</v>
      </c>
      <c r="X45" s="105"/>
    </row>
    <row r="46" spans="1:24" s="64" customFormat="1" x14ac:dyDescent="0.2">
      <c r="A46" s="84" t="s">
        <v>105</v>
      </c>
      <c r="B46" s="85" t="s">
        <v>111</v>
      </c>
      <c r="C46" s="102" t="s">
        <v>97</v>
      </c>
      <c r="D46" s="87">
        <f>'Exh JDT-5 (JDT-INTRPL-RD)'!E129</f>
        <v>0.10595</v>
      </c>
      <c r="E46" s="88">
        <f>'Exh JDT-5 (JDT-INTRPL-RD)'!H129</f>
        <v>0.12628</v>
      </c>
      <c r="F46" s="89">
        <f t="shared" si="3"/>
        <v>0.19188296366210478</v>
      </c>
      <c r="G46" s="536"/>
      <c r="H46" s="538"/>
      <c r="I46" s="525"/>
      <c r="J46" s="540"/>
      <c r="K46" s="542"/>
      <c r="L46" s="525"/>
      <c r="M46" s="527"/>
      <c r="N46" s="529"/>
      <c r="O46" s="525"/>
      <c r="P46" s="531"/>
      <c r="Q46" s="533"/>
      <c r="R46" s="523"/>
      <c r="S46" s="103">
        <f>'Exh JDT-5 (JDT-MYRP)'!H204</f>
        <v>-3.2000000000000003E-4</v>
      </c>
      <c r="T46" s="104">
        <f>'Exh JDT-5 (JDT-MYRP)'!N204</f>
        <v>-9.9000000000000008E-3</v>
      </c>
      <c r="U46" s="105"/>
      <c r="V46" s="103">
        <f>'Exh JDT-5 (JDT-MYRP)'!I204</f>
        <v>1.5990000000000001E-2</v>
      </c>
      <c r="W46" s="104">
        <f>'Exh JDT-5 (JDT-MYRP)'!O204</f>
        <v>3.2239999999999998E-2</v>
      </c>
      <c r="X46" s="105"/>
    </row>
    <row r="47" spans="1:24" s="64" customFormat="1" x14ac:dyDescent="0.2">
      <c r="A47" s="84" t="s">
        <v>105</v>
      </c>
      <c r="B47" s="85" t="s">
        <v>111</v>
      </c>
      <c r="C47" s="102" t="s">
        <v>107</v>
      </c>
      <c r="D47" s="87">
        <f>'Exh JDT-5 (JDT-INTRPL-RD)'!E130</f>
        <v>6.7419999999999994E-2</v>
      </c>
      <c r="E47" s="88">
        <f>'Exh JDT-5 (JDT-INTRPL-RD)'!H130</f>
        <v>8.0350000000000005E-2</v>
      </c>
      <c r="F47" s="89">
        <f t="shared" si="3"/>
        <v>0.19178285375259585</v>
      </c>
      <c r="G47" s="536"/>
      <c r="H47" s="538"/>
      <c r="I47" s="525"/>
      <c r="J47" s="540"/>
      <c r="K47" s="542"/>
      <c r="L47" s="525"/>
      <c r="M47" s="527"/>
      <c r="N47" s="529"/>
      <c r="O47" s="525"/>
      <c r="P47" s="531"/>
      <c r="Q47" s="533"/>
      <c r="R47" s="523"/>
      <c r="S47" s="103">
        <f>'Exh JDT-5 (JDT-MYRP)'!H205</f>
        <v>-2.1000000000000001E-4</v>
      </c>
      <c r="T47" s="104">
        <f>'Exh JDT-5 (JDT-MYRP)'!N205</f>
        <v>-6.3E-3</v>
      </c>
      <c r="U47" s="105"/>
      <c r="V47" s="103">
        <f>'Exh JDT-5 (JDT-MYRP)'!I205</f>
        <v>1.017E-2</v>
      </c>
      <c r="W47" s="104">
        <f>'Exh JDT-5 (JDT-MYRP)'!O205</f>
        <v>2.051E-2</v>
      </c>
      <c r="X47" s="105"/>
    </row>
    <row r="48" spans="1:24" s="64" customFormat="1" x14ac:dyDescent="0.2">
      <c r="A48" s="84" t="s">
        <v>105</v>
      </c>
      <c r="B48" s="85" t="s">
        <v>111</v>
      </c>
      <c r="C48" s="102" t="s">
        <v>108</v>
      </c>
      <c r="D48" s="87">
        <f>'Exh JDT-5 (JDT-INTRPL-RD)'!E131</f>
        <v>4.3229999999999998E-2</v>
      </c>
      <c r="E48" s="88">
        <f>'Exh JDT-5 (JDT-INTRPL-RD)'!H131</f>
        <v>5.1520000000000003E-2</v>
      </c>
      <c r="F48" s="89">
        <f t="shared" si="3"/>
        <v>0.19176497802452014</v>
      </c>
      <c r="G48" s="536"/>
      <c r="H48" s="538"/>
      <c r="I48" s="525"/>
      <c r="J48" s="540"/>
      <c r="K48" s="542"/>
      <c r="L48" s="525"/>
      <c r="M48" s="527"/>
      <c r="N48" s="529"/>
      <c r="O48" s="525"/>
      <c r="P48" s="531"/>
      <c r="Q48" s="533"/>
      <c r="R48" s="523"/>
      <c r="S48" s="103">
        <f>'Exh JDT-5 (JDT-MYRP)'!H206</f>
        <v>-1.2999999999999999E-4</v>
      </c>
      <c r="T48" s="104">
        <f>'Exh JDT-5 (JDT-MYRP)'!N206</f>
        <v>-4.0400000000000002E-3</v>
      </c>
      <c r="U48" s="105"/>
      <c r="V48" s="103">
        <f>'Exh JDT-5 (JDT-MYRP)'!I206</f>
        <v>6.5199999999999998E-3</v>
      </c>
      <c r="W48" s="104">
        <f>'Exh JDT-5 (JDT-MYRP)'!O206</f>
        <v>1.315E-2</v>
      </c>
      <c r="X48" s="105"/>
    </row>
    <row r="49" spans="1:24" s="64" customFormat="1" x14ac:dyDescent="0.2">
      <c r="A49" s="84" t="s">
        <v>105</v>
      </c>
      <c r="B49" s="85" t="s">
        <v>111</v>
      </c>
      <c r="C49" s="102" t="s">
        <v>109</v>
      </c>
      <c r="D49" s="87">
        <f>'Exh JDT-5 (JDT-INTRPL-RD)'!E132</f>
        <v>3.1109999999999999E-2</v>
      </c>
      <c r="E49" s="88">
        <f>'Exh JDT-5 (JDT-INTRPL-RD)'!H132</f>
        <v>3.7080000000000002E-2</v>
      </c>
      <c r="F49" s="89">
        <f t="shared" si="3"/>
        <v>0.19189971070395381</v>
      </c>
      <c r="G49" s="536"/>
      <c r="H49" s="538"/>
      <c r="I49" s="525"/>
      <c r="J49" s="540"/>
      <c r="K49" s="542"/>
      <c r="L49" s="525"/>
      <c r="M49" s="527"/>
      <c r="N49" s="529"/>
      <c r="O49" s="525"/>
      <c r="P49" s="531"/>
      <c r="Q49" s="533"/>
      <c r="R49" s="523"/>
      <c r="S49" s="103">
        <f>'Exh JDT-5 (JDT-MYRP)'!H207</f>
        <v>-1E-4</v>
      </c>
      <c r="T49" s="104">
        <f>'Exh JDT-5 (JDT-MYRP)'!N207</f>
        <v>-2.9099999999999998E-3</v>
      </c>
      <c r="U49" s="105"/>
      <c r="V49" s="103">
        <f>'Exh JDT-5 (JDT-MYRP)'!I207</f>
        <v>4.6899999999999997E-3</v>
      </c>
      <c r="W49" s="104">
        <f>'Exh JDT-5 (JDT-MYRP)'!O207</f>
        <v>9.4699999999999993E-3</v>
      </c>
      <c r="X49" s="105"/>
    </row>
    <row r="50" spans="1:24" s="64" customFormat="1" x14ac:dyDescent="0.2">
      <c r="A50" s="111" t="s">
        <v>105</v>
      </c>
      <c r="B50" s="112" t="s">
        <v>111</v>
      </c>
      <c r="C50" s="113" t="s">
        <v>110</v>
      </c>
      <c r="D50" s="114">
        <f>'Exh JDT-5 (JDT-INTRPL-RD)'!E133</f>
        <v>2.3990000000000001E-2</v>
      </c>
      <c r="E50" s="115">
        <f>'Exh JDT-5 (JDT-INTRPL-RD)'!H133</f>
        <v>2.487E-2</v>
      </c>
      <c r="F50" s="116">
        <f t="shared" si="3"/>
        <v>3.6681950812838635E-2</v>
      </c>
      <c r="G50" s="537"/>
      <c r="H50" s="539"/>
      <c r="I50" s="526"/>
      <c r="J50" s="541"/>
      <c r="K50" s="543"/>
      <c r="L50" s="526"/>
      <c r="M50" s="528"/>
      <c r="N50" s="530"/>
      <c r="O50" s="526"/>
      <c r="P50" s="532"/>
      <c r="Q50" s="534"/>
      <c r="R50" s="524"/>
      <c r="S50" s="117">
        <f>'Exh JDT-5 (JDT-MYRP)'!H208</f>
        <v>-2.0000000000000002E-5</v>
      </c>
      <c r="T50" s="118">
        <f>'Exh JDT-5 (JDT-MYRP)'!N208</f>
        <v>-4.6999999999999999E-4</v>
      </c>
      <c r="U50" s="119"/>
      <c r="V50" s="117">
        <f>'Exh JDT-5 (JDT-MYRP)'!I208</f>
        <v>7.9000000000000001E-4</v>
      </c>
      <c r="W50" s="118">
        <f>'Exh JDT-5 (JDT-MYRP)'!O208</f>
        <v>1.5299999999999999E-3</v>
      </c>
      <c r="X50" s="119"/>
    </row>
    <row r="51" spans="1:24" s="64" customFormat="1" x14ac:dyDescent="0.2">
      <c r="A51" s="120"/>
      <c r="B51" s="121"/>
      <c r="C51" s="121"/>
      <c r="D51" s="121"/>
      <c r="E51" s="121"/>
      <c r="F51" s="122"/>
      <c r="G51" s="121"/>
      <c r="H51" s="121"/>
      <c r="I51" s="122"/>
      <c r="J51" s="121"/>
      <c r="K51" s="121"/>
      <c r="L51" s="121"/>
      <c r="M51" s="121"/>
      <c r="N51" s="121"/>
      <c r="O51" s="121"/>
      <c r="P51" s="121"/>
      <c r="Q51" s="121"/>
      <c r="R51" s="122"/>
      <c r="S51" s="121"/>
      <c r="T51" s="121"/>
      <c r="U51" s="122"/>
      <c r="V51" s="121"/>
      <c r="W51" s="121"/>
      <c r="X51" s="122"/>
    </row>
    <row r="52" spans="1:24" s="64" customFormat="1" x14ac:dyDescent="0.2">
      <c r="A52" s="123"/>
      <c r="F52" s="65"/>
      <c r="I52" s="65"/>
      <c r="R52" s="65"/>
      <c r="U52" s="65"/>
      <c r="X52" s="65"/>
    </row>
    <row r="53" spans="1:24" s="64" customFormat="1" x14ac:dyDescent="0.2">
      <c r="A53" s="123"/>
      <c r="F53" s="65"/>
      <c r="I53" s="65"/>
      <c r="R53" s="65"/>
      <c r="U53" s="65"/>
      <c r="X53" s="65"/>
    </row>
  </sheetData>
  <mergeCells count="105">
    <mergeCell ref="A6:A7"/>
    <mergeCell ref="B6:C7"/>
    <mergeCell ref="D6:F6"/>
    <mergeCell ref="G6:I6"/>
    <mergeCell ref="J6:L6"/>
    <mergeCell ref="M6:O6"/>
    <mergeCell ref="P6:R6"/>
    <mergeCell ref="S6:U6"/>
    <mergeCell ref="V6:X6"/>
    <mergeCell ref="G16:G18"/>
    <mergeCell ref="H16:H18"/>
    <mergeCell ref="I16:I18"/>
    <mergeCell ref="J16:J18"/>
    <mergeCell ref="K16:K18"/>
    <mergeCell ref="L16:L18"/>
    <mergeCell ref="M16:M18"/>
    <mergeCell ref="N16:N18"/>
    <mergeCell ref="O16:O18"/>
    <mergeCell ref="P16:P18"/>
    <mergeCell ref="Q16:Q18"/>
    <mergeCell ref="R16:R18"/>
    <mergeCell ref="G20:G22"/>
    <mergeCell ref="H20:H22"/>
    <mergeCell ref="I20:I22"/>
    <mergeCell ref="J20:J22"/>
    <mergeCell ref="K20:K22"/>
    <mergeCell ref="R20:R22"/>
    <mergeCell ref="G24:G26"/>
    <mergeCell ref="H24:H26"/>
    <mergeCell ref="I24:I26"/>
    <mergeCell ref="J24:J26"/>
    <mergeCell ref="K24:K26"/>
    <mergeCell ref="L24:L26"/>
    <mergeCell ref="M24:M26"/>
    <mergeCell ref="N24:N26"/>
    <mergeCell ref="O24:O26"/>
    <mergeCell ref="L20:L22"/>
    <mergeCell ref="M20:M22"/>
    <mergeCell ref="N20:N22"/>
    <mergeCell ref="O20:O22"/>
    <mergeCell ref="P20:P22"/>
    <mergeCell ref="Q20:Q22"/>
    <mergeCell ref="P24:P26"/>
    <mergeCell ref="Q24:Q26"/>
    <mergeCell ref="R24:R26"/>
    <mergeCell ref="G28:G30"/>
    <mergeCell ref="H28:H30"/>
    <mergeCell ref="I28:I30"/>
    <mergeCell ref="J28:J30"/>
    <mergeCell ref="K28:K30"/>
    <mergeCell ref="L28:L30"/>
    <mergeCell ref="M28:M30"/>
    <mergeCell ref="N28:N30"/>
    <mergeCell ref="O28:O30"/>
    <mergeCell ref="P28:P30"/>
    <mergeCell ref="Q28:Q30"/>
    <mergeCell ref="R28:R30"/>
    <mergeCell ref="G32:G33"/>
    <mergeCell ref="H32:H33"/>
    <mergeCell ref="I32:I33"/>
    <mergeCell ref="J32:J33"/>
    <mergeCell ref="K32:K33"/>
    <mergeCell ref="R32:R33"/>
    <mergeCell ref="G35:G36"/>
    <mergeCell ref="H35:H36"/>
    <mergeCell ref="I35:I36"/>
    <mergeCell ref="J35:J36"/>
    <mergeCell ref="K35:K36"/>
    <mergeCell ref="L35:L36"/>
    <mergeCell ref="M35:M36"/>
    <mergeCell ref="N35:N36"/>
    <mergeCell ref="O35:O36"/>
    <mergeCell ref="L32:L33"/>
    <mergeCell ref="M32:M33"/>
    <mergeCell ref="N32:N33"/>
    <mergeCell ref="O32:O33"/>
    <mergeCell ref="P32:P33"/>
    <mergeCell ref="Q32:Q33"/>
    <mergeCell ref="G45:G50"/>
    <mergeCell ref="H45:H50"/>
    <mergeCell ref="I45:I50"/>
    <mergeCell ref="J45:J50"/>
    <mergeCell ref="K45:K50"/>
    <mergeCell ref="P35:P36"/>
    <mergeCell ref="Q35:Q36"/>
    <mergeCell ref="R35:R36"/>
    <mergeCell ref="G38:G43"/>
    <mergeCell ref="H38:H43"/>
    <mergeCell ref="I38:I43"/>
    <mergeCell ref="J38:J43"/>
    <mergeCell ref="K38:K43"/>
    <mergeCell ref="L38:L43"/>
    <mergeCell ref="M38:M43"/>
    <mergeCell ref="R45:R50"/>
    <mergeCell ref="L45:L50"/>
    <mergeCell ref="M45:M50"/>
    <mergeCell ref="N45:N50"/>
    <mergeCell ref="O45:O50"/>
    <mergeCell ref="P45:P50"/>
    <mergeCell ref="Q45:Q50"/>
    <mergeCell ref="N38:N43"/>
    <mergeCell ref="O38:O43"/>
    <mergeCell ref="P38:P43"/>
    <mergeCell ref="Q38:Q43"/>
    <mergeCell ref="R38:R43"/>
  </mergeCells>
  <conditionalFormatting sqref="F9:F50">
    <cfRule type="iconSet" priority="11">
      <iconSet iconSet="3Arrows">
        <cfvo type="percent" val="0"/>
        <cfvo type="percent" val="0"/>
        <cfvo type="num" val="0" gte="0"/>
      </iconSet>
    </cfRule>
  </conditionalFormatting>
  <conditionalFormatting sqref="I20:I22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I24:I26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I28:I30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I9:I50">
    <cfRule type="iconSet" priority="6">
      <iconSet iconSet="3Arrows">
        <cfvo type="percent" val="0"/>
        <cfvo type="percent" val="0"/>
        <cfvo type="num" val="0" gte="0"/>
      </iconSet>
    </cfRule>
  </conditionalFormatting>
  <conditionalFormatting sqref="L9:L50">
    <cfRule type="iconSet" priority="5">
      <iconSet iconSet="3Arrows">
        <cfvo type="percent" val="0"/>
        <cfvo type="percent" val="0"/>
        <cfvo type="num" val="0" gte="0"/>
      </iconSet>
    </cfRule>
  </conditionalFormatting>
  <conditionalFormatting sqref="O9:O13 O15:O50">
    <cfRule type="iconSet" priority="4">
      <iconSet iconSet="3Arrows">
        <cfvo type="percent" val="0"/>
        <cfvo type="percent" val="0"/>
        <cfvo type="num" val="0" gte="0"/>
      </iconSet>
    </cfRule>
  </conditionalFormatting>
  <conditionalFormatting sqref="R9:R500">
    <cfRule type="iconSet" priority="7">
      <iconSet iconSet="3Arrows">
        <cfvo type="percent" val="0"/>
        <cfvo type="percent" val="0"/>
        <cfvo type="num" val="0" gte="0"/>
      </iconSet>
    </cfRule>
  </conditionalFormatting>
  <conditionalFormatting sqref="U51:U500">
    <cfRule type="iconSet" priority="3">
      <iconSet iconSet="3Arrows">
        <cfvo type="percent" val="0"/>
        <cfvo type="percent" val="0"/>
        <cfvo type="num" val="0" gte="0"/>
      </iconSet>
    </cfRule>
  </conditionalFormatting>
  <conditionalFormatting sqref="X51:X500">
    <cfRule type="iconSet" priority="2">
      <iconSet iconSet="3Arrows">
        <cfvo type="percent" val="0"/>
        <cfvo type="percent" val="0"/>
        <cfvo type="num" val="0" gte="0"/>
      </iconSet>
    </cfRule>
  </conditionalFormatting>
  <conditionalFormatting sqref="O14">
    <cfRule type="iconSet" priority="1">
      <iconSet iconSet="3Arrows">
        <cfvo type="percent" val="0"/>
        <cfvo type="percent" val="0"/>
        <cfvo type="num" val="0" gte="0"/>
      </iconSet>
    </cfRule>
  </conditionalFormatting>
  <printOptions horizontalCentered="1"/>
  <pageMargins left="0.7" right="0.7" top="0.75" bottom="0.83" header="0.3" footer="0.3"/>
  <pageSetup scale="60" fitToWidth="0" fitToHeight="0" orientation="landscape" r:id="rId1"/>
  <headerFooter alignWithMargins="0">
    <oddFooter>&amp;R&amp;A
 Page &amp;P of &amp;N</oddFooter>
  </headerFooter>
  <colBreaks count="2" manualBreakCount="2">
    <brk id="12" max="1048575" man="1"/>
    <brk id="18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44"/>
  <sheetViews>
    <sheetView zoomScale="90" zoomScaleNormal="90" zoomScaleSheetLayoutView="100" workbookViewId="0">
      <pane ySplit="8" topLeftCell="A9" activePane="bottomLeft" state="frozen"/>
      <selection activeCell="F68" sqref="F68"/>
      <selection pane="bottomLeft" activeCell="F68" sqref="F68"/>
    </sheetView>
  </sheetViews>
  <sheetFormatPr defaultColWidth="9.140625" defaultRowHeight="12.75" x14ac:dyDescent="0.2"/>
  <cols>
    <col min="1" max="1" width="2.42578125" style="15" customWidth="1"/>
    <col min="2" max="2" width="31.7109375" style="18" customWidth="1"/>
    <col min="3" max="3" width="9.7109375" style="18" customWidth="1"/>
    <col min="4" max="4" width="15.28515625" style="130" bestFit="1" customWidth="1"/>
    <col min="5" max="5" width="10.42578125" style="130" customWidth="1"/>
    <col min="6" max="6" width="13.7109375" style="18" bestFit="1" customWidth="1"/>
    <col min="7" max="7" width="2.85546875" style="131" customWidth="1"/>
    <col min="8" max="8" width="10.42578125" style="15" bestFit="1" customWidth="1"/>
    <col min="9" max="9" width="13.28515625" style="132" customWidth="1"/>
    <col min="10" max="10" width="2.85546875" style="133" customWidth="1"/>
    <col min="11" max="11" width="13.28515625" style="15" customWidth="1"/>
    <col min="12" max="12" width="10.42578125" style="134" customWidth="1"/>
    <col min="13" max="13" width="2.85546875" style="134" customWidth="1"/>
    <col min="14" max="14" width="14.5703125" style="15" customWidth="1"/>
    <col min="15" max="16384" width="9.140625" style="15"/>
  </cols>
  <sheetData>
    <row r="1" spans="2:23" x14ac:dyDescent="0.2">
      <c r="B1" s="124" t="s">
        <v>261</v>
      </c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5"/>
      <c r="N1" s="126"/>
    </row>
    <row r="2" spans="2:23" x14ac:dyDescent="0.2">
      <c r="B2" s="1" t="s">
        <v>262</v>
      </c>
      <c r="C2" s="127"/>
      <c r="D2" s="128"/>
      <c r="E2" s="128"/>
      <c r="F2" s="127"/>
      <c r="G2" s="127"/>
      <c r="H2" s="127"/>
      <c r="I2" s="127"/>
      <c r="J2" s="127"/>
      <c r="K2" s="127"/>
      <c r="L2" s="127"/>
      <c r="M2" s="125"/>
      <c r="N2" s="126"/>
    </row>
    <row r="3" spans="2:23" x14ac:dyDescent="0.2">
      <c r="B3" s="1" t="s">
        <v>263</v>
      </c>
      <c r="C3" s="127"/>
      <c r="D3" s="128"/>
      <c r="E3" s="128"/>
      <c r="F3" s="127"/>
      <c r="G3" s="127"/>
      <c r="H3" s="127"/>
      <c r="I3" s="127"/>
      <c r="J3" s="127"/>
      <c r="K3" s="127"/>
      <c r="L3" s="127"/>
      <c r="M3" s="125"/>
      <c r="N3" s="126"/>
    </row>
    <row r="4" spans="2:23" x14ac:dyDescent="0.2">
      <c r="B4" s="1" t="s">
        <v>112</v>
      </c>
      <c r="C4" s="127"/>
      <c r="D4" s="128"/>
      <c r="E4" s="128"/>
      <c r="F4" s="127"/>
      <c r="G4" s="127"/>
      <c r="H4" s="127"/>
      <c r="I4" s="127"/>
      <c r="J4" s="127"/>
      <c r="K4" s="127"/>
      <c r="L4" s="127"/>
      <c r="M4" s="125"/>
      <c r="N4" s="126"/>
    </row>
    <row r="5" spans="2:23" x14ac:dyDescent="0.2">
      <c r="B5" s="1" t="str">
        <f>'Exh JDT-5 (JDT-Rate Spread)'!B5</f>
        <v>Rate Spread and Schedule 141R and 141N Allocation</v>
      </c>
      <c r="C5" s="127"/>
      <c r="D5" s="128"/>
      <c r="E5" s="128"/>
      <c r="F5" s="127"/>
      <c r="G5" s="127"/>
      <c r="H5" s="127"/>
      <c r="I5" s="127"/>
      <c r="J5" s="127"/>
      <c r="K5" s="127"/>
      <c r="L5" s="127"/>
      <c r="M5" s="125"/>
      <c r="N5" s="129"/>
    </row>
    <row r="6" spans="2:23" x14ac:dyDescent="0.2">
      <c r="N6" s="135"/>
    </row>
    <row r="7" spans="2:23" ht="15" customHeight="1" x14ac:dyDescent="0.2">
      <c r="B7" s="136"/>
      <c r="C7" s="137"/>
      <c r="D7" s="138" t="s">
        <v>113</v>
      </c>
      <c r="E7" s="139" t="s">
        <v>114</v>
      </c>
      <c r="F7" s="140"/>
      <c r="G7" s="141"/>
      <c r="H7" s="142" t="s">
        <v>115</v>
      </c>
      <c r="I7" s="140"/>
      <c r="J7" s="143"/>
      <c r="K7" s="140" t="s">
        <v>116</v>
      </c>
      <c r="L7" s="144"/>
      <c r="M7" s="145"/>
      <c r="N7" s="146" t="s">
        <v>117</v>
      </c>
    </row>
    <row r="8" spans="2:23" x14ac:dyDescent="0.2">
      <c r="B8" s="147" t="s">
        <v>2</v>
      </c>
      <c r="C8" s="148" t="s">
        <v>118</v>
      </c>
      <c r="D8" s="149" t="s">
        <v>119</v>
      </c>
      <c r="E8" s="149" t="s">
        <v>120</v>
      </c>
      <c r="F8" s="150" t="s">
        <v>121</v>
      </c>
      <c r="G8" s="148"/>
      <c r="H8" s="148" t="s">
        <v>120</v>
      </c>
      <c r="I8" s="150" t="s">
        <v>121</v>
      </c>
      <c r="J8" s="150"/>
      <c r="K8" s="150" t="s">
        <v>122</v>
      </c>
      <c r="L8" s="151" t="s">
        <v>123</v>
      </c>
      <c r="M8" s="152"/>
      <c r="N8" s="153" t="s">
        <v>124</v>
      </c>
    </row>
    <row r="9" spans="2:23" x14ac:dyDescent="0.2">
      <c r="B9" s="135"/>
      <c r="C9" s="135"/>
      <c r="D9" s="154"/>
      <c r="E9" s="154"/>
      <c r="F9" s="135"/>
      <c r="H9" s="135"/>
      <c r="I9" s="133"/>
      <c r="K9" s="135"/>
      <c r="L9" s="155"/>
      <c r="M9" s="155"/>
      <c r="N9" s="135"/>
    </row>
    <row r="10" spans="2:23" x14ac:dyDescent="0.2">
      <c r="B10" s="156" t="s">
        <v>79</v>
      </c>
      <c r="C10" s="157"/>
      <c r="D10" s="158"/>
      <c r="E10" s="158"/>
      <c r="F10" s="159"/>
      <c r="G10" s="160"/>
      <c r="H10" s="158"/>
      <c r="I10" s="161"/>
      <c r="J10" s="161"/>
      <c r="K10" s="161"/>
      <c r="L10" s="162"/>
      <c r="M10" s="155"/>
      <c r="N10" s="135"/>
    </row>
    <row r="11" spans="2:23" x14ac:dyDescent="0.2">
      <c r="B11" s="163"/>
      <c r="C11" s="135"/>
      <c r="D11" s="154"/>
      <c r="E11" s="154"/>
      <c r="F11" s="135"/>
      <c r="G11" s="164"/>
      <c r="H11" s="154"/>
      <c r="I11" s="165"/>
      <c r="J11" s="165"/>
      <c r="K11" s="165"/>
      <c r="L11" s="166"/>
      <c r="M11" s="155"/>
      <c r="N11" s="146" t="s">
        <v>125</v>
      </c>
    </row>
    <row r="12" spans="2:23" x14ac:dyDescent="0.2">
      <c r="B12" s="167" t="s">
        <v>66</v>
      </c>
      <c r="C12" s="168" t="s">
        <v>126</v>
      </c>
      <c r="D12" s="169">
        <v>9634497.6315792762</v>
      </c>
      <c r="E12" s="170">
        <v>11.52</v>
      </c>
      <c r="F12" s="165">
        <f>SUM(+D12*E12)</f>
        <v>110989412.71579325</v>
      </c>
      <c r="H12" s="171">
        <v>12.5</v>
      </c>
      <c r="I12" s="165">
        <f>SUM(+D12*H12)</f>
        <v>120431220.39474095</v>
      </c>
      <c r="J12" s="165"/>
      <c r="K12" s="165">
        <f>I12-F12</f>
        <v>9441807.6789477021</v>
      </c>
      <c r="L12" s="172">
        <f>IFERROR(ROUND(K12/F12,5), )</f>
        <v>8.5070000000000007E-2</v>
      </c>
      <c r="M12" s="155"/>
      <c r="N12" s="173">
        <f>'Exh JDT-5 (JDT-Rate Spread)'!F56</f>
        <v>405164103.55509013</v>
      </c>
    </row>
    <row r="13" spans="2:23" x14ac:dyDescent="0.2">
      <c r="B13" s="163" t="s">
        <v>65</v>
      </c>
      <c r="C13" s="135" t="s">
        <v>127</v>
      </c>
      <c r="D13" s="131">
        <v>620836684.05687141</v>
      </c>
      <c r="E13" s="174">
        <v>0.41964000000000001</v>
      </c>
      <c r="F13" s="165">
        <f>ROUND(D13*E13,2)</f>
        <v>260527906.09999999</v>
      </c>
      <c r="H13" s="175">
        <f>ROUND((N12-I12-I20-I32)/D13, 5)</f>
        <v>0.45862000000000003</v>
      </c>
      <c r="I13" s="165">
        <f>ROUND(D13*H13,2)</f>
        <v>284728120.04000002</v>
      </c>
      <c r="J13" s="165"/>
      <c r="K13" s="165">
        <f>I13-F13</f>
        <v>24200213.940000027</v>
      </c>
      <c r="L13" s="172">
        <f>IFERROR(ROUND(K13/F13,5), )</f>
        <v>9.289E-2</v>
      </c>
      <c r="M13" s="135"/>
      <c r="N13" s="176" t="s">
        <v>128</v>
      </c>
    </row>
    <row r="14" spans="2:23" x14ac:dyDescent="0.2">
      <c r="B14" s="177"/>
      <c r="C14" s="178"/>
      <c r="D14" s="169"/>
      <c r="E14" s="154"/>
      <c r="F14" s="179">
        <f>SUM(F12:F13)</f>
        <v>371517318.81579328</v>
      </c>
      <c r="H14" s="154"/>
      <c r="I14" s="179">
        <f>SUM(I12:I13)</f>
        <v>405159340.43474096</v>
      </c>
      <c r="J14" s="165"/>
      <c r="K14" s="179">
        <f>SUM(K12:K13)</f>
        <v>33642021.618947729</v>
      </c>
      <c r="L14" s="180">
        <f>IFERROR(ROUND(K14/F14,5), )</f>
        <v>9.0550000000000005E-2</v>
      </c>
      <c r="M14" s="135"/>
      <c r="N14" s="181">
        <f>I37-N12</f>
        <v>491.57965081930161</v>
      </c>
    </row>
    <row r="15" spans="2:23" x14ac:dyDescent="0.2">
      <c r="B15" s="177"/>
      <c r="C15" s="182"/>
      <c r="D15" s="154"/>
      <c r="E15" s="174"/>
      <c r="F15" s="183"/>
      <c r="H15" s="154"/>
      <c r="I15" s="165"/>
      <c r="J15" s="165"/>
      <c r="K15" s="165"/>
      <c r="L15" s="166"/>
      <c r="M15" s="184"/>
    </row>
    <row r="16" spans="2:23" x14ac:dyDescent="0.2">
      <c r="B16" s="185" t="s">
        <v>129</v>
      </c>
      <c r="C16" s="178"/>
      <c r="D16" s="131"/>
      <c r="E16" s="154"/>
      <c r="F16" s="179">
        <f>F14</f>
        <v>371517318.81579328</v>
      </c>
      <c r="H16" s="154"/>
      <c r="I16" s="179">
        <f>I14</f>
        <v>405159340.43474096</v>
      </c>
      <c r="J16" s="165"/>
      <c r="K16" s="179">
        <f>K14</f>
        <v>33642021.618947729</v>
      </c>
      <c r="L16" s="180">
        <f>IFERROR(ROUND(K16/F16,5), )</f>
        <v>9.0550000000000005E-2</v>
      </c>
      <c r="M16" s="184"/>
      <c r="N16" s="186">
        <f>'Exh JDT-5 (JDT-Rate Spread)'!F59</f>
        <v>8.458683067553574E-2</v>
      </c>
      <c r="O16" s="135"/>
      <c r="W16" s="135"/>
    </row>
    <row r="17" spans="1:23" s="130" customFormat="1" x14ac:dyDescent="0.2">
      <c r="B17" s="187"/>
      <c r="C17" s="188"/>
      <c r="D17" s="188"/>
      <c r="E17" s="188"/>
      <c r="F17" s="189"/>
      <c r="G17" s="190"/>
      <c r="H17" s="188"/>
      <c r="I17" s="189"/>
      <c r="J17" s="189"/>
      <c r="K17" s="189"/>
      <c r="L17" s="191"/>
      <c r="M17" s="154"/>
      <c r="N17" s="154"/>
      <c r="O17" s="154"/>
      <c r="W17" s="154"/>
    </row>
    <row r="18" spans="1:23" x14ac:dyDescent="0.2">
      <c r="A18" s="130"/>
      <c r="B18" s="192" t="s">
        <v>82</v>
      </c>
      <c r="C18" s="193"/>
      <c r="D18" s="158"/>
      <c r="E18" s="158"/>
      <c r="F18" s="161"/>
      <c r="G18" s="160"/>
      <c r="H18" s="158"/>
      <c r="I18" s="161"/>
      <c r="J18" s="161"/>
      <c r="K18" s="161"/>
      <c r="L18" s="194"/>
      <c r="M18" s="135"/>
      <c r="N18" s="135"/>
      <c r="O18" s="135"/>
      <c r="W18" s="135"/>
    </row>
    <row r="19" spans="1:23" s="130" customFormat="1" x14ac:dyDescent="0.2">
      <c r="B19" s="195"/>
      <c r="C19" s="154"/>
      <c r="D19" s="154"/>
      <c r="E19" s="154"/>
      <c r="F19" s="196"/>
      <c r="G19" s="197"/>
      <c r="H19" s="154"/>
      <c r="I19" s="196"/>
      <c r="J19" s="196"/>
      <c r="K19" s="196"/>
      <c r="L19" s="198"/>
      <c r="M19" s="199"/>
      <c r="N19" s="122"/>
      <c r="O19" s="154"/>
      <c r="W19" s="154"/>
    </row>
    <row r="20" spans="1:23" s="130" customFormat="1" ht="13.5" customHeight="1" x14ac:dyDescent="0.2">
      <c r="B20" s="167" t="s">
        <v>66</v>
      </c>
      <c r="C20" s="168" t="s">
        <v>126</v>
      </c>
      <c r="D20" s="169">
        <v>0</v>
      </c>
      <c r="E20" s="170">
        <v>11.52</v>
      </c>
      <c r="F20" s="196">
        <f>SUM(+D20*E20)</f>
        <v>0</v>
      </c>
      <c r="G20" s="169"/>
      <c r="H20" s="200">
        <f>H12</f>
        <v>12.5</v>
      </c>
      <c r="I20" s="196">
        <f>SUM(+D20*H20)</f>
        <v>0</v>
      </c>
      <c r="J20" s="196"/>
      <c r="K20" s="196">
        <f>I20-F20</f>
        <v>0</v>
      </c>
      <c r="L20" s="172">
        <f t="shared" ref="L20:L21" si="0">IFERROR(ROUND(K20/F20,5), )</f>
        <v>0</v>
      </c>
      <c r="M20" s="199"/>
      <c r="N20" s="201"/>
      <c r="O20" s="154"/>
      <c r="W20" s="154"/>
    </row>
    <row r="21" spans="1:23" s="130" customFormat="1" ht="13.5" customHeight="1" x14ac:dyDescent="0.2">
      <c r="B21" s="163" t="s">
        <v>65</v>
      </c>
      <c r="C21" s="135" t="s">
        <v>127</v>
      </c>
      <c r="D21" s="169">
        <v>0</v>
      </c>
      <c r="E21" s="174">
        <v>0.41964000000000001</v>
      </c>
      <c r="F21" s="196">
        <f>ROUND(D21*E21,2)</f>
        <v>0</v>
      </c>
      <c r="G21" s="169"/>
      <c r="H21" s="175">
        <f>H13</f>
        <v>0.45862000000000003</v>
      </c>
      <c r="I21" s="196">
        <f>ROUND(D21*H21,2)</f>
        <v>0</v>
      </c>
      <c r="J21" s="196"/>
      <c r="K21" s="196">
        <f>I21-F21</f>
        <v>0</v>
      </c>
      <c r="L21" s="172">
        <f t="shared" si="0"/>
        <v>0</v>
      </c>
      <c r="M21" s="199"/>
      <c r="N21" s="202"/>
      <c r="O21" s="154"/>
      <c r="W21" s="154"/>
    </row>
    <row r="22" spans="1:23" s="130" customFormat="1" ht="13.5" customHeight="1" x14ac:dyDescent="0.2">
      <c r="B22" s="185" t="s">
        <v>130</v>
      </c>
      <c r="C22" s="168"/>
      <c r="D22" s="169"/>
      <c r="E22" s="154"/>
      <c r="F22" s="179">
        <f>SUM(F20:F21)</f>
        <v>0</v>
      </c>
      <c r="G22" s="169"/>
      <c r="H22" s="154"/>
      <c r="I22" s="179">
        <f>SUM(I20:I21)</f>
        <v>0</v>
      </c>
      <c r="J22" s="196"/>
      <c r="K22" s="179">
        <f>SUM(K20:K21)</f>
        <v>0</v>
      </c>
      <c r="L22" s="180">
        <f>IFERROR(ROUND(K22/F22,5), )</f>
        <v>0</v>
      </c>
      <c r="M22" s="154"/>
      <c r="N22" s="202"/>
      <c r="O22" s="154"/>
      <c r="W22" s="154"/>
    </row>
    <row r="23" spans="1:23" s="130" customFormat="1" ht="13.5" customHeight="1" x14ac:dyDescent="0.2">
      <c r="B23" s="203"/>
      <c r="C23" s="204"/>
      <c r="D23" s="154"/>
      <c r="E23" s="154"/>
      <c r="F23" s="205"/>
      <c r="G23" s="169"/>
      <c r="H23" s="154"/>
      <c r="I23" s="196"/>
      <c r="J23" s="196"/>
      <c r="K23" s="196"/>
      <c r="L23" s="198"/>
      <c r="M23" s="154"/>
      <c r="N23" s="206"/>
      <c r="O23" s="154"/>
      <c r="W23" s="154"/>
    </row>
    <row r="24" spans="1:23" s="130" customFormat="1" ht="13.5" customHeight="1" x14ac:dyDescent="0.2">
      <c r="B24" s="167" t="s">
        <v>129</v>
      </c>
      <c r="C24" s="168"/>
      <c r="D24" s="154"/>
      <c r="E24" s="154"/>
      <c r="F24" s="179">
        <f>F22</f>
        <v>0</v>
      </c>
      <c r="G24" s="169"/>
      <c r="H24" s="154"/>
      <c r="I24" s="179">
        <f>I22</f>
        <v>0</v>
      </c>
      <c r="J24" s="196"/>
      <c r="K24" s="179">
        <f>K22</f>
        <v>0</v>
      </c>
      <c r="L24" s="180">
        <f>IFERROR(ROUND(K24/F24,5), )</f>
        <v>0</v>
      </c>
      <c r="M24" s="154"/>
      <c r="N24" s="207"/>
      <c r="O24" s="154"/>
      <c r="W24" s="154"/>
    </row>
    <row r="25" spans="1:23" s="130" customFormat="1" ht="13.5" customHeight="1" x14ac:dyDescent="0.2">
      <c r="B25" s="187"/>
      <c r="C25" s="188"/>
      <c r="D25" s="188"/>
      <c r="E25" s="188"/>
      <c r="F25" s="189"/>
      <c r="G25" s="188"/>
      <c r="H25" s="188"/>
      <c r="I25" s="189"/>
      <c r="J25" s="189"/>
      <c r="K25" s="189"/>
      <c r="L25" s="191"/>
      <c r="M25" s="154"/>
      <c r="N25" s="208"/>
      <c r="O25" s="154"/>
      <c r="W25" s="154"/>
    </row>
    <row r="26" spans="1:23" ht="13.5" customHeight="1" x14ac:dyDescent="0.2">
      <c r="B26" s="192" t="s">
        <v>83</v>
      </c>
      <c r="C26" s="157"/>
      <c r="D26" s="158"/>
      <c r="E26" s="158"/>
      <c r="F26" s="161"/>
      <c r="G26" s="160"/>
      <c r="H26" s="159"/>
      <c r="I26" s="161"/>
      <c r="J26" s="161"/>
      <c r="K26" s="161"/>
      <c r="L26" s="194"/>
      <c r="M26" s="135"/>
      <c r="N26" s="130"/>
      <c r="O26" s="135"/>
      <c r="W26" s="135"/>
    </row>
    <row r="27" spans="1:23" ht="13.5" customHeight="1" x14ac:dyDescent="0.2">
      <c r="B27" s="177"/>
      <c r="C27" s="182"/>
      <c r="D27" s="154"/>
      <c r="E27" s="154"/>
      <c r="F27" s="165"/>
      <c r="G27" s="209"/>
      <c r="H27" s="135"/>
      <c r="I27" s="165"/>
      <c r="J27" s="165"/>
      <c r="K27" s="165"/>
      <c r="L27" s="166"/>
      <c r="M27" s="155"/>
      <c r="N27" s="130"/>
      <c r="O27" s="135"/>
      <c r="W27" s="135"/>
    </row>
    <row r="28" spans="1:23" ht="13.5" customHeight="1" x14ac:dyDescent="0.2">
      <c r="B28" s="195" t="s">
        <v>131</v>
      </c>
      <c r="C28" s="210" t="s">
        <v>132</v>
      </c>
      <c r="D28" s="169">
        <v>431.06668421052632</v>
      </c>
      <c r="E28" s="170">
        <v>11.24</v>
      </c>
      <c r="F28" s="165">
        <f>ROUND(D28*E28,2)</f>
        <v>4845.1899999999996</v>
      </c>
      <c r="H28" s="200">
        <f>ROUND(E28*(1+N16), 2)</f>
        <v>12.19</v>
      </c>
      <c r="I28" s="165">
        <f>ROUND(D28*H28,2)</f>
        <v>5254.7</v>
      </c>
      <c r="J28" s="165"/>
      <c r="K28" s="165">
        <f>I28-F28</f>
        <v>409.51000000000022</v>
      </c>
      <c r="L28" s="172">
        <f>IFERROR(ROUND(K28/F28,5), )</f>
        <v>8.4519999999999998E-2</v>
      </c>
      <c r="M28" s="211"/>
      <c r="N28" s="130"/>
      <c r="O28" s="135"/>
      <c r="W28" s="135"/>
    </row>
    <row r="29" spans="1:23" ht="13.5" customHeight="1" x14ac:dyDescent="0.2">
      <c r="B29" s="163"/>
      <c r="C29" s="135"/>
      <c r="D29" s="154"/>
      <c r="E29" s="154"/>
      <c r="F29" s="165"/>
      <c r="G29" s="135"/>
      <c r="H29" s="135"/>
      <c r="I29" s="165"/>
      <c r="J29" s="165"/>
      <c r="K29" s="165"/>
      <c r="L29" s="172"/>
      <c r="M29" s="211"/>
      <c r="N29" s="130"/>
      <c r="O29" s="135"/>
      <c r="W29" s="135"/>
    </row>
    <row r="30" spans="1:23" ht="13.5" customHeight="1" x14ac:dyDescent="0.2">
      <c r="B30" s="185" t="s">
        <v>133</v>
      </c>
      <c r="C30" s="178"/>
      <c r="D30" s="169">
        <v>8190.2669999999998</v>
      </c>
      <c r="E30" s="169"/>
      <c r="F30" s="183"/>
      <c r="H30" s="135"/>
      <c r="I30" s="165"/>
      <c r="J30" s="165"/>
      <c r="K30" s="165"/>
      <c r="L30" s="166"/>
      <c r="M30" s="211"/>
      <c r="N30" s="130"/>
      <c r="O30" s="135"/>
      <c r="W30" s="135"/>
    </row>
    <row r="31" spans="1:23" ht="13.5" customHeight="1" x14ac:dyDescent="0.2">
      <c r="B31" s="163"/>
      <c r="C31" s="135"/>
      <c r="D31" s="154"/>
      <c r="E31" s="154"/>
      <c r="F31" s="196"/>
      <c r="G31" s="169"/>
      <c r="H31" s="154"/>
      <c r="I31" s="196"/>
      <c r="J31" s="165"/>
      <c r="K31" s="165"/>
      <c r="L31" s="166"/>
      <c r="M31" s="184"/>
      <c r="N31" s="130"/>
      <c r="O31" s="135"/>
      <c r="W31" s="135"/>
    </row>
    <row r="32" spans="1:23" ht="13.5" customHeight="1" x14ac:dyDescent="0.2">
      <c r="B32" s="163" t="s">
        <v>129</v>
      </c>
      <c r="C32" s="135"/>
      <c r="D32" s="154"/>
      <c r="E32" s="154"/>
      <c r="F32" s="179">
        <f>F28</f>
        <v>4845.1899999999996</v>
      </c>
      <c r="H32" s="135"/>
      <c r="I32" s="179">
        <f>I28</f>
        <v>5254.7</v>
      </c>
      <c r="J32" s="165"/>
      <c r="K32" s="179">
        <f>K28</f>
        <v>409.51000000000022</v>
      </c>
      <c r="L32" s="180">
        <f>IFERROR(ROUND(K32/F32,5), )</f>
        <v>8.4519999999999998E-2</v>
      </c>
      <c r="M32" s="155"/>
      <c r="N32" s="130"/>
      <c r="O32" s="135"/>
      <c r="W32" s="135"/>
    </row>
    <row r="33" spans="2:23" ht="13.5" customHeight="1" x14ac:dyDescent="0.2">
      <c r="B33" s="212"/>
      <c r="C33" s="213"/>
      <c r="D33" s="188"/>
      <c r="E33" s="188"/>
      <c r="F33" s="214"/>
      <c r="G33" s="215"/>
      <c r="H33" s="216"/>
      <c r="I33" s="217"/>
      <c r="J33" s="217"/>
      <c r="K33" s="216"/>
      <c r="L33" s="218"/>
      <c r="M33" s="202"/>
      <c r="N33" s="130"/>
      <c r="O33" s="135"/>
      <c r="W33" s="135"/>
    </row>
    <row r="34" spans="2:23" ht="13.5" customHeight="1" x14ac:dyDescent="0.2">
      <c r="B34" s="15"/>
      <c r="K34" s="135"/>
      <c r="L34" s="219"/>
      <c r="M34" s="184"/>
      <c r="O34" s="135"/>
      <c r="W34" s="135"/>
    </row>
    <row r="35" spans="2:23" x14ac:dyDescent="0.2">
      <c r="B35" s="18" t="s">
        <v>134</v>
      </c>
      <c r="K35" s="135"/>
      <c r="L35" s="219"/>
      <c r="M35" s="202"/>
      <c r="O35" s="135"/>
      <c r="W35" s="135"/>
    </row>
    <row r="36" spans="2:23" x14ac:dyDescent="0.2">
      <c r="B36" s="15"/>
      <c r="D36" s="220" t="s">
        <v>127</v>
      </c>
      <c r="F36" s="148" t="s">
        <v>72</v>
      </c>
      <c r="I36" s="150" t="s">
        <v>73</v>
      </c>
      <c r="K36" s="150" t="s">
        <v>135</v>
      </c>
      <c r="L36" s="219"/>
      <c r="O36" s="135"/>
      <c r="W36" s="135"/>
    </row>
    <row r="37" spans="2:23" x14ac:dyDescent="0.2">
      <c r="B37" s="15" t="s">
        <v>136</v>
      </c>
      <c r="D37" s="221">
        <f>D13+D21+D30</f>
        <v>620844874.32387137</v>
      </c>
      <c r="F37" s="222">
        <f>F14+F22+F28</f>
        <v>371522164.00579327</v>
      </c>
      <c r="G37" s="222"/>
      <c r="H37" s="222"/>
      <c r="I37" s="222">
        <f>I14+I22+I28</f>
        <v>405164595.13474095</v>
      </c>
      <c r="J37" s="222"/>
      <c r="K37" s="165">
        <f>I37-F37</f>
        <v>33642431.128947675</v>
      </c>
      <c r="L37" s="223">
        <f>K37/F37</f>
        <v>9.0552958580482096E-2</v>
      </c>
    </row>
    <row r="38" spans="2:23" ht="13.5" thickBot="1" x14ac:dyDescent="0.25">
      <c r="B38" s="15"/>
      <c r="D38" s="224"/>
      <c r="F38" s="165"/>
      <c r="I38" s="165"/>
      <c r="K38" s="165"/>
      <c r="L38" s="223"/>
    </row>
    <row r="39" spans="2:23" ht="13.5" thickBot="1" x14ac:dyDescent="0.25">
      <c r="B39" s="225" t="s">
        <v>137</v>
      </c>
      <c r="C39" s="226" t="s">
        <v>138</v>
      </c>
      <c r="D39" s="227">
        <v>373297420.99925822</v>
      </c>
      <c r="E39" s="228" t="s">
        <v>35</v>
      </c>
      <c r="F39" s="229">
        <f>D39-F37</f>
        <v>1775256.9934649467</v>
      </c>
      <c r="K39" s="135"/>
      <c r="L39" s="219"/>
      <c r="N39" s="222"/>
    </row>
    <row r="40" spans="2:23" x14ac:dyDescent="0.2">
      <c r="B40" s="15"/>
      <c r="F40" s="15"/>
      <c r="L40" s="219"/>
    </row>
    <row r="41" spans="2:23" x14ac:dyDescent="0.2">
      <c r="B41" s="63" t="s">
        <v>60</v>
      </c>
      <c r="L41" s="219"/>
    </row>
    <row r="42" spans="2:23" x14ac:dyDescent="0.2">
      <c r="B42" s="15"/>
      <c r="C42" s="15"/>
      <c r="D42" s="15"/>
      <c r="F42" s="15"/>
      <c r="G42" s="15"/>
      <c r="I42" s="15"/>
      <c r="J42" s="15"/>
      <c r="L42" s="223"/>
      <c r="M42" s="15"/>
    </row>
    <row r="43" spans="2:23" x14ac:dyDescent="0.2">
      <c r="L43" s="219"/>
    </row>
    <row r="44" spans="2:23" x14ac:dyDescent="0.2">
      <c r="L44" s="219"/>
    </row>
  </sheetData>
  <dataConsolidate/>
  <printOptions horizontalCentered="1"/>
  <pageMargins left="0.5" right="0.5" top="1" bottom="1" header="0.75" footer="0.5"/>
  <pageSetup scale="75" fitToHeight="2" orientation="landscape" blackAndWhite="1" r:id="rId1"/>
  <headerFooter alignWithMargins="0">
    <oddFooter>&amp;R&amp;A
 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118"/>
  <sheetViews>
    <sheetView zoomScale="90" zoomScaleNormal="90" zoomScaleSheetLayoutView="100" workbookViewId="0">
      <pane ySplit="8" topLeftCell="A9" activePane="bottomLeft" state="frozen"/>
      <selection activeCell="F68" sqref="F68"/>
      <selection pane="bottomLeft" activeCell="F68" sqref="F68"/>
    </sheetView>
  </sheetViews>
  <sheetFormatPr defaultColWidth="9.140625" defaultRowHeight="12.75" x14ac:dyDescent="0.2"/>
  <cols>
    <col min="1" max="1" width="2.42578125" style="15" customWidth="1"/>
    <col min="2" max="2" width="31.7109375" style="15" customWidth="1"/>
    <col min="3" max="3" width="9.7109375" style="15" customWidth="1"/>
    <col min="4" max="4" width="14.5703125" style="15" bestFit="1" customWidth="1"/>
    <col min="5" max="5" width="10.42578125" style="15" customWidth="1"/>
    <col min="6" max="6" width="14.7109375" style="132" bestFit="1" customWidth="1"/>
    <col min="7" max="7" width="2.85546875" style="224" customWidth="1"/>
    <col min="8" max="8" width="10.42578125" style="130" customWidth="1"/>
    <col min="9" max="9" width="15" style="132" customWidth="1"/>
    <col min="10" max="10" width="2.85546875" style="132" customWidth="1"/>
    <col min="11" max="11" width="13.28515625" style="132" customWidth="1"/>
    <col min="12" max="12" width="10.42578125" style="223" customWidth="1"/>
    <col min="13" max="13" width="2.85546875" style="230" customWidth="1"/>
    <col min="14" max="14" width="2" style="231" customWidth="1"/>
    <col min="15" max="15" width="14.5703125" style="15" customWidth="1"/>
    <col min="16" max="16" width="15" style="15" bestFit="1" customWidth="1"/>
    <col min="17" max="16384" width="9.140625" style="15"/>
  </cols>
  <sheetData>
    <row r="1" spans="1:15" x14ac:dyDescent="0.2">
      <c r="B1" s="124" t="s">
        <v>261</v>
      </c>
    </row>
    <row r="2" spans="1:15" x14ac:dyDescent="0.2">
      <c r="B2" s="1" t="s">
        <v>262</v>
      </c>
      <c r="C2" s="126"/>
      <c r="D2" s="126"/>
      <c r="E2" s="126"/>
      <c r="F2" s="232"/>
      <c r="G2" s="233"/>
      <c r="H2" s="234"/>
      <c r="I2" s="232"/>
      <c r="J2" s="232"/>
      <c r="K2" s="232"/>
      <c r="L2" s="235"/>
      <c r="M2" s="236"/>
      <c r="N2" s="236"/>
      <c r="O2" s="126"/>
    </row>
    <row r="3" spans="1:15" x14ac:dyDescent="0.2">
      <c r="B3" s="1" t="s">
        <v>263</v>
      </c>
      <c r="C3" s="126"/>
      <c r="D3" s="126"/>
      <c r="E3" s="126"/>
      <c r="F3" s="126"/>
      <c r="G3" s="234"/>
      <c r="H3" s="234"/>
      <c r="I3" s="126"/>
      <c r="J3" s="126"/>
      <c r="K3" s="126"/>
      <c r="L3" s="235"/>
      <c r="M3" s="126"/>
      <c r="N3" s="236"/>
      <c r="O3" s="126"/>
    </row>
    <row r="4" spans="1:15" x14ac:dyDescent="0.2">
      <c r="B4" s="1" t="s">
        <v>139</v>
      </c>
      <c r="C4" s="126"/>
      <c r="D4" s="126"/>
      <c r="E4" s="126"/>
      <c r="F4" s="126"/>
      <c r="G4" s="234"/>
      <c r="H4" s="234"/>
      <c r="I4" s="126"/>
      <c r="J4" s="126"/>
      <c r="K4" s="126"/>
      <c r="L4" s="235"/>
      <c r="M4" s="126"/>
      <c r="N4" s="236"/>
      <c r="O4" s="126"/>
    </row>
    <row r="5" spans="1:15" x14ac:dyDescent="0.2">
      <c r="B5" s="1" t="str">
        <f>'Exh JDT-5 (JDT-Rate Spread)'!B5</f>
        <v>Rate Spread and Schedule 141R and 141N Allocation</v>
      </c>
      <c r="C5" s="126"/>
      <c r="D5" s="126"/>
      <c r="E5" s="126"/>
      <c r="F5" s="126"/>
      <c r="G5" s="234"/>
      <c r="H5" s="234"/>
      <c r="I5" s="126"/>
      <c r="J5" s="126"/>
      <c r="K5" s="126"/>
      <c r="L5" s="235"/>
      <c r="M5" s="126"/>
      <c r="N5" s="237"/>
      <c r="O5" s="129"/>
    </row>
    <row r="6" spans="1:15" ht="13.5" customHeight="1" x14ac:dyDescent="0.2">
      <c r="B6" s="64"/>
      <c r="C6" s="64"/>
      <c r="D6" s="64"/>
      <c r="E6" s="64"/>
      <c r="F6" s="238"/>
      <c r="G6" s="239"/>
      <c r="H6" s="240"/>
      <c r="I6" s="238"/>
      <c r="J6" s="238"/>
      <c r="K6" s="238"/>
      <c r="L6" s="241"/>
      <c r="N6" s="184"/>
      <c r="O6" s="135"/>
    </row>
    <row r="7" spans="1:15" ht="12" customHeight="1" x14ac:dyDescent="0.2">
      <c r="B7" s="136"/>
      <c r="C7" s="137"/>
      <c r="D7" s="138" t="s">
        <v>113</v>
      </c>
      <c r="E7" s="139" t="s">
        <v>114</v>
      </c>
      <c r="F7" s="140"/>
      <c r="G7" s="242"/>
      <c r="H7" s="142" t="s">
        <v>115</v>
      </c>
      <c r="I7" s="140"/>
      <c r="J7" s="143"/>
      <c r="K7" s="565" t="s">
        <v>116</v>
      </c>
      <c r="L7" s="566"/>
      <c r="M7" s="145"/>
      <c r="N7" s="237"/>
      <c r="O7" s="146" t="s">
        <v>117</v>
      </c>
    </row>
    <row r="8" spans="1:15" x14ac:dyDescent="0.2">
      <c r="B8" s="147" t="s">
        <v>2</v>
      </c>
      <c r="C8" s="148" t="s">
        <v>118</v>
      </c>
      <c r="D8" s="149" t="s">
        <v>119</v>
      </c>
      <c r="E8" s="148" t="s">
        <v>120</v>
      </c>
      <c r="F8" s="150" t="s">
        <v>121</v>
      </c>
      <c r="G8" s="149"/>
      <c r="H8" s="149" t="s">
        <v>120</v>
      </c>
      <c r="I8" s="150" t="s">
        <v>121</v>
      </c>
      <c r="J8" s="150"/>
      <c r="K8" s="150" t="s">
        <v>122</v>
      </c>
      <c r="L8" s="243" t="s">
        <v>123</v>
      </c>
      <c r="M8" s="244"/>
      <c r="N8" s="152"/>
      <c r="O8" s="153" t="s">
        <v>124</v>
      </c>
    </row>
    <row r="9" spans="1:15" x14ac:dyDescent="0.2">
      <c r="A9" s="135"/>
      <c r="B9" s="122"/>
      <c r="C9" s="122"/>
      <c r="D9" s="122"/>
      <c r="E9" s="122"/>
      <c r="F9" s="245"/>
      <c r="G9" s="242"/>
      <c r="H9" s="242"/>
      <c r="I9" s="245"/>
      <c r="J9" s="245"/>
      <c r="K9" s="245"/>
      <c r="L9" s="246"/>
      <c r="M9" s="244"/>
      <c r="N9" s="152"/>
      <c r="O9" s="135"/>
    </row>
    <row r="10" spans="1:15" x14ac:dyDescent="0.2">
      <c r="B10" s="156" t="s">
        <v>86</v>
      </c>
      <c r="C10" s="247"/>
      <c r="D10" s="159"/>
      <c r="E10" s="159"/>
      <c r="F10" s="161"/>
      <c r="G10" s="248"/>
      <c r="H10" s="158"/>
      <c r="I10" s="161"/>
      <c r="J10" s="161"/>
      <c r="K10" s="161"/>
      <c r="L10" s="194"/>
      <c r="M10" s="249"/>
      <c r="N10" s="184"/>
      <c r="O10" s="135"/>
    </row>
    <row r="11" spans="1:15" x14ac:dyDescent="0.2">
      <c r="B11" s="163"/>
      <c r="C11" s="135"/>
      <c r="D11" s="131"/>
      <c r="E11" s="135"/>
      <c r="F11" s="165"/>
      <c r="G11" s="169"/>
      <c r="H11" s="154"/>
      <c r="I11" s="165"/>
      <c r="J11" s="165"/>
      <c r="K11" s="165"/>
      <c r="L11" s="172"/>
      <c r="M11" s="249"/>
      <c r="N11" s="184"/>
      <c r="O11" s="250" t="s">
        <v>140</v>
      </c>
    </row>
    <row r="12" spans="1:15" x14ac:dyDescent="0.2">
      <c r="B12" s="167" t="s">
        <v>66</v>
      </c>
      <c r="C12" s="168" t="s">
        <v>126</v>
      </c>
      <c r="D12" s="169">
        <v>698499.36081828561</v>
      </c>
      <c r="E12" s="170">
        <v>33.840000000000003</v>
      </c>
      <c r="F12" s="165">
        <f>ROUND(D12*E12,2)</f>
        <v>23637218.370000001</v>
      </c>
      <c r="G12" s="169"/>
      <c r="H12" s="200">
        <v>38.89</v>
      </c>
      <c r="I12" s="196">
        <f>ROUND(D12*H12,2)</f>
        <v>27164640.140000001</v>
      </c>
      <c r="J12" s="165"/>
      <c r="K12" s="165">
        <f>I12-F12</f>
        <v>3527421.7699999996</v>
      </c>
      <c r="L12" s="172">
        <f>IFERROR(ROUND(K12/F12,5), )</f>
        <v>0.14923</v>
      </c>
      <c r="M12" s="249"/>
      <c r="N12" s="184"/>
      <c r="O12" s="251">
        <f>'Exh JDT-5 (JDT-Rate Spread)'!G56</f>
        <v>122689700.28953168</v>
      </c>
    </row>
    <row r="13" spans="1:15" x14ac:dyDescent="0.2">
      <c r="B13" s="163" t="s">
        <v>65</v>
      </c>
      <c r="C13" s="135" t="s">
        <v>127</v>
      </c>
      <c r="D13" s="169">
        <v>222166912.14539161</v>
      </c>
      <c r="E13" s="174">
        <v>0.37956000000000001</v>
      </c>
      <c r="F13" s="165">
        <f>ROUND(D13*E13,2)</f>
        <v>84325673.170000002</v>
      </c>
      <c r="G13" s="169"/>
      <c r="H13" s="175">
        <f>ROUND((O12-I12-I14-I22)/D32,5)</f>
        <v>0.41493999999999998</v>
      </c>
      <c r="I13" s="196">
        <f>ROUND(D13*H13,2)</f>
        <v>92185938.530000001</v>
      </c>
      <c r="J13" s="165"/>
      <c r="K13" s="165">
        <f>I13-F13</f>
        <v>7860265.3599999994</v>
      </c>
      <c r="L13" s="172">
        <f>IFERROR(ROUND(K13/F13,5), )</f>
        <v>9.3210000000000001E-2</v>
      </c>
      <c r="M13" s="249"/>
      <c r="N13" s="184"/>
      <c r="O13" s="176" t="s">
        <v>128</v>
      </c>
    </row>
    <row r="14" spans="1:15" x14ac:dyDescent="0.2">
      <c r="B14" s="163" t="s">
        <v>68</v>
      </c>
      <c r="C14" s="135"/>
      <c r="D14" s="169">
        <f>D13</f>
        <v>222166912.14539161</v>
      </c>
      <c r="E14" s="174">
        <v>1.371E-2</v>
      </c>
      <c r="F14" s="165">
        <f>ROUND(D14*E14,2)</f>
        <v>3045908.37</v>
      </c>
      <c r="G14" s="169"/>
      <c r="H14" s="175">
        <f>ROUND('Exh JDT-5 (JDT-Procmnt Chrg)'!E17,5)</f>
        <v>1.4919999999999999E-2</v>
      </c>
      <c r="I14" s="165">
        <f>ROUND(D14*H14,2)</f>
        <v>3314730.33</v>
      </c>
      <c r="J14" s="252"/>
      <c r="K14" s="165">
        <f>I14-F14</f>
        <v>268821.95999999996</v>
      </c>
      <c r="L14" s="172">
        <f>IFERROR(ROUND(K14/F14,5), )</f>
        <v>8.8260000000000005E-2</v>
      </c>
      <c r="M14" s="244"/>
      <c r="N14" s="244"/>
      <c r="O14" s="253">
        <f>I36-O12</f>
        <v>-318.75953169167042</v>
      </c>
    </row>
    <row r="15" spans="1:15" x14ac:dyDescent="0.2">
      <c r="B15" s="185" t="s">
        <v>130</v>
      </c>
      <c r="C15" s="178"/>
      <c r="D15" s="169"/>
      <c r="E15" s="154"/>
      <c r="F15" s="179">
        <f>SUM(F12:F14)</f>
        <v>111008799.91000001</v>
      </c>
      <c r="G15" s="169"/>
      <c r="H15" s="169"/>
      <c r="I15" s="254">
        <f>SUM(I12:I14)</f>
        <v>122665309</v>
      </c>
      <c r="J15" s="165"/>
      <c r="K15" s="179">
        <f>SUM(K12:K14)</f>
        <v>11656509.09</v>
      </c>
      <c r="L15" s="180">
        <f>IFERROR(ROUND(K15/F15,5), )</f>
        <v>0.10501000000000001</v>
      </c>
      <c r="M15" s="249"/>
      <c r="N15" s="184"/>
      <c r="O15" s="255"/>
    </row>
    <row r="16" spans="1:15" x14ac:dyDescent="0.2">
      <c r="B16" s="163"/>
      <c r="C16" s="135"/>
      <c r="D16" s="154"/>
      <c r="E16" s="154"/>
      <c r="F16" s="165"/>
      <c r="G16" s="169"/>
      <c r="H16" s="169"/>
      <c r="I16" s="196"/>
      <c r="J16" s="165"/>
      <c r="K16" s="165"/>
      <c r="L16" s="172"/>
      <c r="M16" s="249"/>
      <c r="N16" s="184"/>
      <c r="O16" s="256">
        <f>'Exh JDT-5 (JDT-Rate Spread)'!G59</f>
        <v>0.10036032962075647</v>
      </c>
    </row>
    <row r="17" spans="1:15" x14ac:dyDescent="0.2">
      <c r="B17" s="185" t="s">
        <v>129</v>
      </c>
      <c r="C17" s="135"/>
      <c r="D17" s="154"/>
      <c r="E17" s="135"/>
      <c r="F17" s="179">
        <f>F15</f>
        <v>111008799.91000001</v>
      </c>
      <c r="G17" s="257"/>
      <c r="H17" s="258"/>
      <c r="I17" s="254">
        <f>I15</f>
        <v>122665309</v>
      </c>
      <c r="J17" s="165"/>
      <c r="K17" s="254">
        <f>K15</f>
        <v>11656509.09</v>
      </c>
      <c r="L17" s="180">
        <f>ROUND(K17/F17,5)</f>
        <v>0.10501000000000001</v>
      </c>
      <c r="M17" s="249"/>
      <c r="N17" s="184"/>
      <c r="O17" s="122"/>
    </row>
    <row r="18" spans="1:15" x14ac:dyDescent="0.2">
      <c r="B18" s="259"/>
      <c r="C18" s="260"/>
      <c r="D18" s="188"/>
      <c r="E18" s="261"/>
      <c r="F18" s="262"/>
      <c r="G18" s="188"/>
      <c r="H18" s="263"/>
      <c r="I18" s="189"/>
      <c r="J18" s="264"/>
      <c r="K18" s="264"/>
      <c r="L18" s="265"/>
      <c r="M18" s="249"/>
      <c r="N18" s="184"/>
      <c r="O18" s="135"/>
    </row>
    <row r="19" spans="1:15" x14ac:dyDescent="0.2">
      <c r="A19" s="135"/>
      <c r="B19" s="135"/>
      <c r="C19" s="135"/>
      <c r="D19" s="154"/>
      <c r="E19" s="135"/>
      <c r="F19" s="155"/>
      <c r="G19" s="257"/>
      <c r="H19" s="258"/>
      <c r="I19" s="155"/>
      <c r="J19" s="155"/>
      <c r="K19" s="165"/>
      <c r="L19" s="266"/>
      <c r="M19" s="249"/>
      <c r="N19" s="184"/>
      <c r="O19" s="135"/>
    </row>
    <row r="20" spans="1:15" x14ac:dyDescent="0.2">
      <c r="A20" s="135"/>
      <c r="B20" s="192" t="s">
        <v>87</v>
      </c>
      <c r="C20" s="247"/>
      <c r="D20" s="159"/>
      <c r="E20" s="159"/>
      <c r="F20" s="161"/>
      <c r="G20" s="248"/>
      <c r="H20" s="158"/>
      <c r="I20" s="161"/>
      <c r="J20" s="161"/>
      <c r="K20" s="161"/>
      <c r="L20" s="194"/>
      <c r="M20" s="249"/>
      <c r="N20" s="184"/>
      <c r="O20" s="135"/>
    </row>
    <row r="21" spans="1:15" x14ac:dyDescent="0.2">
      <c r="A21" s="135"/>
      <c r="B21" s="163"/>
      <c r="C21" s="135"/>
      <c r="D21" s="131"/>
      <c r="E21" s="135"/>
      <c r="F21" s="165"/>
      <c r="G21" s="169"/>
      <c r="H21" s="154"/>
      <c r="I21" s="165"/>
      <c r="J21" s="165"/>
      <c r="K21" s="165"/>
      <c r="L21" s="172"/>
      <c r="M21" s="249"/>
      <c r="N21" s="184"/>
      <c r="O21" s="135"/>
    </row>
    <row r="22" spans="1:15" x14ac:dyDescent="0.2">
      <c r="A22" s="135"/>
      <c r="B22" s="167" t="s">
        <v>66</v>
      </c>
      <c r="C22" s="168" t="s">
        <v>126</v>
      </c>
      <c r="D22" s="169">
        <v>24</v>
      </c>
      <c r="E22" s="170">
        <v>364.04</v>
      </c>
      <c r="F22" s="165">
        <f>ROUND(D22*E22,2)</f>
        <v>8736.9599999999991</v>
      </c>
      <c r="G22" s="169"/>
      <c r="H22" s="200">
        <f>E22</f>
        <v>364.04</v>
      </c>
      <c r="I22" s="196">
        <f>ROUND(D22*H22,2)</f>
        <v>8736.9599999999991</v>
      </c>
      <c r="J22" s="165"/>
      <c r="K22" s="165">
        <f>I22-F22</f>
        <v>0</v>
      </c>
      <c r="L22" s="172">
        <f>IFERROR(ROUND(K22/F22,5), )</f>
        <v>0</v>
      </c>
      <c r="M22" s="249"/>
      <c r="N22" s="184"/>
      <c r="O22" s="135"/>
    </row>
    <row r="23" spans="1:15" x14ac:dyDescent="0.2">
      <c r="A23" s="135"/>
      <c r="B23" s="163" t="s">
        <v>65</v>
      </c>
      <c r="C23" s="135" t="s">
        <v>127</v>
      </c>
      <c r="D23" s="169">
        <v>36958.529999999992</v>
      </c>
      <c r="E23" s="174">
        <v>0.37956000000000001</v>
      </c>
      <c r="F23" s="165">
        <f>ROUND(D23*E23,2)</f>
        <v>14027.98</v>
      </c>
      <c r="G23" s="169"/>
      <c r="H23" s="175">
        <f>H13</f>
        <v>0.41493999999999998</v>
      </c>
      <c r="I23" s="196">
        <f>ROUND(D23*H23,2)</f>
        <v>15335.57</v>
      </c>
      <c r="J23" s="165"/>
      <c r="K23" s="165">
        <f>I23-F23</f>
        <v>1307.5900000000001</v>
      </c>
      <c r="L23" s="172">
        <f>IFERROR(ROUND(K23/F23,5), )</f>
        <v>9.3210000000000001E-2</v>
      </c>
      <c r="M23" s="249"/>
      <c r="N23" s="184"/>
      <c r="O23" s="135"/>
    </row>
    <row r="24" spans="1:15" x14ac:dyDescent="0.2">
      <c r="A24" s="135"/>
      <c r="B24" s="185" t="s">
        <v>130</v>
      </c>
      <c r="C24" s="178"/>
      <c r="D24" s="169"/>
      <c r="E24" s="154"/>
      <c r="F24" s="179">
        <f>SUM(F22:F23)</f>
        <v>22764.94</v>
      </c>
      <c r="G24" s="169"/>
      <c r="H24" s="169"/>
      <c r="I24" s="254">
        <f>SUM(I22:I23)</f>
        <v>24072.53</v>
      </c>
      <c r="J24" s="165"/>
      <c r="K24" s="254">
        <f>SUM(K22:K23)</f>
        <v>1307.5900000000001</v>
      </c>
      <c r="L24" s="180">
        <f>IFERROR(ROUND(K24/F24,5), )</f>
        <v>5.7439999999999998E-2</v>
      </c>
      <c r="M24" s="249"/>
      <c r="N24" s="184"/>
      <c r="O24" s="135"/>
    </row>
    <row r="25" spans="1:15" x14ac:dyDescent="0.2">
      <c r="A25" s="135"/>
      <c r="B25" s="163"/>
      <c r="C25" s="135"/>
      <c r="D25" s="135"/>
      <c r="E25" s="135"/>
      <c r="F25" s="133"/>
      <c r="G25" s="169"/>
      <c r="H25" s="154"/>
      <c r="I25" s="133"/>
      <c r="J25" s="133"/>
      <c r="K25" s="133"/>
      <c r="L25" s="172"/>
      <c r="M25" s="249"/>
      <c r="N25" s="184"/>
      <c r="O25" s="135"/>
    </row>
    <row r="26" spans="1:15" x14ac:dyDescent="0.2">
      <c r="A26" s="135"/>
      <c r="B26" s="185" t="s">
        <v>129</v>
      </c>
      <c r="C26" s="135"/>
      <c r="D26" s="154"/>
      <c r="E26" s="135"/>
      <c r="F26" s="179">
        <f>F24</f>
        <v>22764.94</v>
      </c>
      <c r="G26" s="257"/>
      <c r="H26" s="258"/>
      <c r="I26" s="179">
        <f>I24</f>
        <v>24072.53</v>
      </c>
      <c r="J26" s="165"/>
      <c r="K26" s="179">
        <f>K24+'Exh JDT-5 (JDT-Balancing)'!L11</f>
        <v>1314.2425354000002</v>
      </c>
      <c r="L26" s="180">
        <f>ROUND(K26/F26,5)</f>
        <v>5.7729999999999997E-2</v>
      </c>
      <c r="M26" s="249"/>
      <c r="N26" s="184"/>
      <c r="O26" s="135"/>
    </row>
    <row r="27" spans="1:15" x14ac:dyDescent="0.2">
      <c r="A27" s="135"/>
      <c r="B27" s="259"/>
      <c r="C27" s="260"/>
      <c r="D27" s="188"/>
      <c r="E27" s="261"/>
      <c r="F27" s="262"/>
      <c r="G27" s="188"/>
      <c r="H27" s="263"/>
      <c r="I27" s="189"/>
      <c r="J27" s="264"/>
      <c r="K27" s="264"/>
      <c r="L27" s="265"/>
      <c r="M27" s="249"/>
      <c r="N27" s="184"/>
      <c r="O27" s="135"/>
    </row>
    <row r="28" spans="1:15" x14ac:dyDescent="0.2">
      <c r="A28" s="135"/>
      <c r="B28" s="135"/>
      <c r="C28" s="135"/>
      <c r="D28" s="154"/>
      <c r="E28" s="135"/>
      <c r="F28" s="155"/>
      <c r="G28" s="257"/>
      <c r="H28" s="258"/>
      <c r="I28" s="155"/>
      <c r="J28" s="155"/>
      <c r="K28" s="165"/>
      <c r="L28" s="266"/>
      <c r="M28" s="249"/>
      <c r="N28" s="184"/>
      <c r="O28" s="135"/>
    </row>
    <row r="29" spans="1:15" x14ac:dyDescent="0.2">
      <c r="A29" s="135"/>
      <c r="B29" s="156" t="s">
        <v>141</v>
      </c>
      <c r="C29" s="247"/>
      <c r="D29" s="159"/>
      <c r="E29" s="159"/>
      <c r="F29" s="161"/>
      <c r="G29" s="248"/>
      <c r="H29" s="158"/>
      <c r="I29" s="161"/>
      <c r="J29" s="161"/>
      <c r="K29" s="161"/>
      <c r="L29" s="194"/>
      <c r="M29" s="249"/>
      <c r="N29" s="184"/>
      <c r="O29" s="135"/>
    </row>
    <row r="30" spans="1:15" x14ac:dyDescent="0.2">
      <c r="A30" s="135"/>
      <c r="B30" s="163"/>
      <c r="C30" s="135"/>
      <c r="D30" s="131"/>
      <c r="E30" s="135"/>
      <c r="F30" s="165"/>
      <c r="G30" s="169"/>
      <c r="H30" s="154"/>
      <c r="I30" s="165"/>
      <c r="J30" s="165"/>
      <c r="K30" s="165"/>
      <c r="L30" s="172"/>
      <c r="M30" s="249"/>
      <c r="N30" s="184"/>
      <c r="O30" s="135"/>
    </row>
    <row r="31" spans="1:15" x14ac:dyDescent="0.2">
      <c r="A31" s="135"/>
      <c r="B31" s="167" t="s">
        <v>66</v>
      </c>
      <c r="C31" s="168" t="s">
        <v>126</v>
      </c>
      <c r="D31" s="169">
        <f>D12+D22</f>
        <v>698523.36081828561</v>
      </c>
      <c r="E31" s="170"/>
      <c r="F31" s="165">
        <f>F12+F22</f>
        <v>23645955.330000002</v>
      </c>
      <c r="G31" s="169"/>
      <c r="H31" s="267"/>
      <c r="I31" s="165">
        <f>I12+I22</f>
        <v>27173377.100000001</v>
      </c>
      <c r="J31" s="165"/>
      <c r="K31" s="165">
        <f>I31-F31</f>
        <v>3527421.7699999996</v>
      </c>
      <c r="L31" s="172">
        <f>IFERROR(ROUND(K31/F31,5), )</f>
        <v>0.14918000000000001</v>
      </c>
      <c r="M31" s="249"/>
      <c r="N31" s="184"/>
      <c r="O31" s="135"/>
    </row>
    <row r="32" spans="1:15" x14ac:dyDescent="0.2">
      <c r="A32" s="135"/>
      <c r="B32" s="163" t="s">
        <v>65</v>
      </c>
      <c r="C32" s="135" t="s">
        <v>127</v>
      </c>
      <c r="D32" s="169">
        <f>D13+D23</f>
        <v>222203870.67539161</v>
      </c>
      <c r="E32" s="174"/>
      <c r="F32" s="165">
        <f>F13+F23</f>
        <v>84339701.150000006</v>
      </c>
      <c r="G32" s="169"/>
      <c r="H32" s="268"/>
      <c r="I32" s="165">
        <f>I13+I23</f>
        <v>92201274.099999994</v>
      </c>
      <c r="J32" s="165"/>
      <c r="K32" s="165">
        <f>I32-F32</f>
        <v>7861572.9499999881</v>
      </c>
      <c r="L32" s="172">
        <f>IFERROR(ROUND(K32/F32,5), )</f>
        <v>9.3210000000000001E-2</v>
      </c>
      <c r="M32" s="249"/>
      <c r="N32" s="184"/>
      <c r="O32" s="135"/>
    </row>
    <row r="33" spans="1:15" x14ac:dyDescent="0.2">
      <c r="A33" s="135"/>
      <c r="B33" s="163" t="s">
        <v>68</v>
      </c>
      <c r="C33" s="135" t="s">
        <v>127</v>
      </c>
      <c r="D33" s="169">
        <f>D14</f>
        <v>222166912.14539161</v>
      </c>
      <c r="E33" s="174"/>
      <c r="F33" s="165">
        <f>F14</f>
        <v>3045908.37</v>
      </c>
      <c r="G33" s="169"/>
      <c r="H33" s="268"/>
      <c r="I33" s="165">
        <f>I14</f>
        <v>3314730.33</v>
      </c>
      <c r="J33" s="165"/>
      <c r="K33" s="165">
        <f>I33-F33</f>
        <v>268821.95999999996</v>
      </c>
      <c r="L33" s="172">
        <f>IFERROR(ROUND(K33/F33,5), )</f>
        <v>8.8260000000000005E-2</v>
      </c>
      <c r="M33" s="249"/>
      <c r="N33" s="184"/>
      <c r="O33" s="135"/>
    </row>
    <row r="34" spans="1:15" x14ac:dyDescent="0.2">
      <c r="A34" s="135"/>
      <c r="B34" s="185" t="s">
        <v>130</v>
      </c>
      <c r="C34" s="178"/>
      <c r="D34" s="169"/>
      <c r="E34" s="154"/>
      <c r="F34" s="179">
        <f>SUM(F31:F33)</f>
        <v>111031564.85000001</v>
      </c>
      <c r="G34" s="169"/>
      <c r="H34" s="169"/>
      <c r="I34" s="179">
        <f>SUM(I31:I33)</f>
        <v>122689381.52999999</v>
      </c>
      <c r="J34" s="165"/>
      <c r="K34" s="179">
        <f>SUM(K31:K33)</f>
        <v>11657816.679999989</v>
      </c>
      <c r="L34" s="180">
        <f>IFERROR(ROUND(K34/F34,5), )</f>
        <v>0.105</v>
      </c>
      <c r="M34" s="249"/>
      <c r="N34" s="184"/>
      <c r="O34" s="135"/>
    </row>
    <row r="35" spans="1:15" x14ac:dyDescent="0.2">
      <c r="A35" s="135"/>
      <c r="B35" s="185"/>
      <c r="C35" s="178"/>
      <c r="D35" s="169"/>
      <c r="E35" s="154"/>
      <c r="F35" s="165"/>
      <c r="G35" s="169"/>
      <c r="H35" s="169"/>
      <c r="I35" s="165"/>
      <c r="J35" s="165"/>
      <c r="K35" s="165"/>
      <c r="L35" s="172"/>
      <c r="M35" s="249"/>
      <c r="N35" s="184"/>
      <c r="O35" s="135"/>
    </row>
    <row r="36" spans="1:15" x14ac:dyDescent="0.2">
      <c r="A36" s="135"/>
      <c r="B36" s="185" t="s">
        <v>129</v>
      </c>
      <c r="C36" s="135"/>
      <c r="D36" s="154"/>
      <c r="E36" s="135"/>
      <c r="F36" s="179">
        <f>F34</f>
        <v>111031564.85000001</v>
      </c>
      <c r="G36" s="257"/>
      <c r="H36" s="258"/>
      <c r="I36" s="179">
        <f>I34</f>
        <v>122689381.52999999</v>
      </c>
      <c r="J36" s="165"/>
      <c r="K36" s="179">
        <f>K34</f>
        <v>11657816.679999989</v>
      </c>
      <c r="L36" s="180">
        <f>ROUND(K36/F36,5)</f>
        <v>0.105</v>
      </c>
      <c r="M36" s="249"/>
      <c r="N36" s="184"/>
      <c r="O36" s="135"/>
    </row>
    <row r="37" spans="1:15" x14ac:dyDescent="0.2">
      <c r="A37" s="135"/>
      <c r="B37" s="259"/>
      <c r="C37" s="260"/>
      <c r="D37" s="188"/>
      <c r="E37" s="261"/>
      <c r="F37" s="262"/>
      <c r="G37" s="188"/>
      <c r="H37" s="263"/>
      <c r="I37" s="189"/>
      <c r="J37" s="264"/>
      <c r="K37" s="264"/>
      <c r="L37" s="265"/>
      <c r="M37" s="249"/>
      <c r="N37" s="184"/>
      <c r="O37" s="135"/>
    </row>
    <row r="38" spans="1:15" x14ac:dyDescent="0.2">
      <c r="A38" s="135"/>
      <c r="B38" s="135"/>
      <c r="C38" s="135"/>
      <c r="D38" s="154"/>
      <c r="E38" s="135"/>
      <c r="F38" s="155"/>
      <c r="G38" s="257"/>
      <c r="H38" s="258"/>
      <c r="I38" s="155"/>
      <c r="J38" s="155"/>
      <c r="K38" s="165"/>
      <c r="L38" s="266"/>
      <c r="M38" s="249"/>
      <c r="N38" s="184"/>
      <c r="O38" s="135"/>
    </row>
    <row r="39" spans="1:15" x14ac:dyDescent="0.2">
      <c r="B39" s="192" t="s">
        <v>89</v>
      </c>
      <c r="C39" s="247"/>
      <c r="D39" s="158"/>
      <c r="E39" s="159"/>
      <c r="F39" s="161"/>
      <c r="G39" s="158"/>
      <c r="H39" s="158"/>
      <c r="I39" s="161"/>
      <c r="J39" s="161"/>
      <c r="K39" s="161"/>
      <c r="L39" s="194"/>
      <c r="M39" s="249"/>
      <c r="N39" s="184"/>
    </row>
    <row r="40" spans="1:15" x14ac:dyDescent="0.2">
      <c r="B40" s="195"/>
      <c r="C40" s="135"/>
      <c r="D40" s="154"/>
      <c r="E40" s="154"/>
      <c r="F40" s="165"/>
      <c r="G40" s="197"/>
      <c r="H40" s="154"/>
      <c r="I40" s="165"/>
      <c r="J40" s="165"/>
      <c r="K40" s="165"/>
      <c r="L40" s="172"/>
      <c r="M40" s="249"/>
      <c r="N40" s="184"/>
      <c r="O40" s="269" t="s">
        <v>142</v>
      </c>
    </row>
    <row r="41" spans="1:15" x14ac:dyDescent="0.2">
      <c r="B41" s="167" t="s">
        <v>66</v>
      </c>
      <c r="C41" s="168" t="s">
        <v>126</v>
      </c>
      <c r="D41" s="169">
        <v>14991.599999999999</v>
      </c>
      <c r="E41" s="170">
        <v>113.4</v>
      </c>
      <c r="F41" s="165">
        <f>ROUND(D41*E41,2)</f>
        <v>1700047.44</v>
      </c>
      <c r="G41" s="169"/>
      <c r="H41" s="200">
        <v>130.33000000000001</v>
      </c>
      <c r="I41" s="165">
        <f>ROUND(D41*H41,2)</f>
        <v>1953855.23</v>
      </c>
      <c r="J41" s="165"/>
      <c r="K41" s="165">
        <f>I41-F41</f>
        <v>253807.79000000004</v>
      </c>
      <c r="L41" s="166">
        <f t="shared" ref="L41:L43" si="0">IFERROR(ROUND(K41/F41,5), )</f>
        <v>0.14929000000000001</v>
      </c>
      <c r="M41" s="249"/>
      <c r="N41" s="184"/>
      <c r="O41" s="251">
        <f>'Exh JDT-5 (JDT-Rate Spread)'!H56</f>
        <v>22360721.665522646</v>
      </c>
    </row>
    <row r="42" spans="1:15" x14ac:dyDescent="0.2">
      <c r="B42" s="195" t="s">
        <v>67</v>
      </c>
      <c r="C42" s="168" t="s">
        <v>126</v>
      </c>
      <c r="D42" s="169">
        <f>D41</f>
        <v>14991.599999999999</v>
      </c>
      <c r="E42" s="170">
        <v>123.82</v>
      </c>
      <c r="F42" s="155">
        <f>D42*E42</f>
        <v>1856259.9119999998</v>
      </c>
      <c r="G42" s="169"/>
      <c r="H42" s="200">
        <f>ROUND(H46*900,2)</f>
        <v>126.65</v>
      </c>
      <c r="I42" s="155">
        <f>ROUND(D42*H42,2)</f>
        <v>1898686.14</v>
      </c>
      <c r="J42" s="155"/>
      <c r="K42" s="165">
        <f>I42-F42</f>
        <v>42426.228000000119</v>
      </c>
      <c r="L42" s="166">
        <f t="shared" si="0"/>
        <v>2.2859999999999998E-2</v>
      </c>
      <c r="M42" s="249"/>
      <c r="N42" s="152"/>
      <c r="O42" s="270" t="s">
        <v>128</v>
      </c>
    </row>
    <row r="43" spans="1:15" x14ac:dyDescent="0.2">
      <c r="B43" s="195" t="s">
        <v>143</v>
      </c>
      <c r="C43" s="135" t="s">
        <v>144</v>
      </c>
      <c r="D43" s="169">
        <v>4828804.7110000001</v>
      </c>
      <c r="E43" s="170">
        <v>1.25</v>
      </c>
      <c r="F43" s="155">
        <f>ROUND(D43*E43,2)</f>
        <v>6036005.8899999997</v>
      </c>
      <c r="G43" s="169"/>
      <c r="H43" s="200">
        <f>ROUND(E43*(1+$O$45),2)</f>
        <v>1.38</v>
      </c>
      <c r="I43" s="155">
        <f>ROUND(D43*H43,2)</f>
        <v>6663750.5</v>
      </c>
      <c r="J43" s="155"/>
      <c r="K43" s="165">
        <f>I43-F43</f>
        <v>627744.61000000034</v>
      </c>
      <c r="L43" s="166">
        <f t="shared" si="0"/>
        <v>0.104</v>
      </c>
      <c r="M43" s="249"/>
      <c r="N43" s="152"/>
      <c r="O43" s="253">
        <f>I86-O41</f>
        <v>8.6734168641269207</v>
      </c>
    </row>
    <row r="44" spans="1:15" x14ac:dyDescent="0.2">
      <c r="B44" s="195"/>
      <c r="C44" s="135"/>
      <c r="D44" s="169"/>
      <c r="E44" s="170"/>
      <c r="F44" s="252"/>
      <c r="G44" s="169"/>
      <c r="H44" s="170"/>
      <c r="I44" s="155"/>
      <c r="J44" s="155"/>
      <c r="K44" s="202"/>
      <c r="L44" s="271"/>
      <c r="M44" s="249"/>
      <c r="N44" s="152"/>
      <c r="O44" s="272"/>
    </row>
    <row r="45" spans="1:15" x14ac:dyDescent="0.2">
      <c r="B45" s="195" t="s">
        <v>145</v>
      </c>
      <c r="C45" s="135"/>
      <c r="D45" s="169"/>
      <c r="E45" s="170"/>
      <c r="F45" s="155"/>
      <c r="G45" s="169"/>
      <c r="H45" s="170"/>
      <c r="I45" s="155"/>
      <c r="J45" s="155"/>
      <c r="K45" s="202"/>
      <c r="L45" s="271"/>
      <c r="M45" s="249"/>
      <c r="N45" s="152"/>
      <c r="O45" s="256">
        <f>'Exh JDT-5 (JDT-Rate Spread)'!H59</f>
        <v>0.10036032962075625</v>
      </c>
    </row>
    <row r="46" spans="1:15" x14ac:dyDescent="0.2">
      <c r="B46" s="195" t="s">
        <v>90</v>
      </c>
      <c r="C46" s="135" t="s">
        <v>127</v>
      </c>
      <c r="D46" s="169">
        <v>12213411.474000001</v>
      </c>
      <c r="E46" s="174">
        <v>0.13758000000000001</v>
      </c>
      <c r="F46" s="165" t="s">
        <v>146</v>
      </c>
      <c r="G46" s="169"/>
      <c r="H46" s="175">
        <f>H47</f>
        <v>0.14072124633258759</v>
      </c>
      <c r="I46" s="165" t="s">
        <v>146</v>
      </c>
      <c r="J46" s="165"/>
      <c r="K46" s="165"/>
      <c r="L46" s="172"/>
      <c r="M46" s="249"/>
      <c r="N46" s="184"/>
    </row>
    <row r="47" spans="1:15" x14ac:dyDescent="0.2">
      <c r="B47" s="195" t="s">
        <v>91</v>
      </c>
      <c r="C47" s="135" t="s">
        <v>127</v>
      </c>
      <c r="D47" s="169">
        <v>27469287.989699997</v>
      </c>
      <c r="E47" s="174">
        <v>0.13758000000000001</v>
      </c>
      <c r="F47" s="165">
        <f>ROUND(D47*E47,2)</f>
        <v>3779224.64</v>
      </c>
      <c r="G47" s="169"/>
      <c r="H47" s="175">
        <v>0.14072124633258759</v>
      </c>
      <c r="I47" s="165">
        <f>ROUND(D47*H47,2)</f>
        <v>3865512.44</v>
      </c>
      <c r="J47" s="165"/>
      <c r="K47" s="165">
        <f>I47-F47</f>
        <v>86287.799999999814</v>
      </c>
      <c r="L47" s="166">
        <f t="shared" ref="L47:L48" si="1">IFERROR(ROUND(K47/F47,5), )</f>
        <v>2.283E-2</v>
      </c>
      <c r="M47" s="249"/>
      <c r="N47" s="184"/>
    </row>
    <row r="48" spans="1:15" x14ac:dyDescent="0.2">
      <c r="B48" s="195" t="s">
        <v>92</v>
      </c>
      <c r="C48" s="135" t="s">
        <v>127</v>
      </c>
      <c r="D48" s="169">
        <v>22835291.693248168</v>
      </c>
      <c r="E48" s="174">
        <v>0.11074000000000001</v>
      </c>
      <c r="F48" s="165">
        <f>ROUND(D48*E48,2)</f>
        <v>2528780.2000000002</v>
      </c>
      <c r="G48" s="169"/>
      <c r="H48" s="175">
        <f>ROUND(E48*(1+$O$45),5)</f>
        <v>0.12185</v>
      </c>
      <c r="I48" s="165">
        <f>ROUND(D48*H48,2)</f>
        <v>2782480.29</v>
      </c>
      <c r="J48" s="165"/>
      <c r="K48" s="165">
        <f>I48-F48</f>
        <v>253700.08999999985</v>
      </c>
      <c r="L48" s="166">
        <f t="shared" si="1"/>
        <v>0.10033</v>
      </c>
      <c r="M48" s="249"/>
      <c r="N48" s="184"/>
      <c r="O48" s="196"/>
    </row>
    <row r="49" spans="1:16" s="130" customFormat="1" x14ac:dyDescent="0.2">
      <c r="A49" s="154"/>
      <c r="B49" s="167" t="s">
        <v>147</v>
      </c>
      <c r="C49" s="178"/>
      <c r="D49" s="273">
        <f>SUM(D46:D48)</f>
        <v>62517991.156948164</v>
      </c>
      <c r="E49" s="131"/>
      <c r="F49" s="155"/>
      <c r="G49" s="169"/>
      <c r="H49" s="169"/>
      <c r="I49" s="154"/>
      <c r="J49" s="154"/>
      <c r="K49" s="154"/>
      <c r="L49" s="274"/>
      <c r="M49" s="275"/>
      <c r="N49" s="276"/>
      <c r="O49" s="154"/>
    </row>
    <row r="50" spans="1:16" s="130" customFormat="1" x14ac:dyDescent="0.2">
      <c r="A50" s="154"/>
      <c r="B50" s="167" t="s">
        <v>68</v>
      </c>
      <c r="C50" s="135" t="s">
        <v>127</v>
      </c>
      <c r="D50" s="169">
        <f>D49</f>
        <v>62517991.156948164</v>
      </c>
      <c r="E50" s="277">
        <v>1.005E-2</v>
      </c>
      <c r="F50" s="155">
        <f>D50*E50</f>
        <v>628305.81112732901</v>
      </c>
      <c r="G50" s="169"/>
      <c r="H50" s="175">
        <f>ROUND('Exh JDT-5 (JDT-Procmnt Chrg)'!F17,5)</f>
        <v>1.119E-2</v>
      </c>
      <c r="I50" s="155">
        <f>D50*H50</f>
        <v>699576.32104624994</v>
      </c>
      <c r="J50" s="155"/>
      <c r="K50" s="165">
        <f>I50-F50</f>
        <v>71270.509918920929</v>
      </c>
      <c r="L50" s="166">
        <f>IFERROR(ROUND(K50/F50,5), )</f>
        <v>0.11343</v>
      </c>
      <c r="M50" s="275"/>
      <c r="N50" s="276"/>
      <c r="O50" s="154"/>
      <c r="P50" s="278"/>
    </row>
    <row r="51" spans="1:16" x14ac:dyDescent="0.2">
      <c r="B51" s="185" t="s">
        <v>130</v>
      </c>
      <c r="C51" s="178"/>
      <c r="D51" s="273"/>
      <c r="E51" s="131"/>
      <c r="F51" s="279">
        <f>SUM(F41:F50)</f>
        <v>16528623.893127328</v>
      </c>
      <c r="G51" s="169"/>
      <c r="H51" s="169"/>
      <c r="I51" s="279">
        <f>SUM(I41:I43,I47:I50)</f>
        <v>17863860.92104625</v>
      </c>
      <c r="J51" s="155"/>
      <c r="K51" s="279">
        <f>SUM(K41:K50)</f>
        <v>1335237.0279189211</v>
      </c>
      <c r="L51" s="180">
        <f>ROUND(K51/F51,5)</f>
        <v>8.0780000000000005E-2</v>
      </c>
      <c r="M51" s="249"/>
      <c r="N51" s="184"/>
      <c r="O51" s="280"/>
    </row>
    <row r="52" spans="1:16" x14ac:dyDescent="0.2">
      <c r="B52" s="167"/>
      <c r="C52" s="178"/>
      <c r="D52" s="169"/>
      <c r="E52" s="135"/>
      <c r="F52" s="165"/>
      <c r="G52" s="169"/>
      <c r="H52" s="169"/>
      <c r="I52" s="155"/>
      <c r="J52" s="155"/>
      <c r="K52" s="165"/>
      <c r="L52" s="172"/>
      <c r="M52" s="249"/>
      <c r="N52" s="184"/>
      <c r="O52" s="281"/>
    </row>
    <row r="53" spans="1:16" x14ac:dyDescent="0.2">
      <c r="B53" s="167" t="s">
        <v>129</v>
      </c>
      <c r="C53" s="178"/>
      <c r="D53" s="154"/>
      <c r="E53" s="169"/>
      <c r="F53" s="279">
        <f>+F51</f>
        <v>16528623.893127328</v>
      </c>
      <c r="G53" s="169"/>
      <c r="H53" s="169"/>
      <c r="I53" s="279">
        <f>+I51</f>
        <v>17863860.92104625</v>
      </c>
      <c r="J53" s="155"/>
      <c r="K53" s="179">
        <f>K51</f>
        <v>1335237.0279189211</v>
      </c>
      <c r="L53" s="180">
        <f>ROUND(K53/F53,5)</f>
        <v>8.0780000000000005E-2</v>
      </c>
      <c r="M53" s="249"/>
      <c r="N53" s="184"/>
      <c r="O53" s="154"/>
    </row>
    <row r="54" spans="1:16" s="130" customFormat="1" x14ac:dyDescent="0.2">
      <c r="B54" s="187"/>
      <c r="C54" s="188"/>
      <c r="D54" s="188"/>
      <c r="E54" s="188"/>
      <c r="F54" s="189"/>
      <c r="G54" s="188"/>
      <c r="H54" s="188"/>
      <c r="I54" s="262"/>
      <c r="J54" s="262"/>
      <c r="K54" s="189"/>
      <c r="L54" s="191"/>
      <c r="M54" s="275"/>
      <c r="N54" s="276"/>
      <c r="O54" s="154"/>
    </row>
    <row r="55" spans="1:16" s="130" customFormat="1" x14ac:dyDescent="0.2">
      <c r="A55" s="154"/>
      <c r="B55" s="154"/>
      <c r="C55" s="154"/>
      <c r="D55" s="154"/>
      <c r="E55" s="154"/>
      <c r="F55" s="196"/>
      <c r="G55" s="154"/>
      <c r="H55" s="154"/>
      <c r="I55" s="201"/>
      <c r="J55" s="201"/>
      <c r="K55" s="196"/>
      <c r="L55" s="282"/>
      <c r="M55" s="275"/>
      <c r="N55" s="276"/>
      <c r="O55" s="154"/>
    </row>
    <row r="56" spans="1:16" s="130" customFormat="1" x14ac:dyDescent="0.2">
      <c r="A56" s="154"/>
      <c r="B56" s="192" t="s">
        <v>93</v>
      </c>
      <c r="C56" s="247"/>
      <c r="D56" s="158"/>
      <c r="E56" s="159"/>
      <c r="F56" s="161"/>
      <c r="G56" s="158"/>
      <c r="H56" s="158"/>
      <c r="I56" s="161"/>
      <c r="J56" s="161"/>
      <c r="K56" s="161"/>
      <c r="L56" s="194"/>
      <c r="M56" s="275"/>
      <c r="N56" s="276"/>
      <c r="O56" s="154"/>
    </row>
    <row r="57" spans="1:16" s="130" customFormat="1" x14ac:dyDescent="0.2">
      <c r="A57" s="154"/>
      <c r="B57" s="195"/>
      <c r="C57" s="135"/>
      <c r="D57" s="154"/>
      <c r="E57" s="154"/>
      <c r="F57" s="165"/>
      <c r="G57" s="197"/>
      <c r="H57" s="154"/>
      <c r="I57" s="165"/>
      <c r="J57" s="165"/>
      <c r="K57" s="165"/>
      <c r="L57" s="172"/>
      <c r="M57" s="275"/>
      <c r="N57" s="276"/>
      <c r="O57" s="154"/>
    </row>
    <row r="58" spans="1:16" s="130" customFormat="1" x14ac:dyDescent="0.2">
      <c r="A58" s="154"/>
      <c r="B58" s="167" t="s">
        <v>66</v>
      </c>
      <c r="C58" s="168" t="s">
        <v>126</v>
      </c>
      <c r="D58" s="169">
        <v>1040</v>
      </c>
      <c r="E58" s="170">
        <v>422.79</v>
      </c>
      <c r="F58" s="165">
        <f>ROUND(D58*E58,2)</f>
        <v>439701.6</v>
      </c>
      <c r="G58" s="169"/>
      <c r="H58" s="200">
        <f>E58</f>
        <v>422.79</v>
      </c>
      <c r="I58" s="165">
        <f>ROUND(D58*H58,2)</f>
        <v>439701.6</v>
      </c>
      <c r="J58" s="165"/>
      <c r="K58" s="165">
        <f>I58-F58</f>
        <v>0</v>
      </c>
      <c r="L58" s="166">
        <f t="shared" ref="L58:L60" si="2">IFERROR(ROUND(K58/F58,5), )</f>
        <v>0</v>
      </c>
      <c r="M58" s="275"/>
      <c r="N58" s="276"/>
      <c r="O58" s="168"/>
    </row>
    <row r="59" spans="1:16" s="130" customFormat="1" x14ac:dyDescent="0.2">
      <c r="A59" s="154"/>
      <c r="B59" s="195" t="s">
        <v>67</v>
      </c>
      <c r="C59" s="168" t="s">
        <v>126</v>
      </c>
      <c r="D59" s="169">
        <f>D58</f>
        <v>1040</v>
      </c>
      <c r="E59" s="170">
        <v>123.82</v>
      </c>
      <c r="F59" s="155">
        <f>D59*E59</f>
        <v>128772.79999999999</v>
      </c>
      <c r="G59" s="169"/>
      <c r="H59" s="200">
        <f>H42</f>
        <v>126.65</v>
      </c>
      <c r="I59" s="155">
        <f>ROUND(D59*H59,2)</f>
        <v>131716</v>
      </c>
      <c r="J59" s="155"/>
      <c r="K59" s="165">
        <f>I59-F59</f>
        <v>2943.2000000000116</v>
      </c>
      <c r="L59" s="166">
        <f t="shared" si="2"/>
        <v>2.2859999999999998E-2</v>
      </c>
      <c r="M59" s="275"/>
      <c r="N59" s="276"/>
      <c r="O59" s="154"/>
    </row>
    <row r="60" spans="1:16" s="130" customFormat="1" x14ac:dyDescent="0.2">
      <c r="A60" s="154"/>
      <c r="B60" s="195" t="s">
        <v>143</v>
      </c>
      <c r="C60" s="135" t="s">
        <v>144</v>
      </c>
      <c r="D60" s="169">
        <v>1163206.9669999999</v>
      </c>
      <c r="E60" s="170">
        <v>1.25</v>
      </c>
      <c r="F60" s="155">
        <f>ROUND(D60*E60,2)</f>
        <v>1454008.71</v>
      </c>
      <c r="G60" s="169"/>
      <c r="H60" s="200">
        <f>H43</f>
        <v>1.38</v>
      </c>
      <c r="I60" s="155">
        <f>ROUND(D60*H60,2)</f>
        <v>1605225.61</v>
      </c>
      <c r="J60" s="154"/>
      <c r="K60" s="165">
        <f>I60-F60</f>
        <v>151216.90000000014</v>
      </c>
      <c r="L60" s="166">
        <f t="shared" si="2"/>
        <v>0.104</v>
      </c>
      <c r="M60" s="275"/>
      <c r="N60" s="276"/>
      <c r="O60" s="154"/>
    </row>
    <row r="61" spans="1:16" s="130" customFormat="1" x14ac:dyDescent="0.2">
      <c r="A61" s="154"/>
      <c r="B61" s="195"/>
      <c r="C61" s="135"/>
      <c r="D61" s="169"/>
      <c r="E61" s="170"/>
      <c r="F61" s="155"/>
      <c r="G61" s="169"/>
      <c r="H61" s="170"/>
      <c r="I61" s="155"/>
      <c r="J61" s="155"/>
      <c r="K61" s="202"/>
      <c r="L61" s="271"/>
      <c r="M61" s="275"/>
      <c r="N61" s="276"/>
      <c r="O61" s="154"/>
    </row>
    <row r="62" spans="1:16" s="130" customFormat="1" x14ac:dyDescent="0.2">
      <c r="A62" s="154"/>
      <c r="B62" s="195" t="s">
        <v>145</v>
      </c>
      <c r="C62" s="135"/>
      <c r="D62" s="169"/>
      <c r="E62" s="170"/>
      <c r="F62" s="165"/>
      <c r="G62" s="169"/>
      <c r="H62" s="170"/>
      <c r="I62" s="155"/>
      <c r="J62" s="155"/>
      <c r="K62" s="202"/>
      <c r="L62" s="271"/>
      <c r="M62" s="275"/>
      <c r="N62" s="276"/>
      <c r="O62" s="154"/>
    </row>
    <row r="63" spans="1:16" s="130" customFormat="1" x14ac:dyDescent="0.2">
      <c r="A63" s="154"/>
      <c r="B63" s="195" t="s">
        <v>90</v>
      </c>
      <c r="C63" s="135" t="s">
        <v>127</v>
      </c>
      <c r="D63" s="169">
        <v>1057148.28</v>
      </c>
      <c r="E63" s="174">
        <v>0.13758000000000001</v>
      </c>
      <c r="F63" s="165" t="s">
        <v>146</v>
      </c>
      <c r="G63" s="169"/>
      <c r="H63" s="175">
        <f>H46</f>
        <v>0.14072124633258759</v>
      </c>
      <c r="I63" s="165" t="s">
        <v>146</v>
      </c>
      <c r="J63" s="165"/>
      <c r="K63" s="165"/>
      <c r="L63" s="172"/>
      <c r="M63" s="275"/>
      <c r="N63" s="276"/>
      <c r="O63" s="154"/>
    </row>
    <row r="64" spans="1:16" s="130" customFormat="1" x14ac:dyDescent="0.2">
      <c r="A64" s="154"/>
      <c r="B64" s="195" t="s">
        <v>91</v>
      </c>
      <c r="C64" s="135" t="s">
        <v>127</v>
      </c>
      <c r="D64" s="169">
        <v>3901926.5700000003</v>
      </c>
      <c r="E64" s="174">
        <v>0.13758000000000001</v>
      </c>
      <c r="F64" s="165">
        <f>D64*E64</f>
        <v>536827.05750060012</v>
      </c>
      <c r="G64" s="169"/>
      <c r="H64" s="175">
        <f>H47</f>
        <v>0.14072124633258759</v>
      </c>
      <c r="I64" s="165">
        <f>H64*D64</f>
        <v>549083.97002863861</v>
      </c>
      <c r="J64" s="165"/>
      <c r="K64" s="165">
        <f>I64-F64</f>
        <v>12256.912528038491</v>
      </c>
      <c r="L64" s="166">
        <f t="shared" ref="L64:L65" si="3">IFERROR(ROUND(K64/F64,5), )</f>
        <v>2.283E-2</v>
      </c>
      <c r="M64" s="275"/>
      <c r="N64" s="276"/>
      <c r="O64" s="154"/>
    </row>
    <row r="65" spans="1:15" s="130" customFormat="1" x14ac:dyDescent="0.2">
      <c r="A65" s="154"/>
      <c r="B65" s="195" t="s">
        <v>92</v>
      </c>
      <c r="C65" s="135" t="s">
        <v>127</v>
      </c>
      <c r="D65" s="169">
        <v>14535430.758019032</v>
      </c>
      <c r="E65" s="174">
        <v>0.11074000000000001</v>
      </c>
      <c r="F65" s="165">
        <f>D65*E65</f>
        <v>1609653.6021430276</v>
      </c>
      <c r="G65" s="169"/>
      <c r="H65" s="175">
        <f>H48</f>
        <v>0.12185</v>
      </c>
      <c r="I65" s="165">
        <f>H65*D65</f>
        <v>1771142.2378646191</v>
      </c>
      <c r="J65" s="165"/>
      <c r="K65" s="165">
        <f>I65-F65</f>
        <v>161488.63572159153</v>
      </c>
      <c r="L65" s="166">
        <f t="shared" si="3"/>
        <v>0.10033</v>
      </c>
      <c r="M65" s="275"/>
      <c r="N65" s="276"/>
      <c r="O65" s="154"/>
    </row>
    <row r="66" spans="1:15" s="130" customFormat="1" x14ac:dyDescent="0.2">
      <c r="A66" s="154"/>
      <c r="B66" s="167" t="s">
        <v>147</v>
      </c>
      <c r="C66" s="178"/>
      <c r="D66" s="273">
        <f>SUM(D63:D65)</f>
        <v>19494505.608019032</v>
      </c>
      <c r="E66" s="131"/>
      <c r="F66" s="155"/>
      <c r="G66" s="169"/>
      <c r="H66" s="169"/>
      <c r="I66" s="154"/>
      <c r="J66" s="154"/>
      <c r="K66" s="154"/>
      <c r="L66" s="274"/>
      <c r="M66" s="275"/>
      <c r="N66" s="276"/>
      <c r="O66" s="154"/>
    </row>
    <row r="67" spans="1:15" s="130" customFormat="1" x14ac:dyDescent="0.2">
      <c r="A67" s="154"/>
      <c r="B67" s="185" t="s">
        <v>130</v>
      </c>
      <c r="C67" s="178"/>
      <c r="D67" s="169"/>
      <c r="E67" s="131"/>
      <c r="F67" s="279">
        <f>SUM(F58:F66)</f>
        <v>4168963.769643628</v>
      </c>
      <c r="G67" s="169"/>
      <c r="H67" s="169"/>
      <c r="I67" s="279">
        <f>SUM(I58:I66)</f>
        <v>4496869.4178932579</v>
      </c>
      <c r="J67" s="155"/>
      <c r="K67" s="279">
        <f>SUM(K58:K66)</f>
        <v>327905.64824963018</v>
      </c>
      <c r="L67" s="180">
        <f>ROUND(K67/F67,5)</f>
        <v>7.8649999999999998E-2</v>
      </c>
      <c r="M67" s="275"/>
      <c r="N67" s="276"/>
      <c r="O67" s="154"/>
    </row>
    <row r="68" spans="1:15" s="130" customFormat="1" x14ac:dyDescent="0.2">
      <c r="A68" s="154"/>
      <c r="B68" s="167"/>
      <c r="C68" s="178"/>
      <c r="D68" s="169"/>
      <c r="E68" s="131"/>
      <c r="F68" s="155"/>
      <c r="G68" s="169"/>
      <c r="H68" s="169"/>
      <c r="I68" s="155"/>
      <c r="J68" s="155"/>
      <c r="K68" s="165"/>
      <c r="L68" s="172"/>
      <c r="M68" s="275"/>
      <c r="N68" s="276"/>
      <c r="O68" s="283"/>
    </row>
    <row r="69" spans="1:15" s="130" customFormat="1" x14ac:dyDescent="0.2">
      <c r="A69" s="154"/>
      <c r="B69" s="195" t="s">
        <v>129</v>
      </c>
      <c r="C69" s="135"/>
      <c r="D69" s="169"/>
      <c r="E69" s="174"/>
      <c r="F69" s="279">
        <f>F67</f>
        <v>4168963.769643628</v>
      </c>
      <c r="G69" s="154"/>
      <c r="H69" s="170"/>
      <c r="I69" s="279">
        <f>I67</f>
        <v>4496869.4178932579</v>
      </c>
      <c r="J69" s="165"/>
      <c r="K69" s="179">
        <f>K67</f>
        <v>327905.64824963018</v>
      </c>
      <c r="L69" s="180">
        <f>ROUND(K69/F69,5)</f>
        <v>7.8649999999999998E-2</v>
      </c>
      <c r="M69" s="275"/>
      <c r="N69" s="276"/>
      <c r="O69" s="196"/>
    </row>
    <row r="70" spans="1:15" s="130" customFormat="1" x14ac:dyDescent="0.2">
      <c r="A70" s="154"/>
      <c r="B70" s="187"/>
      <c r="C70" s="188"/>
      <c r="D70" s="188"/>
      <c r="E70" s="188"/>
      <c r="F70" s="189"/>
      <c r="G70" s="188"/>
      <c r="H70" s="188"/>
      <c r="I70" s="262"/>
      <c r="J70" s="262"/>
      <c r="K70" s="189"/>
      <c r="L70" s="191"/>
      <c r="M70" s="275"/>
      <c r="N70" s="276"/>
      <c r="O70" s="283"/>
    </row>
    <row r="71" spans="1:15" s="130" customFormat="1" x14ac:dyDescent="0.2">
      <c r="A71" s="154"/>
      <c r="B71" s="154"/>
      <c r="C71" s="154"/>
      <c r="D71" s="154"/>
      <c r="E71" s="154"/>
      <c r="F71" s="196"/>
      <c r="G71" s="154"/>
      <c r="H71" s="154"/>
      <c r="I71" s="201"/>
      <c r="J71" s="201"/>
      <c r="K71" s="196"/>
      <c r="L71" s="282"/>
      <c r="M71" s="275"/>
      <c r="N71" s="276"/>
      <c r="O71" s="283"/>
    </row>
    <row r="72" spans="1:15" s="130" customFormat="1" x14ac:dyDescent="0.2">
      <c r="A72" s="154"/>
      <c r="B72" s="192" t="s">
        <v>148</v>
      </c>
      <c r="C72" s="247"/>
      <c r="D72" s="158"/>
      <c r="E72" s="159"/>
      <c r="F72" s="161"/>
      <c r="G72" s="158"/>
      <c r="H72" s="158"/>
      <c r="I72" s="161"/>
      <c r="J72" s="161"/>
      <c r="K72" s="161"/>
      <c r="L72" s="194"/>
      <c r="M72" s="275"/>
      <c r="N72" s="276"/>
      <c r="O72" s="283"/>
    </row>
    <row r="73" spans="1:15" s="130" customFormat="1" x14ac:dyDescent="0.2">
      <c r="A73" s="154"/>
      <c r="B73" s="163"/>
      <c r="C73" s="135"/>
      <c r="D73" s="154"/>
      <c r="E73" s="154"/>
      <c r="F73" s="165"/>
      <c r="G73" s="197"/>
      <c r="H73" s="154"/>
      <c r="I73" s="165"/>
      <c r="J73" s="165"/>
      <c r="K73" s="165"/>
      <c r="L73" s="172"/>
      <c r="M73" s="275"/>
      <c r="N73" s="276"/>
      <c r="O73" s="283"/>
    </row>
    <row r="74" spans="1:15" s="130" customFormat="1" x14ac:dyDescent="0.2">
      <c r="A74" s="154"/>
      <c r="B74" s="167" t="s">
        <v>66</v>
      </c>
      <c r="C74" s="168" t="s">
        <v>126</v>
      </c>
      <c r="D74" s="169">
        <f>D58+D41</f>
        <v>16031.599999999999</v>
      </c>
      <c r="E74" s="170"/>
      <c r="F74" s="165">
        <f>F58+F41</f>
        <v>2139749.04</v>
      </c>
      <c r="G74" s="169"/>
      <c r="H74" s="267"/>
      <c r="I74" s="165">
        <f>I58+I41</f>
        <v>2393556.83</v>
      </c>
      <c r="J74" s="165"/>
      <c r="K74" s="165">
        <f>K58+K41</f>
        <v>253807.79000000004</v>
      </c>
      <c r="L74" s="166">
        <f t="shared" ref="L74:L76" si="4">IFERROR(ROUND(K74/F74,5), )</f>
        <v>0.11862</v>
      </c>
      <c r="M74" s="275"/>
      <c r="N74" s="276"/>
      <c r="O74" s="283"/>
    </row>
    <row r="75" spans="1:15" s="130" customFormat="1" x14ac:dyDescent="0.2">
      <c r="A75" s="154"/>
      <c r="B75" s="195" t="s">
        <v>67</v>
      </c>
      <c r="C75" s="168" t="s">
        <v>126</v>
      </c>
      <c r="D75" s="169">
        <f>D74</f>
        <v>16031.599999999999</v>
      </c>
      <c r="E75" s="170"/>
      <c r="F75" s="165">
        <f>F59+F42</f>
        <v>1985032.7119999998</v>
      </c>
      <c r="G75" s="169"/>
      <c r="H75" s="170"/>
      <c r="I75" s="165">
        <f>I59+I42</f>
        <v>2030402.14</v>
      </c>
      <c r="J75" s="155"/>
      <c r="K75" s="165">
        <f>K59+K42</f>
        <v>45369.428000000131</v>
      </c>
      <c r="L75" s="166">
        <f t="shared" si="4"/>
        <v>2.2859999999999998E-2</v>
      </c>
      <c r="M75" s="275"/>
      <c r="N75" s="276"/>
      <c r="O75" s="283"/>
    </row>
    <row r="76" spans="1:15" s="130" customFormat="1" x14ac:dyDescent="0.2">
      <c r="A76" s="154"/>
      <c r="B76" s="163" t="s">
        <v>143</v>
      </c>
      <c r="C76" s="135" t="s">
        <v>144</v>
      </c>
      <c r="D76" s="169">
        <f>D60+D43</f>
        <v>5992011.6780000003</v>
      </c>
      <c r="E76" s="170"/>
      <c r="F76" s="165">
        <f>F60+F43</f>
        <v>7490014.5999999996</v>
      </c>
      <c r="G76" s="169"/>
      <c r="H76" s="267"/>
      <c r="I76" s="165">
        <f>I60+I43</f>
        <v>8268976.1100000003</v>
      </c>
      <c r="J76" s="155"/>
      <c r="K76" s="165">
        <f>K60+K43</f>
        <v>778961.51000000047</v>
      </c>
      <c r="L76" s="166">
        <f t="shared" si="4"/>
        <v>0.104</v>
      </c>
      <c r="M76" s="275"/>
      <c r="N76" s="276"/>
      <c r="O76" s="283"/>
    </row>
    <row r="77" spans="1:15" s="130" customFormat="1" x14ac:dyDescent="0.2">
      <c r="A77" s="154"/>
      <c r="B77" s="163"/>
      <c r="C77" s="135"/>
      <c r="D77" s="169"/>
      <c r="E77" s="170"/>
      <c r="F77" s="155"/>
      <c r="G77" s="169"/>
      <c r="H77" s="170"/>
      <c r="I77" s="155"/>
      <c r="J77" s="155"/>
      <c r="K77" s="202"/>
      <c r="L77" s="271"/>
      <c r="M77" s="275"/>
      <c r="N77" s="276"/>
      <c r="O77" s="283"/>
    </row>
    <row r="78" spans="1:15" s="130" customFormat="1" x14ac:dyDescent="0.2">
      <c r="A78" s="154"/>
      <c r="B78" s="163" t="s">
        <v>145</v>
      </c>
      <c r="C78" s="135"/>
      <c r="D78" s="169"/>
      <c r="E78" s="170"/>
      <c r="F78" s="165"/>
      <c r="G78" s="169"/>
      <c r="H78" s="170"/>
      <c r="I78" s="155"/>
      <c r="J78" s="155"/>
      <c r="K78" s="202"/>
      <c r="L78" s="271"/>
      <c r="M78" s="275"/>
      <c r="N78" s="276"/>
      <c r="O78" s="283"/>
    </row>
    <row r="79" spans="1:15" s="130" customFormat="1" x14ac:dyDescent="0.2">
      <c r="A79" s="154"/>
      <c r="B79" s="195" t="s">
        <v>90</v>
      </c>
      <c r="C79" s="135" t="s">
        <v>127</v>
      </c>
      <c r="D79" s="169">
        <f>D63+D46</f>
        <v>13270559.754000001</v>
      </c>
      <c r="E79" s="174"/>
      <c r="F79" s="165" t="s">
        <v>146</v>
      </c>
      <c r="G79" s="169"/>
      <c r="H79" s="174"/>
      <c r="I79" s="165" t="s">
        <v>146</v>
      </c>
      <c r="J79" s="165"/>
      <c r="K79" s="165"/>
      <c r="L79" s="172"/>
      <c r="M79" s="275"/>
      <c r="N79" s="276"/>
      <c r="O79" s="283"/>
    </row>
    <row r="80" spans="1:15" s="130" customFormat="1" x14ac:dyDescent="0.2">
      <c r="A80" s="154"/>
      <c r="B80" s="195" t="s">
        <v>91</v>
      </c>
      <c r="C80" s="135" t="s">
        <v>127</v>
      </c>
      <c r="D80" s="169">
        <f>D64+D47</f>
        <v>31371214.559699997</v>
      </c>
      <c r="E80" s="174"/>
      <c r="F80" s="165">
        <f>F64+F47</f>
        <v>4316051.6975006005</v>
      </c>
      <c r="G80" s="169"/>
      <c r="H80" s="174"/>
      <c r="I80" s="165">
        <f>I64+I47</f>
        <v>4414596.4100286383</v>
      </c>
      <c r="J80" s="165"/>
      <c r="K80" s="165">
        <f>K64+K47</f>
        <v>98544.712528038304</v>
      </c>
      <c r="L80" s="166">
        <f t="shared" ref="L80:L81" si="5">IFERROR(ROUND(K80/F80,5), )</f>
        <v>2.283E-2</v>
      </c>
      <c r="M80" s="275"/>
      <c r="N80" s="276"/>
      <c r="O80" s="283"/>
    </row>
    <row r="81" spans="1:15" s="130" customFormat="1" x14ac:dyDescent="0.2">
      <c r="A81" s="154"/>
      <c r="B81" s="195" t="s">
        <v>92</v>
      </c>
      <c r="C81" s="135" t="s">
        <v>127</v>
      </c>
      <c r="D81" s="190">
        <f>D65+D48</f>
        <v>37370722.451267198</v>
      </c>
      <c r="E81" s="174"/>
      <c r="F81" s="165">
        <f>F65+F48</f>
        <v>4138433.802143028</v>
      </c>
      <c r="G81" s="169"/>
      <c r="H81" s="174"/>
      <c r="I81" s="165">
        <f>I65+I48</f>
        <v>4553622.5278646192</v>
      </c>
      <c r="J81" s="165"/>
      <c r="K81" s="165">
        <f>K65+K48</f>
        <v>415188.72572159139</v>
      </c>
      <c r="L81" s="166">
        <f t="shared" si="5"/>
        <v>0.10033</v>
      </c>
      <c r="M81" s="275"/>
      <c r="N81" s="276"/>
      <c r="O81" s="283"/>
    </row>
    <row r="82" spans="1:15" s="130" customFormat="1" x14ac:dyDescent="0.2">
      <c r="A82" s="154"/>
      <c r="B82" s="185" t="s">
        <v>147</v>
      </c>
      <c r="C82" s="178"/>
      <c r="D82" s="273">
        <f>SUM(D79:D81)</f>
        <v>82012496.764967203</v>
      </c>
      <c r="E82" s="131"/>
      <c r="F82" s="155"/>
      <c r="G82" s="169"/>
      <c r="H82" s="169"/>
      <c r="I82" s="154"/>
      <c r="J82" s="154"/>
      <c r="K82" s="154"/>
      <c r="L82" s="274"/>
      <c r="M82" s="275"/>
      <c r="N82" s="276"/>
      <c r="O82" s="283"/>
    </row>
    <row r="83" spans="1:15" s="130" customFormat="1" x14ac:dyDescent="0.2">
      <c r="A83" s="154"/>
      <c r="B83" s="163" t="s">
        <v>68</v>
      </c>
      <c r="C83" s="135" t="s">
        <v>127</v>
      </c>
      <c r="D83" s="169">
        <f>D50</f>
        <v>62517991.156948164</v>
      </c>
      <c r="E83" s="174"/>
      <c r="F83" s="165">
        <f>F50</f>
        <v>628305.81112732901</v>
      </c>
      <c r="G83" s="169"/>
      <c r="H83" s="268"/>
      <c r="I83" s="165">
        <f>I50</f>
        <v>699576.32104624994</v>
      </c>
      <c r="J83" s="165"/>
      <c r="K83" s="165">
        <f>I83-F83</f>
        <v>71270.509918920929</v>
      </c>
      <c r="L83" s="172">
        <f>IFERROR(ROUND(K83/F83,5), )</f>
        <v>0.11343</v>
      </c>
      <c r="M83" s="275"/>
      <c r="N83" s="276"/>
      <c r="O83" s="283"/>
    </row>
    <row r="84" spans="1:15" s="130" customFormat="1" x14ac:dyDescent="0.2">
      <c r="A84" s="154"/>
      <c r="B84" s="185" t="s">
        <v>130</v>
      </c>
      <c r="C84" s="178"/>
      <c r="D84" s="169"/>
      <c r="E84" s="131"/>
      <c r="F84" s="279">
        <f>SUM(F74:F83)</f>
        <v>20697587.662770957</v>
      </c>
      <c r="G84" s="169"/>
      <c r="H84" s="169"/>
      <c r="I84" s="279">
        <f>SUM(I74:I83)</f>
        <v>22360730.33893951</v>
      </c>
      <c r="J84" s="155"/>
      <c r="K84" s="279">
        <f>SUM(K74:K82)</f>
        <v>1591872.1662496303</v>
      </c>
      <c r="L84" s="180">
        <f>ROUND(K84/F84,5)</f>
        <v>7.6910000000000006E-2</v>
      </c>
      <c r="M84" s="275"/>
      <c r="N84" s="276"/>
      <c r="O84" s="283"/>
    </row>
    <row r="85" spans="1:15" s="130" customFormat="1" x14ac:dyDescent="0.2">
      <c r="A85" s="154"/>
      <c r="B85" s="185"/>
      <c r="C85" s="178"/>
      <c r="D85" s="169"/>
      <c r="E85" s="131"/>
      <c r="F85" s="155"/>
      <c r="G85" s="169"/>
      <c r="H85" s="169"/>
      <c r="I85" s="155"/>
      <c r="J85" s="155"/>
      <c r="K85" s="165"/>
      <c r="L85" s="172"/>
      <c r="M85" s="275"/>
      <c r="N85" s="276"/>
      <c r="O85" s="283"/>
    </row>
    <row r="86" spans="1:15" s="130" customFormat="1" x14ac:dyDescent="0.2">
      <c r="A86" s="154"/>
      <c r="B86" s="163" t="s">
        <v>129</v>
      </c>
      <c r="C86" s="135"/>
      <c r="D86" s="169"/>
      <c r="E86" s="174"/>
      <c r="F86" s="279">
        <f>F84</f>
        <v>20697587.662770957</v>
      </c>
      <c r="G86" s="154"/>
      <c r="H86" s="170"/>
      <c r="I86" s="279">
        <f>I84</f>
        <v>22360730.33893951</v>
      </c>
      <c r="J86" s="165"/>
      <c r="K86" s="179">
        <f>K84</f>
        <v>1591872.1662496303</v>
      </c>
      <c r="L86" s="180">
        <f>ROUND(K86/F86,5)</f>
        <v>7.6910000000000006E-2</v>
      </c>
      <c r="M86" s="275"/>
      <c r="N86" s="276"/>
      <c r="O86" s="135"/>
    </row>
    <row r="87" spans="1:15" s="130" customFormat="1" x14ac:dyDescent="0.2">
      <c r="A87" s="154"/>
      <c r="B87" s="187"/>
      <c r="C87" s="188"/>
      <c r="D87" s="188"/>
      <c r="E87" s="188"/>
      <c r="F87" s="189"/>
      <c r="G87" s="188"/>
      <c r="H87" s="188"/>
      <c r="I87" s="262"/>
      <c r="J87" s="262"/>
      <c r="K87" s="189"/>
      <c r="L87" s="191"/>
      <c r="M87" s="275"/>
      <c r="N87" s="276"/>
      <c r="O87" s="135"/>
    </row>
    <row r="88" spans="1:15" s="154" customFormat="1" x14ac:dyDescent="0.2">
      <c r="F88" s="196"/>
      <c r="I88" s="201"/>
      <c r="J88" s="201"/>
      <c r="K88" s="196"/>
      <c r="L88" s="282"/>
      <c r="M88" s="275"/>
      <c r="N88" s="276"/>
      <c r="O88" s="122"/>
    </row>
    <row r="89" spans="1:15" x14ac:dyDescent="0.2">
      <c r="B89" s="135"/>
      <c r="F89" s="222"/>
      <c r="I89" s="222"/>
      <c r="J89" s="222"/>
      <c r="K89" s="222"/>
      <c r="M89" s="249"/>
      <c r="N89" s="184"/>
      <c r="O89" s="122"/>
    </row>
    <row r="90" spans="1:15" x14ac:dyDescent="0.2">
      <c r="B90" s="18" t="s">
        <v>149</v>
      </c>
      <c r="F90" s="222"/>
      <c r="I90" s="222"/>
      <c r="J90" s="222"/>
      <c r="K90" s="222"/>
      <c r="M90" s="249"/>
      <c r="N90" s="184"/>
      <c r="O90" s="284"/>
    </row>
    <row r="91" spans="1:15" x14ac:dyDescent="0.2">
      <c r="D91" s="220" t="s">
        <v>127</v>
      </c>
      <c r="F91" s="285" t="s">
        <v>72</v>
      </c>
      <c r="I91" s="285" t="s">
        <v>73</v>
      </c>
      <c r="J91" s="222"/>
      <c r="K91" s="285" t="s">
        <v>135</v>
      </c>
      <c r="M91" s="249"/>
      <c r="N91" s="184"/>
    </row>
    <row r="92" spans="1:15" x14ac:dyDescent="0.2">
      <c r="B92" s="18" t="s">
        <v>129</v>
      </c>
      <c r="C92" s="286"/>
      <c r="D92" s="131"/>
      <c r="E92" s="286"/>
      <c r="F92" s="286"/>
      <c r="G92" s="287"/>
      <c r="H92" s="287"/>
      <c r="I92" s="286"/>
      <c r="J92" s="286"/>
      <c r="K92" s="288"/>
      <c r="M92" s="289"/>
    </row>
    <row r="93" spans="1:15" x14ac:dyDescent="0.2">
      <c r="B93" s="15" t="s">
        <v>150</v>
      </c>
      <c r="C93" s="286"/>
      <c r="D93" s="131">
        <f>D32</f>
        <v>222203870.67539161</v>
      </c>
      <c r="E93" s="286"/>
      <c r="F93" s="286">
        <f>F15+F24</f>
        <v>111031564.85000001</v>
      </c>
      <c r="G93" s="286"/>
      <c r="H93" s="287"/>
      <c r="I93" s="286">
        <f>I15+I24</f>
        <v>122689381.53</v>
      </c>
      <c r="J93" s="286"/>
      <c r="K93" s="288">
        <f>I93-F93</f>
        <v>11657816.679999992</v>
      </c>
      <c r="L93" s="223">
        <f>K93/F93</f>
        <v>0.10499551812810455</v>
      </c>
      <c r="M93" s="289"/>
    </row>
    <row r="94" spans="1:15" x14ac:dyDescent="0.2">
      <c r="B94" s="15" t="s">
        <v>151</v>
      </c>
      <c r="C94" s="286"/>
      <c r="D94" s="290">
        <f>D66</f>
        <v>19494505.608019032</v>
      </c>
      <c r="E94" s="286"/>
      <c r="F94" s="286">
        <f>F51+F67</f>
        <v>20697587.662770957</v>
      </c>
      <c r="G94" s="286"/>
      <c r="H94" s="287"/>
      <c r="I94" s="286">
        <f>I51+I67</f>
        <v>22360730.338939507</v>
      </c>
      <c r="J94" s="286"/>
      <c r="K94" s="288">
        <f>I94-F94</f>
        <v>1663142.6761685498</v>
      </c>
      <c r="L94" s="223">
        <f>K94/F94</f>
        <v>8.035442116571237E-2</v>
      </c>
      <c r="M94" s="289"/>
    </row>
    <row r="95" spans="1:15" x14ac:dyDescent="0.2">
      <c r="B95" s="15" t="s">
        <v>3</v>
      </c>
      <c r="C95" s="286"/>
      <c r="D95" s="291">
        <f>SUM(D93:D94)</f>
        <v>241698376.28341064</v>
      </c>
      <c r="E95" s="286"/>
      <c r="F95" s="292">
        <f>SUM(F93:F94)</f>
        <v>131729152.51277097</v>
      </c>
      <c r="G95" s="286"/>
      <c r="H95" s="287"/>
      <c r="I95" s="292">
        <f>SUM(I93:I94)</f>
        <v>145050111.86893952</v>
      </c>
      <c r="J95" s="286"/>
      <c r="K95" s="292">
        <f>SUM(K93:K94)</f>
        <v>13320959.356168542</v>
      </c>
      <c r="L95" s="223">
        <f>K95/F95</f>
        <v>0.10112385225341135</v>
      </c>
      <c r="M95" s="289"/>
    </row>
    <row r="96" spans="1:15" ht="13.5" thickBot="1" x14ac:dyDescent="0.25">
      <c r="C96" s="286"/>
      <c r="D96" s="290"/>
      <c r="E96" s="286"/>
      <c r="F96" s="286"/>
      <c r="G96" s="286"/>
      <c r="H96" s="286"/>
      <c r="I96" s="286"/>
      <c r="J96" s="286"/>
      <c r="K96" s="286"/>
      <c r="M96" s="289"/>
    </row>
    <row r="97" spans="2:13" ht="13.5" thickBot="1" x14ac:dyDescent="0.25">
      <c r="B97" s="225" t="s">
        <v>137</v>
      </c>
      <c r="C97" s="226" t="s">
        <v>138</v>
      </c>
      <c r="D97" s="227">
        <v>131691503.15920852</v>
      </c>
      <c r="E97" s="226" t="s">
        <v>35</v>
      </c>
      <c r="F97" s="293">
        <f>D97-F95</f>
        <v>-37649.353562444448</v>
      </c>
      <c r="G97" s="287"/>
      <c r="H97" s="287"/>
      <c r="I97" s="286"/>
      <c r="J97" s="286"/>
      <c r="K97" s="286"/>
      <c r="M97" s="289"/>
    </row>
    <row r="98" spans="2:13" x14ac:dyDescent="0.2">
      <c r="C98" s="286"/>
      <c r="D98" s="286"/>
      <c r="E98" s="286"/>
      <c r="F98" s="286"/>
      <c r="G98" s="287"/>
      <c r="H98" s="287"/>
      <c r="I98" s="286"/>
      <c r="J98" s="286"/>
      <c r="K98" s="286"/>
      <c r="M98" s="289"/>
    </row>
    <row r="99" spans="2:13" x14ac:dyDescent="0.2">
      <c r="D99" s="221"/>
      <c r="F99" s="15"/>
      <c r="G99" s="287"/>
      <c r="H99" s="287"/>
      <c r="I99" s="286"/>
      <c r="J99" s="286"/>
      <c r="K99" s="286"/>
      <c r="M99" s="289"/>
    </row>
    <row r="100" spans="2:13" x14ac:dyDescent="0.2">
      <c r="C100" s="286"/>
      <c r="D100" s="286"/>
      <c r="E100" s="286"/>
      <c r="F100" s="286"/>
      <c r="G100" s="287"/>
      <c r="H100" s="287"/>
      <c r="I100" s="286"/>
      <c r="J100" s="286"/>
      <c r="K100" s="286"/>
      <c r="M100" s="289"/>
    </row>
    <row r="101" spans="2:13" x14ac:dyDescent="0.2">
      <c r="C101" s="286"/>
      <c r="D101" s="286"/>
      <c r="E101" s="286"/>
      <c r="F101" s="286"/>
      <c r="G101" s="287"/>
      <c r="H101" s="287"/>
      <c r="I101" s="286"/>
      <c r="J101" s="286"/>
      <c r="K101" s="286"/>
      <c r="M101" s="289"/>
    </row>
    <row r="102" spans="2:13" x14ac:dyDescent="0.2">
      <c r="C102" s="286"/>
      <c r="D102" s="286"/>
      <c r="E102" s="286"/>
      <c r="F102" s="286"/>
      <c r="G102" s="287"/>
      <c r="H102" s="287"/>
      <c r="I102" s="286"/>
      <c r="J102" s="286"/>
      <c r="K102" s="286"/>
      <c r="M102" s="289"/>
    </row>
    <row r="103" spans="2:13" x14ac:dyDescent="0.2">
      <c r="C103" s="286"/>
      <c r="D103" s="286"/>
      <c r="E103" s="286"/>
      <c r="F103" s="286"/>
      <c r="G103" s="287"/>
      <c r="H103" s="287"/>
      <c r="I103" s="286"/>
      <c r="J103" s="286"/>
      <c r="K103" s="286"/>
      <c r="M103" s="289"/>
    </row>
    <row r="104" spans="2:13" x14ac:dyDescent="0.2">
      <c r="C104" s="286"/>
      <c r="D104" s="286"/>
      <c r="E104" s="286"/>
      <c r="F104" s="286"/>
      <c r="G104" s="287"/>
      <c r="H104" s="287"/>
      <c r="I104" s="286"/>
      <c r="J104" s="286"/>
      <c r="K104" s="286"/>
      <c r="M104" s="289"/>
    </row>
    <row r="105" spans="2:13" x14ac:dyDescent="0.2">
      <c r="C105" s="286"/>
      <c r="D105" s="286"/>
      <c r="E105" s="286"/>
      <c r="F105" s="286"/>
      <c r="G105" s="287"/>
      <c r="H105" s="287"/>
      <c r="I105" s="286"/>
      <c r="J105" s="286"/>
      <c r="K105" s="286"/>
      <c r="M105" s="289"/>
    </row>
    <row r="106" spans="2:13" x14ac:dyDescent="0.2">
      <c r="C106" s="286"/>
      <c r="D106" s="286"/>
      <c r="E106" s="286"/>
      <c r="F106" s="286"/>
      <c r="G106" s="287"/>
      <c r="H106" s="287"/>
      <c r="I106" s="286"/>
      <c r="J106" s="286"/>
      <c r="K106" s="286"/>
      <c r="M106" s="289"/>
    </row>
    <row r="107" spans="2:13" x14ac:dyDescent="0.2">
      <c r="C107" s="286"/>
      <c r="D107" s="286"/>
      <c r="E107" s="286"/>
      <c r="F107" s="286"/>
      <c r="G107" s="287"/>
      <c r="H107" s="287"/>
      <c r="I107" s="286"/>
      <c r="J107" s="286"/>
      <c r="K107" s="286"/>
      <c r="M107" s="289"/>
    </row>
    <row r="108" spans="2:13" x14ac:dyDescent="0.2">
      <c r="C108" s="286"/>
      <c r="D108" s="286"/>
      <c r="E108" s="286"/>
      <c r="F108" s="286"/>
      <c r="G108" s="287"/>
      <c r="H108" s="287"/>
      <c r="I108" s="286"/>
      <c r="J108" s="286"/>
      <c r="K108" s="286"/>
      <c r="M108" s="289"/>
    </row>
    <row r="109" spans="2:13" x14ac:dyDescent="0.2">
      <c r="C109" s="286"/>
      <c r="D109" s="286"/>
      <c r="E109" s="286"/>
      <c r="F109" s="286"/>
      <c r="G109" s="287"/>
      <c r="H109" s="287"/>
      <c r="I109" s="286"/>
      <c r="J109" s="286"/>
      <c r="K109" s="286"/>
      <c r="M109" s="289"/>
    </row>
    <row r="110" spans="2:13" x14ac:dyDescent="0.2">
      <c r="C110" s="286"/>
      <c r="D110" s="286"/>
      <c r="E110" s="286"/>
      <c r="F110" s="286"/>
      <c r="G110" s="287"/>
      <c r="H110" s="287"/>
      <c r="I110" s="286"/>
      <c r="J110" s="286"/>
      <c r="K110" s="286"/>
      <c r="M110" s="289"/>
    </row>
    <row r="111" spans="2:13" x14ac:dyDescent="0.2">
      <c r="C111" s="286"/>
      <c r="D111" s="286"/>
      <c r="E111" s="286"/>
      <c r="F111" s="286"/>
      <c r="G111" s="287"/>
      <c r="H111" s="287"/>
      <c r="I111" s="286"/>
      <c r="J111" s="286"/>
      <c r="K111" s="286"/>
      <c r="M111" s="289"/>
    </row>
    <row r="112" spans="2:13" x14ac:dyDescent="0.2">
      <c r="C112" s="286"/>
      <c r="D112" s="286"/>
      <c r="E112" s="286"/>
      <c r="F112" s="286"/>
      <c r="G112" s="287"/>
      <c r="H112" s="287"/>
      <c r="I112" s="286"/>
      <c r="J112" s="286"/>
      <c r="K112" s="286"/>
      <c r="M112" s="289"/>
    </row>
    <row r="113" spans="3:13" x14ac:dyDescent="0.2">
      <c r="C113" s="286"/>
      <c r="D113" s="286"/>
      <c r="E113" s="286"/>
      <c r="F113" s="286"/>
      <c r="G113" s="287"/>
      <c r="H113" s="287"/>
      <c r="I113" s="286"/>
      <c r="J113" s="286"/>
      <c r="K113" s="286"/>
      <c r="M113" s="289"/>
    </row>
    <row r="114" spans="3:13" x14ac:dyDescent="0.2">
      <c r="C114" s="286"/>
      <c r="D114" s="286"/>
      <c r="E114" s="286"/>
      <c r="F114" s="286"/>
      <c r="G114" s="287"/>
      <c r="H114" s="287"/>
      <c r="I114" s="286"/>
      <c r="J114" s="286"/>
      <c r="K114" s="286"/>
      <c r="M114" s="289"/>
    </row>
    <row r="115" spans="3:13" x14ac:dyDescent="0.2">
      <c r="C115" s="286"/>
      <c r="D115" s="286"/>
      <c r="E115" s="286"/>
      <c r="F115" s="286"/>
      <c r="G115" s="287"/>
      <c r="H115" s="287"/>
      <c r="I115" s="286"/>
      <c r="J115" s="286"/>
      <c r="K115" s="286"/>
      <c r="M115" s="289"/>
    </row>
    <row r="116" spans="3:13" x14ac:dyDescent="0.2">
      <c r="C116" s="286"/>
      <c r="D116" s="286"/>
      <c r="E116" s="286"/>
      <c r="F116" s="286"/>
      <c r="G116" s="287"/>
      <c r="H116" s="287"/>
      <c r="I116" s="286"/>
      <c r="J116" s="286"/>
      <c r="K116" s="286"/>
      <c r="M116" s="289"/>
    </row>
    <row r="117" spans="3:13" x14ac:dyDescent="0.2">
      <c r="M117" s="289"/>
    </row>
    <row r="118" spans="3:13" x14ac:dyDescent="0.2">
      <c r="M118" s="289"/>
    </row>
  </sheetData>
  <mergeCells count="1">
    <mergeCell ref="K7:L7"/>
  </mergeCells>
  <printOptions horizontalCentered="1"/>
  <pageMargins left="0.5" right="0.5" top="1" bottom="1" header="0.75" footer="0.5"/>
  <pageSetup scale="65" fitToHeight="8" orientation="landscape" blackAndWhite="1" r:id="rId1"/>
  <headerFooter alignWithMargins="0">
    <oddFooter>&amp;R&amp;A
 Page &amp;P of &amp;N</oddFooter>
  </headerFooter>
  <rowBreaks count="2" manualBreakCount="2">
    <brk id="38" max="16383" man="1"/>
    <brk id="87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177"/>
  <sheetViews>
    <sheetView zoomScale="90" zoomScaleNormal="90" zoomScaleSheetLayoutView="90" workbookViewId="0">
      <pane ySplit="8" topLeftCell="A102" activePane="bottomLeft" state="frozen"/>
      <selection activeCell="F68" sqref="F68"/>
      <selection pane="bottomLeft" activeCell="F68" sqref="F68"/>
    </sheetView>
  </sheetViews>
  <sheetFormatPr defaultColWidth="9.140625" defaultRowHeight="12.75" x14ac:dyDescent="0.2"/>
  <cols>
    <col min="1" max="1" width="2.42578125" style="15" customWidth="1"/>
    <col min="2" max="2" width="31.7109375" style="15" customWidth="1"/>
    <col min="3" max="3" width="9.7109375" style="15" customWidth="1"/>
    <col min="4" max="4" width="15.140625" style="224" bestFit="1" customWidth="1"/>
    <col min="5" max="5" width="10.42578125" style="360" customWidth="1"/>
    <col min="6" max="6" width="13.5703125" style="132" customWidth="1"/>
    <col min="7" max="7" width="3" style="169" customWidth="1"/>
    <col min="8" max="8" width="10.42578125" style="357" customWidth="1"/>
    <col min="9" max="9" width="14" style="132" bestFit="1" customWidth="1"/>
    <col min="10" max="10" width="2.85546875" style="132" customWidth="1"/>
    <col min="11" max="11" width="13.140625" style="132" customWidth="1"/>
    <col min="12" max="12" width="10.42578125" style="369" customWidth="1"/>
    <col min="13" max="13" width="2.85546875" style="230" customWidth="1"/>
    <col min="14" max="14" width="2.140625" style="299" customWidth="1"/>
    <col min="15" max="15" width="14.5703125" style="15" bestFit="1" customWidth="1"/>
    <col min="16" max="16" width="2.85546875" style="15" customWidth="1"/>
    <col min="17" max="16384" width="9.140625" style="15"/>
  </cols>
  <sheetData>
    <row r="1" spans="1:16" x14ac:dyDescent="0.2">
      <c r="B1" s="124" t="s">
        <v>261</v>
      </c>
      <c r="C1" s="126"/>
      <c r="D1" s="233"/>
      <c r="E1" s="294"/>
      <c r="F1" s="232"/>
      <c r="G1" s="295"/>
      <c r="H1" s="296"/>
      <c r="I1" s="232"/>
      <c r="J1" s="232"/>
      <c r="K1" s="232"/>
      <c r="L1" s="236"/>
      <c r="M1" s="236"/>
      <c r="N1" s="237"/>
      <c r="O1" s="126"/>
      <c r="P1" s="126"/>
    </row>
    <row r="2" spans="1:16" x14ac:dyDescent="0.2">
      <c r="B2" s="1" t="s">
        <v>262</v>
      </c>
      <c r="C2" s="127"/>
      <c r="D2" s="296"/>
      <c r="E2" s="232"/>
      <c r="F2" s="232"/>
      <c r="G2" s="296"/>
      <c r="H2" s="296"/>
      <c r="I2" s="232"/>
      <c r="J2" s="232"/>
      <c r="K2" s="232"/>
      <c r="L2" s="232"/>
      <c r="M2" s="236"/>
      <c r="N2" s="237"/>
      <c r="O2" s="126"/>
      <c r="P2" s="126"/>
    </row>
    <row r="3" spans="1:16" x14ac:dyDescent="0.2">
      <c r="B3" s="1" t="s">
        <v>263</v>
      </c>
      <c r="C3" s="127"/>
      <c r="D3" s="296"/>
      <c r="E3" s="232"/>
      <c r="F3" s="232"/>
      <c r="G3" s="296"/>
      <c r="H3" s="296"/>
      <c r="I3" s="232"/>
      <c r="J3" s="232"/>
      <c r="K3" s="232"/>
      <c r="L3" s="232"/>
      <c r="M3" s="236"/>
      <c r="N3" s="237"/>
      <c r="O3" s="126"/>
      <c r="P3" s="126"/>
    </row>
    <row r="4" spans="1:16" x14ac:dyDescent="0.2">
      <c r="B4" s="1" t="s">
        <v>152</v>
      </c>
      <c r="C4" s="127"/>
      <c r="D4" s="296"/>
      <c r="E4" s="232"/>
      <c r="F4" s="232"/>
      <c r="G4" s="296"/>
      <c r="H4" s="296"/>
      <c r="I4" s="232"/>
      <c r="J4" s="232"/>
      <c r="K4" s="232"/>
      <c r="L4" s="232"/>
      <c r="M4" s="236"/>
      <c r="N4" s="237"/>
      <c r="O4" s="126"/>
      <c r="P4" s="126"/>
    </row>
    <row r="5" spans="1:16" x14ac:dyDescent="0.2">
      <c r="B5" s="1" t="str">
        <f>'Exh JDT-5 (JDT-Rate Spread)'!B5</f>
        <v>Rate Spread and Schedule 141R and 141N Allocation</v>
      </c>
      <c r="C5" s="127"/>
      <c r="D5" s="233"/>
      <c r="E5" s="294"/>
      <c r="F5" s="232"/>
      <c r="G5" s="295"/>
      <c r="H5" s="296"/>
      <c r="I5" s="232"/>
      <c r="J5" s="232"/>
      <c r="K5" s="232"/>
      <c r="L5" s="236"/>
      <c r="M5" s="236"/>
      <c r="N5" s="237"/>
      <c r="O5" s="129"/>
      <c r="P5" s="126"/>
    </row>
    <row r="6" spans="1:16" s="135" customFormat="1" x14ac:dyDescent="0.2">
      <c r="B6" s="297"/>
      <c r="C6" s="129"/>
      <c r="D6" s="169"/>
      <c r="E6" s="298"/>
      <c r="F6" s="133"/>
      <c r="G6" s="169"/>
      <c r="H6" s="170"/>
      <c r="I6" s="133"/>
      <c r="J6" s="133"/>
      <c r="K6" s="133"/>
      <c r="L6" s="299"/>
      <c r="M6" s="244"/>
      <c r="N6" s="244"/>
    </row>
    <row r="7" spans="1:16" x14ac:dyDescent="0.2">
      <c r="B7" s="136"/>
      <c r="C7" s="137"/>
      <c r="D7" s="300" t="s">
        <v>113</v>
      </c>
      <c r="E7" s="139" t="s">
        <v>114</v>
      </c>
      <c r="F7" s="140"/>
      <c r="G7" s="242"/>
      <c r="H7" s="142" t="s">
        <v>115</v>
      </c>
      <c r="I7" s="140"/>
      <c r="J7" s="143"/>
      <c r="K7" s="565" t="s">
        <v>116</v>
      </c>
      <c r="L7" s="566"/>
      <c r="M7" s="244"/>
      <c r="N7" s="237"/>
      <c r="O7" s="146" t="s">
        <v>117</v>
      </c>
    </row>
    <row r="8" spans="1:16" x14ac:dyDescent="0.2">
      <c r="B8" s="147" t="s">
        <v>2</v>
      </c>
      <c r="C8" s="301" t="s">
        <v>118</v>
      </c>
      <c r="D8" s="220" t="s">
        <v>119</v>
      </c>
      <c r="E8" s="302" t="s">
        <v>120</v>
      </c>
      <c r="F8" s="150" t="s">
        <v>121</v>
      </c>
      <c r="G8" s="220"/>
      <c r="H8" s="261" t="s">
        <v>120</v>
      </c>
      <c r="I8" s="150" t="s">
        <v>121</v>
      </c>
      <c r="J8" s="150"/>
      <c r="K8" s="150" t="s">
        <v>122</v>
      </c>
      <c r="L8" s="151" t="s">
        <v>123</v>
      </c>
      <c r="M8" s="244"/>
      <c r="N8" s="152"/>
      <c r="O8" s="153" t="s">
        <v>124</v>
      </c>
    </row>
    <row r="9" spans="1:16" x14ac:dyDescent="0.2">
      <c r="A9" s="135"/>
      <c r="B9" s="185"/>
      <c r="C9" s="178"/>
      <c r="D9" s="169"/>
      <c r="E9" s="298"/>
      <c r="F9" s="133"/>
      <c r="G9" s="197"/>
      <c r="H9" s="170"/>
      <c r="I9" s="252"/>
      <c r="J9" s="252"/>
      <c r="K9" s="133"/>
      <c r="L9" s="303"/>
      <c r="M9" s="244"/>
      <c r="O9" s="135"/>
    </row>
    <row r="10" spans="1:16" x14ac:dyDescent="0.2">
      <c r="B10" s="156" t="s">
        <v>95</v>
      </c>
      <c r="C10" s="247"/>
      <c r="D10" s="248"/>
      <c r="E10" s="304"/>
      <c r="F10" s="161"/>
      <c r="G10" s="305"/>
      <c r="H10" s="306"/>
      <c r="I10" s="307"/>
      <c r="J10" s="307"/>
      <c r="K10" s="161"/>
      <c r="L10" s="162"/>
      <c r="M10" s="244"/>
      <c r="N10" s="244"/>
    </row>
    <row r="11" spans="1:16" x14ac:dyDescent="0.2">
      <c r="B11" s="163"/>
      <c r="C11" s="135"/>
      <c r="D11" s="169"/>
      <c r="E11" s="298"/>
      <c r="F11" s="165"/>
      <c r="G11" s="197"/>
      <c r="H11" s="170"/>
      <c r="I11" s="155"/>
      <c r="J11" s="252"/>
      <c r="K11" s="165"/>
      <c r="L11" s="166"/>
      <c r="M11" s="244"/>
      <c r="N11" s="244"/>
      <c r="O11" s="250" t="s">
        <v>153</v>
      </c>
    </row>
    <row r="12" spans="1:16" x14ac:dyDescent="0.2">
      <c r="B12" s="185" t="s">
        <v>66</v>
      </c>
      <c r="C12" s="178" t="s">
        <v>126</v>
      </c>
      <c r="D12" s="169">
        <v>368.56669691470051</v>
      </c>
      <c r="E12" s="170">
        <v>595.08000000000004</v>
      </c>
      <c r="F12" s="165">
        <f>ROUND(D12*E12,2)</f>
        <v>219326.67</v>
      </c>
      <c r="H12" s="200">
        <v>701.68</v>
      </c>
      <c r="I12" s="155">
        <f>ROUND(D12*H12,2)</f>
        <v>258615.88</v>
      </c>
      <c r="J12" s="252"/>
      <c r="K12" s="165">
        <f>I12-F12</f>
        <v>39289.209999999992</v>
      </c>
      <c r="L12" s="166">
        <f>IFERROR(K12/F12, )</f>
        <v>0.17913557890611292</v>
      </c>
      <c r="M12" s="244"/>
      <c r="N12" s="244"/>
      <c r="O12" s="251">
        <f>'Exh JDT-5 (JDT-Rate Spread)'!I56</f>
        <v>9659026.0995294172</v>
      </c>
    </row>
    <row r="13" spans="1:16" x14ac:dyDescent="0.2">
      <c r="B13" s="163" t="s">
        <v>143</v>
      </c>
      <c r="C13" s="135" t="s">
        <v>144</v>
      </c>
      <c r="D13" s="169">
        <v>96766.635999999999</v>
      </c>
      <c r="E13" s="170">
        <v>1.3</v>
      </c>
      <c r="F13" s="165">
        <f>ROUND(D13*E13,2)</f>
        <v>125796.63</v>
      </c>
      <c r="H13" s="200">
        <f>ROUND(E13*(1+$O$16),2)</f>
        <v>1.44</v>
      </c>
      <c r="I13" s="155">
        <f>ROUND(D13*H13,2)</f>
        <v>139343.96</v>
      </c>
      <c r="J13" s="252"/>
      <c r="K13" s="165">
        <f>I13-F13</f>
        <v>13547.329999999987</v>
      </c>
      <c r="L13" s="166">
        <f t="shared" ref="L13:L15" si="0">IFERROR(K13/F13, )</f>
        <v>0.10769231258420824</v>
      </c>
      <c r="M13" s="244"/>
      <c r="N13" s="244"/>
      <c r="O13" s="176" t="s">
        <v>128</v>
      </c>
    </row>
    <row r="14" spans="1:16" x14ac:dyDescent="0.2">
      <c r="B14" s="163" t="s">
        <v>68</v>
      </c>
      <c r="C14" s="135" t="s">
        <v>127</v>
      </c>
      <c r="D14" s="169">
        <f>D21</f>
        <v>19992939.502740219</v>
      </c>
      <c r="E14" s="174">
        <v>7.0499999999999998E-3</v>
      </c>
      <c r="F14" s="165">
        <f>E14*D14</f>
        <v>140950.22349431855</v>
      </c>
      <c r="H14" s="175">
        <f>ROUND(E14*(1+$O$16),5)</f>
        <v>7.8399999999999997E-3</v>
      </c>
      <c r="I14" s="155">
        <f>ROUND(D14*H14,2)</f>
        <v>156744.65</v>
      </c>
      <c r="J14" s="133"/>
      <c r="K14" s="165">
        <f>I14-F14</f>
        <v>15794.426505681447</v>
      </c>
      <c r="L14" s="166">
        <f t="shared" si="0"/>
        <v>0.11205676808535243</v>
      </c>
      <c r="M14" s="244"/>
      <c r="N14" s="244"/>
      <c r="O14" s="181">
        <f>I54-O12</f>
        <v>46.580470582470298</v>
      </c>
    </row>
    <row r="15" spans="1:16" x14ac:dyDescent="0.2">
      <c r="B15" s="163" t="s">
        <v>154</v>
      </c>
      <c r="C15" s="135"/>
      <c r="D15" s="169"/>
      <c r="E15" s="174"/>
      <c r="F15" s="199">
        <v>9677.49</v>
      </c>
      <c r="H15" s="174"/>
      <c r="I15" s="196">
        <f>F15</f>
        <v>9677.49</v>
      </c>
      <c r="J15" s="133"/>
      <c r="K15" s="165">
        <f>I15-F15</f>
        <v>0</v>
      </c>
      <c r="L15" s="166">
        <f t="shared" si="0"/>
        <v>0</v>
      </c>
      <c r="M15" s="244"/>
      <c r="N15" s="244"/>
      <c r="O15" s="255"/>
    </row>
    <row r="16" spans="1:16" x14ac:dyDescent="0.2">
      <c r="B16" s="163"/>
      <c r="C16" s="135"/>
      <c r="D16" s="169"/>
      <c r="E16" s="174"/>
      <c r="F16" s="196"/>
      <c r="H16" s="174"/>
      <c r="I16" s="199"/>
      <c r="J16" s="252"/>
      <c r="K16" s="165"/>
      <c r="L16" s="166"/>
      <c r="M16" s="244"/>
      <c r="N16" s="244"/>
      <c r="O16" s="256">
        <f>'Exh JDT-5 (JDT-Rate Spread)'!I59</f>
        <v>0.11151356626791586</v>
      </c>
    </row>
    <row r="17" spans="2:16" x14ac:dyDescent="0.2">
      <c r="B17" s="163" t="s">
        <v>145</v>
      </c>
      <c r="C17" s="135"/>
      <c r="D17" s="169"/>
      <c r="E17" s="174"/>
      <c r="F17" s="196"/>
      <c r="H17" s="174"/>
      <c r="I17" s="199"/>
      <c r="J17" s="252"/>
      <c r="K17" s="165"/>
      <c r="L17" s="166"/>
      <c r="M17" s="244"/>
      <c r="N17" s="244"/>
      <c r="O17" s="308"/>
    </row>
    <row r="18" spans="2:16" x14ac:dyDescent="0.2">
      <c r="B18" s="163" t="s">
        <v>96</v>
      </c>
      <c r="C18" s="135" t="s">
        <v>127</v>
      </c>
      <c r="D18" s="169">
        <v>8259556.7221568692</v>
      </c>
      <c r="E18" s="174">
        <v>0.1084</v>
      </c>
      <c r="F18" s="196">
        <f>ROUND(D18*E18,2)</f>
        <v>895335.95</v>
      </c>
      <c r="H18" s="175">
        <f>ROUND((O12-SUM(I12:I15,I19:I20, I28:I30,I34:I35))/SUM(D18,D33),5)</f>
        <v>0.12581999999999999</v>
      </c>
      <c r="I18" s="199">
        <f>ROUND(D18*H18,2)</f>
        <v>1039217.43</v>
      </c>
      <c r="J18" s="252"/>
      <c r="K18" s="165">
        <f>I18-F18</f>
        <v>143881.4800000001</v>
      </c>
      <c r="L18" s="166">
        <f t="shared" ref="L18:L20" si="1">IFERROR(K18/F18, )</f>
        <v>0.16070110889661038</v>
      </c>
      <c r="M18" s="244"/>
      <c r="N18" s="244"/>
      <c r="O18" s="309"/>
      <c r="P18" s="310"/>
    </row>
    <row r="19" spans="2:16" x14ac:dyDescent="0.2">
      <c r="B19" s="163" t="s">
        <v>97</v>
      </c>
      <c r="C19" s="135" t="s">
        <v>127</v>
      </c>
      <c r="D19" s="169">
        <v>4347559.727</v>
      </c>
      <c r="E19" s="174">
        <v>5.3650000000000003E-2</v>
      </c>
      <c r="F19" s="196">
        <f>ROUND(D19*E19,2)</f>
        <v>233246.58</v>
      </c>
      <c r="H19" s="175">
        <f>ROUND(E19*(1+$O$16),5)</f>
        <v>5.9630000000000002E-2</v>
      </c>
      <c r="I19" s="199">
        <f>ROUND(D19*H19,2)</f>
        <v>259244.99</v>
      </c>
      <c r="J19" s="252"/>
      <c r="K19" s="165">
        <f>I19-F19</f>
        <v>25998.410000000003</v>
      </c>
      <c r="L19" s="166">
        <f t="shared" si="1"/>
        <v>0.11146319916030496</v>
      </c>
      <c r="M19" s="244"/>
      <c r="N19" s="244"/>
      <c r="O19" s="268"/>
      <c r="P19" s="268"/>
    </row>
    <row r="20" spans="2:16" x14ac:dyDescent="0.2">
      <c r="B20" s="163" t="s">
        <v>98</v>
      </c>
      <c r="C20" s="135" t="s">
        <v>127</v>
      </c>
      <c r="D20" s="169">
        <v>7385823.0535833519</v>
      </c>
      <c r="E20" s="174">
        <v>5.1319999999999998E-2</v>
      </c>
      <c r="F20" s="196">
        <f>ROUND(D20*E20,2)</f>
        <v>379040.44</v>
      </c>
      <c r="H20" s="175">
        <f>ROUND(E20*(1+$O$16),5)</f>
        <v>5.704E-2</v>
      </c>
      <c r="I20" s="199">
        <f>ROUND(D20*H20,2)</f>
        <v>421287.35</v>
      </c>
      <c r="J20" s="252"/>
      <c r="K20" s="165">
        <f>I20-F20</f>
        <v>42246.909999999974</v>
      </c>
      <c r="L20" s="166">
        <f t="shared" si="1"/>
        <v>0.11145752680109799</v>
      </c>
      <c r="M20" s="244"/>
      <c r="N20" s="244"/>
      <c r="O20" s="268"/>
      <c r="P20" s="268"/>
    </row>
    <row r="21" spans="2:16" x14ac:dyDescent="0.2">
      <c r="B21" s="185" t="s">
        <v>130</v>
      </c>
      <c r="C21" s="178"/>
      <c r="D21" s="273">
        <f>SUM(D18:D20)</f>
        <v>19992939.502740219</v>
      </c>
      <c r="E21" s="133"/>
      <c r="F21" s="311">
        <f>SUM(F12:F20)</f>
        <v>2003373.9834943186</v>
      </c>
      <c r="H21" s="170"/>
      <c r="I21" s="311">
        <f>SUM(I12:I20)</f>
        <v>2284131.75</v>
      </c>
      <c r="J21" s="252"/>
      <c r="K21" s="279">
        <f>SUM(K12:K20)</f>
        <v>280757.7665056815</v>
      </c>
      <c r="L21" s="312">
        <f>IFERROR(K21/F21, )</f>
        <v>0.14014246407252384</v>
      </c>
      <c r="M21" s="244"/>
      <c r="N21" s="244"/>
      <c r="O21" s="280"/>
      <c r="P21" s="313"/>
    </row>
    <row r="22" spans="2:16" ht="12.75" customHeight="1" x14ac:dyDescent="0.2">
      <c r="B22" s="185"/>
      <c r="C22" s="178"/>
      <c r="D22" s="169"/>
      <c r="E22" s="133"/>
      <c r="F22" s="199"/>
      <c r="H22" s="170"/>
      <c r="I22" s="199"/>
      <c r="J22" s="252"/>
      <c r="K22" s="165"/>
      <c r="L22" s="166"/>
      <c r="M22" s="244"/>
      <c r="N22" s="244"/>
      <c r="O22" s="314"/>
      <c r="P22" s="65"/>
    </row>
    <row r="23" spans="2:16" x14ac:dyDescent="0.2">
      <c r="B23" s="163" t="s">
        <v>129</v>
      </c>
      <c r="C23" s="135"/>
      <c r="D23" s="169"/>
      <c r="E23" s="174"/>
      <c r="F23" s="311">
        <f>F21</f>
        <v>2003373.9834943186</v>
      </c>
      <c r="H23" s="170"/>
      <c r="I23" s="311">
        <f>I21</f>
        <v>2284131.75</v>
      </c>
      <c r="J23" s="252"/>
      <c r="K23" s="279">
        <f>K21</f>
        <v>280757.7665056815</v>
      </c>
      <c r="L23" s="312">
        <f>IFERROR(K23/F23, )</f>
        <v>0.14014246407252384</v>
      </c>
      <c r="M23" s="244"/>
      <c r="N23" s="244"/>
    </row>
    <row r="24" spans="2:16" x14ac:dyDescent="0.2">
      <c r="B24" s="259"/>
      <c r="C24" s="216"/>
      <c r="D24" s="190"/>
      <c r="E24" s="315"/>
      <c r="F24" s="189"/>
      <c r="G24" s="190"/>
      <c r="H24" s="316"/>
      <c r="I24" s="189"/>
      <c r="J24" s="317"/>
      <c r="K24" s="264"/>
      <c r="L24" s="265"/>
      <c r="M24" s="244"/>
      <c r="N24" s="244"/>
    </row>
    <row r="25" spans="2:16" x14ac:dyDescent="0.2">
      <c r="B25" s="154"/>
      <c r="C25" s="154"/>
      <c r="D25" s="169"/>
      <c r="E25" s="174"/>
      <c r="F25" s="196"/>
      <c r="H25" s="170"/>
      <c r="I25" s="199"/>
      <c r="J25" s="318"/>
      <c r="K25" s="196"/>
      <c r="L25" s="282"/>
      <c r="M25" s="244"/>
      <c r="N25" s="244"/>
    </row>
    <row r="26" spans="2:16" x14ac:dyDescent="0.2">
      <c r="B26" s="156" t="s">
        <v>99</v>
      </c>
      <c r="C26" s="247"/>
      <c r="D26" s="248"/>
      <c r="E26" s="304"/>
      <c r="F26" s="319"/>
      <c r="G26" s="305"/>
      <c r="H26" s="306"/>
      <c r="I26" s="320"/>
      <c r="J26" s="307"/>
      <c r="K26" s="161"/>
      <c r="L26" s="162"/>
      <c r="M26" s="244"/>
      <c r="N26" s="244"/>
      <c r="O26" s="321"/>
      <c r="P26" s="168"/>
    </row>
    <row r="27" spans="2:16" x14ac:dyDescent="0.2">
      <c r="B27" s="163"/>
      <c r="C27" s="135"/>
      <c r="D27" s="169"/>
      <c r="E27" s="298"/>
      <c r="F27" s="196"/>
      <c r="G27" s="197"/>
      <c r="H27" s="170"/>
      <c r="I27" s="199"/>
      <c r="J27" s="252"/>
      <c r="K27" s="165"/>
      <c r="L27" s="166"/>
      <c r="M27" s="244"/>
      <c r="N27" s="244"/>
      <c r="O27" s="154"/>
      <c r="P27" s="154"/>
    </row>
    <row r="28" spans="2:16" x14ac:dyDescent="0.2">
      <c r="B28" s="185" t="s">
        <v>66</v>
      </c>
      <c r="C28" s="178" t="s">
        <v>126</v>
      </c>
      <c r="D28" s="169">
        <v>884.03333362675562</v>
      </c>
      <c r="E28" s="170">
        <v>903.09</v>
      </c>
      <c r="F28" s="196">
        <f>ROUND(D28*E28,2)</f>
        <v>798361.66</v>
      </c>
      <c r="H28" s="200">
        <f>E28</f>
        <v>903.09</v>
      </c>
      <c r="I28" s="199">
        <f>ROUND(D28*H28,2)</f>
        <v>798361.66</v>
      </c>
      <c r="J28" s="252"/>
      <c r="K28" s="165">
        <f>I28-F28</f>
        <v>0</v>
      </c>
      <c r="L28" s="166">
        <f t="shared" ref="L28:L30" si="2">IFERROR(K28/F28, )</f>
        <v>0</v>
      </c>
      <c r="M28" s="244"/>
      <c r="N28" s="244"/>
      <c r="O28" s="168"/>
      <c r="P28" s="168"/>
    </row>
    <row r="29" spans="2:16" x14ac:dyDescent="0.2">
      <c r="B29" s="163" t="s">
        <v>143</v>
      </c>
      <c r="C29" s="135" t="s">
        <v>144</v>
      </c>
      <c r="D29" s="169">
        <v>651309.33499999996</v>
      </c>
      <c r="E29" s="170">
        <v>1.3</v>
      </c>
      <c r="F29" s="196">
        <f>ROUND(D29*E29,2)</f>
        <v>846702.14</v>
      </c>
      <c r="H29" s="200">
        <f>$H$13</f>
        <v>1.44</v>
      </c>
      <c r="I29" s="199">
        <f>ROUND(D29*H29,2)</f>
        <v>937885.44</v>
      </c>
      <c r="J29" s="252"/>
      <c r="K29" s="165">
        <f>I29-F29</f>
        <v>91183.29999999993</v>
      </c>
      <c r="L29" s="166">
        <f t="shared" si="2"/>
        <v>0.10769229897068634</v>
      </c>
      <c r="M29" s="244"/>
      <c r="N29" s="244"/>
      <c r="O29" s="154"/>
      <c r="P29" s="154"/>
    </row>
    <row r="30" spans="2:16" x14ac:dyDescent="0.2">
      <c r="B30" s="163" t="s">
        <v>154</v>
      </c>
      <c r="C30" s="135"/>
      <c r="D30" s="169"/>
      <c r="E30" s="170"/>
      <c r="F30" s="199">
        <v>-10601.630000000003</v>
      </c>
      <c r="H30" s="200"/>
      <c r="I30" s="199">
        <f>F30</f>
        <v>-10601.630000000003</v>
      </c>
      <c r="J30" s="252"/>
      <c r="K30" s="165">
        <f>I30-F30</f>
        <v>0</v>
      </c>
      <c r="L30" s="166">
        <f t="shared" si="2"/>
        <v>0</v>
      </c>
      <c r="M30" s="244"/>
      <c r="N30" s="244"/>
      <c r="O30" s="154"/>
      <c r="P30" s="154"/>
    </row>
    <row r="31" spans="2:16" x14ac:dyDescent="0.2">
      <c r="B31" s="163"/>
      <c r="C31" s="135"/>
      <c r="D31" s="169"/>
      <c r="E31" s="174"/>
      <c r="F31" s="154"/>
      <c r="H31" s="175"/>
      <c r="I31" s="154"/>
      <c r="J31" s="133"/>
      <c r="K31" s="165"/>
      <c r="L31" s="166"/>
      <c r="M31" s="244"/>
      <c r="N31" s="244"/>
      <c r="O31" s="154"/>
      <c r="P31" s="154"/>
    </row>
    <row r="32" spans="2:16" x14ac:dyDescent="0.2">
      <c r="B32" s="163" t="s">
        <v>145</v>
      </c>
      <c r="C32" s="135"/>
      <c r="D32" s="169"/>
      <c r="E32" s="174"/>
      <c r="F32" s="196"/>
      <c r="H32" s="175"/>
      <c r="I32" s="199"/>
      <c r="J32" s="252"/>
      <c r="K32" s="165"/>
      <c r="L32" s="166"/>
      <c r="M32" s="244"/>
      <c r="N32" s="244"/>
      <c r="O32" s="154"/>
      <c r="P32" s="154"/>
    </row>
    <row r="33" spans="2:16" x14ac:dyDescent="0.2">
      <c r="B33" s="163" t="s">
        <v>96</v>
      </c>
      <c r="C33" s="135" t="s">
        <v>127</v>
      </c>
      <c r="D33" s="169">
        <v>24354615.889999997</v>
      </c>
      <c r="E33" s="174">
        <v>0.1084</v>
      </c>
      <c r="F33" s="196">
        <f>ROUND(D33*E33,2)</f>
        <v>2640040.36</v>
      </c>
      <c r="H33" s="175">
        <f>H18</f>
        <v>0.12581999999999999</v>
      </c>
      <c r="I33" s="199">
        <f>ROUND(D33*H33,2)</f>
        <v>3064297.77</v>
      </c>
      <c r="J33" s="252"/>
      <c r="K33" s="165">
        <f>I33-F33</f>
        <v>424257.41000000015</v>
      </c>
      <c r="L33" s="166">
        <f t="shared" ref="L33:L35" si="3">IFERROR(K33/F33, )</f>
        <v>0.16070110761488515</v>
      </c>
      <c r="M33" s="244"/>
      <c r="N33" s="244"/>
      <c r="O33" s="154"/>
      <c r="P33" s="154"/>
    </row>
    <row r="34" spans="2:16" x14ac:dyDescent="0.2">
      <c r="B34" s="163" t="s">
        <v>97</v>
      </c>
      <c r="C34" s="135" t="s">
        <v>127</v>
      </c>
      <c r="D34" s="169">
        <v>17329118.52</v>
      </c>
      <c r="E34" s="174">
        <v>5.3650000000000003E-2</v>
      </c>
      <c r="F34" s="196">
        <f>ROUND(D34*E34,2)</f>
        <v>929707.21</v>
      </c>
      <c r="H34" s="175">
        <f>H19</f>
        <v>5.9630000000000002E-2</v>
      </c>
      <c r="I34" s="199">
        <f>ROUND(D34*H34,2)</f>
        <v>1033335.34</v>
      </c>
      <c r="J34" s="252"/>
      <c r="K34" s="165">
        <f>I34-F34</f>
        <v>103628.13</v>
      </c>
      <c r="L34" s="166">
        <f t="shared" si="3"/>
        <v>0.11146318850210918</v>
      </c>
      <c r="M34" s="244"/>
      <c r="N34" s="244"/>
      <c r="O34" s="154"/>
      <c r="P34" s="154"/>
    </row>
    <row r="35" spans="2:16" x14ac:dyDescent="0.2">
      <c r="B35" s="163" t="s">
        <v>107</v>
      </c>
      <c r="C35" s="135" t="s">
        <v>127</v>
      </c>
      <c r="D35" s="169">
        <v>27203056.60995879</v>
      </c>
      <c r="E35" s="174">
        <v>5.1319999999999998E-2</v>
      </c>
      <c r="F35" s="189">
        <f>ROUND(D35*E35,2)</f>
        <v>1396060.87</v>
      </c>
      <c r="H35" s="175">
        <f>H20</f>
        <v>5.704E-2</v>
      </c>
      <c r="I35" s="199">
        <f>ROUND(D35*H35,2)</f>
        <v>1551662.35</v>
      </c>
      <c r="J35" s="252"/>
      <c r="K35" s="165">
        <f>I35-F35</f>
        <v>155601.47999999998</v>
      </c>
      <c r="L35" s="166">
        <f t="shared" si="3"/>
        <v>0.11145751832439797</v>
      </c>
      <c r="M35" s="244"/>
      <c r="N35" s="244"/>
      <c r="O35" s="154"/>
      <c r="P35" s="154"/>
    </row>
    <row r="36" spans="2:16" x14ac:dyDescent="0.2">
      <c r="B36" s="185" t="s">
        <v>130</v>
      </c>
      <c r="C36" s="178"/>
      <c r="D36" s="273">
        <f>SUM(D33:D35)</f>
        <v>68886791.019958794</v>
      </c>
      <c r="E36" s="133"/>
      <c r="F36" s="311">
        <f>SUM(F28:F35)</f>
        <v>6600270.6100000003</v>
      </c>
      <c r="H36" s="170"/>
      <c r="I36" s="311">
        <f>SUM(I28:I35)</f>
        <v>7374940.9299999997</v>
      </c>
      <c r="J36" s="252"/>
      <c r="K36" s="279">
        <f>SUM(K28:K35)</f>
        <v>774670.32000000007</v>
      </c>
      <c r="L36" s="312">
        <f>IFERROR(K36/F36, )</f>
        <v>0.11736947858263648</v>
      </c>
      <c r="M36" s="244"/>
      <c r="N36" s="244"/>
      <c r="O36" s="154"/>
      <c r="P36" s="154"/>
    </row>
    <row r="37" spans="2:16" x14ac:dyDescent="0.2">
      <c r="B37" s="185"/>
      <c r="C37" s="178"/>
      <c r="D37" s="169"/>
      <c r="E37" s="133"/>
      <c r="F37" s="199"/>
      <c r="H37" s="170"/>
      <c r="I37" s="199"/>
      <c r="J37" s="252"/>
      <c r="K37" s="165"/>
      <c r="L37" s="166"/>
      <c r="M37" s="244"/>
      <c r="N37" s="244"/>
      <c r="O37" s="168"/>
      <c r="P37" s="154"/>
    </row>
    <row r="38" spans="2:16" x14ac:dyDescent="0.2">
      <c r="B38" s="185" t="s">
        <v>129</v>
      </c>
      <c r="C38" s="135"/>
      <c r="D38" s="169"/>
      <c r="E38" s="170"/>
      <c r="F38" s="311">
        <f>F36</f>
        <v>6600270.6100000003</v>
      </c>
      <c r="G38" s="154"/>
      <c r="H38" s="170"/>
      <c r="I38" s="311">
        <f>I36</f>
        <v>7374940.9299999997</v>
      </c>
      <c r="J38" s="133"/>
      <c r="K38" s="279">
        <f>K36</f>
        <v>774670.32000000007</v>
      </c>
      <c r="L38" s="312">
        <f>IFERROR(K38/F38, )</f>
        <v>0.11736947858263648</v>
      </c>
      <c r="M38" s="244"/>
      <c r="N38" s="244"/>
      <c r="O38" s="322"/>
      <c r="P38" s="154"/>
    </row>
    <row r="39" spans="2:16" x14ac:dyDescent="0.2">
      <c r="B39" s="259"/>
      <c r="C39" s="216"/>
      <c r="D39" s="190"/>
      <c r="E39" s="315"/>
      <c r="F39" s="189"/>
      <c r="G39" s="190"/>
      <c r="H39" s="316"/>
      <c r="I39" s="323"/>
      <c r="J39" s="317"/>
      <c r="K39" s="264"/>
      <c r="L39" s="265"/>
      <c r="M39" s="244"/>
      <c r="N39" s="244"/>
      <c r="O39" s="154"/>
      <c r="P39" s="154"/>
    </row>
    <row r="40" spans="2:16" x14ac:dyDescent="0.2">
      <c r="B40" s="135"/>
      <c r="C40" s="135"/>
      <c r="D40" s="169"/>
      <c r="E40" s="298"/>
      <c r="F40" s="196"/>
      <c r="H40" s="170"/>
      <c r="I40" s="199"/>
      <c r="J40" s="252"/>
      <c r="K40" s="165"/>
      <c r="L40" s="266"/>
      <c r="M40" s="244"/>
      <c r="N40" s="244"/>
      <c r="O40" s="154"/>
      <c r="P40" s="154"/>
    </row>
    <row r="41" spans="2:16" x14ac:dyDescent="0.2">
      <c r="B41" s="192" t="s">
        <v>155</v>
      </c>
      <c r="C41" s="247"/>
      <c r="D41" s="248"/>
      <c r="E41" s="304"/>
      <c r="F41" s="319"/>
      <c r="G41" s="305"/>
      <c r="H41" s="306"/>
      <c r="I41" s="320"/>
      <c r="J41" s="307"/>
      <c r="K41" s="161"/>
      <c r="L41" s="162"/>
      <c r="M41" s="244"/>
      <c r="N41" s="244"/>
      <c r="O41" s="154"/>
      <c r="P41" s="154"/>
    </row>
    <row r="42" spans="2:16" x14ac:dyDescent="0.2">
      <c r="B42" s="163"/>
      <c r="C42" s="135"/>
      <c r="D42" s="169"/>
      <c r="E42" s="174"/>
      <c r="F42" s="196"/>
      <c r="G42" s="197"/>
      <c r="H42" s="170"/>
      <c r="I42" s="199"/>
      <c r="J42" s="318"/>
      <c r="K42" s="196"/>
      <c r="L42" s="198"/>
      <c r="M42" s="324"/>
      <c r="N42" s="244"/>
      <c r="O42" s="154"/>
      <c r="P42" s="154"/>
    </row>
    <row r="43" spans="2:16" x14ac:dyDescent="0.2">
      <c r="B43" s="185" t="s">
        <v>66</v>
      </c>
      <c r="C43" s="178" t="s">
        <v>126</v>
      </c>
      <c r="D43" s="169">
        <f>D28+D12</f>
        <v>1252.6000305414561</v>
      </c>
      <c r="E43" s="170"/>
      <c r="F43" s="196">
        <f>F12+F28</f>
        <v>1017688.3300000001</v>
      </c>
      <c r="H43" s="170"/>
      <c r="I43" s="196">
        <f>I12+I28</f>
        <v>1056977.54</v>
      </c>
      <c r="J43" s="318"/>
      <c r="K43" s="196">
        <f>I43-F43</f>
        <v>39289.209999999963</v>
      </c>
      <c r="L43" s="198">
        <f t="shared" ref="L43:L46" si="4">IFERROR(K43/F43, )</f>
        <v>3.860632852103154E-2</v>
      </c>
      <c r="M43" s="324"/>
      <c r="N43" s="244"/>
      <c r="O43" s="154"/>
      <c r="P43" s="154"/>
    </row>
    <row r="44" spans="2:16" x14ac:dyDescent="0.2">
      <c r="B44" s="163" t="s">
        <v>143</v>
      </c>
      <c r="C44" s="135" t="s">
        <v>144</v>
      </c>
      <c r="D44" s="169">
        <f>D29+D13</f>
        <v>748075.9709999999</v>
      </c>
      <c r="E44" s="170"/>
      <c r="F44" s="196">
        <f>F13+F29</f>
        <v>972498.77</v>
      </c>
      <c r="H44" s="170"/>
      <c r="I44" s="196">
        <f>I13+I29</f>
        <v>1077229.3999999999</v>
      </c>
      <c r="J44" s="318"/>
      <c r="K44" s="196">
        <f>I44-F44</f>
        <v>104730.62999999989</v>
      </c>
      <c r="L44" s="198">
        <f t="shared" si="4"/>
        <v>0.10769230073165016</v>
      </c>
      <c r="M44" s="324"/>
      <c r="N44" s="244"/>
      <c r="O44" s="154"/>
      <c r="P44" s="154"/>
    </row>
    <row r="45" spans="2:16" x14ac:dyDescent="0.2">
      <c r="B45" s="163" t="s">
        <v>68</v>
      </c>
      <c r="C45" s="135" t="s">
        <v>127</v>
      </c>
      <c r="D45" s="169">
        <f>D30+D14</f>
        <v>19992939.502740219</v>
      </c>
      <c r="E45" s="170"/>
      <c r="F45" s="196">
        <f>F14</f>
        <v>140950.22349431855</v>
      </c>
      <c r="H45" s="170"/>
      <c r="I45" s="196">
        <f>I14</f>
        <v>156744.65</v>
      </c>
      <c r="J45" s="318"/>
      <c r="K45" s="196">
        <f>I45-F45</f>
        <v>15794.426505681447</v>
      </c>
      <c r="L45" s="198">
        <f t="shared" si="4"/>
        <v>0.11205676808535243</v>
      </c>
      <c r="M45" s="324"/>
      <c r="N45" s="244"/>
      <c r="O45" s="154"/>
      <c r="P45" s="154"/>
    </row>
    <row r="46" spans="2:16" x14ac:dyDescent="0.2">
      <c r="B46" s="163" t="s">
        <v>154</v>
      </c>
      <c r="C46" s="135"/>
      <c r="D46" s="169"/>
      <c r="E46" s="170"/>
      <c r="F46" s="199">
        <f>F15+F30</f>
        <v>-924.14000000000306</v>
      </c>
      <c r="H46" s="170"/>
      <c r="I46" s="199">
        <f>I15+I30</f>
        <v>-924.14000000000306</v>
      </c>
      <c r="J46" s="318"/>
      <c r="K46" s="196">
        <f>I46-F46</f>
        <v>0</v>
      </c>
      <c r="L46" s="198">
        <f t="shared" si="4"/>
        <v>0</v>
      </c>
      <c r="M46" s="324"/>
      <c r="N46" s="244"/>
      <c r="O46" s="154"/>
      <c r="P46" s="154"/>
    </row>
    <row r="47" spans="2:16" x14ac:dyDescent="0.2">
      <c r="B47" s="163"/>
      <c r="C47" s="135"/>
      <c r="D47" s="169"/>
      <c r="E47" s="174"/>
      <c r="F47" s="154"/>
      <c r="H47" s="174"/>
      <c r="I47" s="154"/>
      <c r="J47" s="170"/>
      <c r="K47" s="196"/>
      <c r="L47" s="198"/>
      <c r="M47" s="324"/>
      <c r="N47" s="244"/>
      <c r="O47" s="154"/>
      <c r="P47" s="154"/>
    </row>
    <row r="48" spans="2:16" x14ac:dyDescent="0.2">
      <c r="B48" s="163" t="s">
        <v>145</v>
      </c>
      <c r="C48" s="135"/>
      <c r="D48" s="169"/>
      <c r="E48" s="174"/>
      <c r="F48" s="196"/>
      <c r="H48" s="174"/>
      <c r="I48" s="196"/>
      <c r="J48" s="318"/>
      <c r="K48" s="196"/>
      <c r="L48" s="198"/>
      <c r="M48" s="324"/>
      <c r="N48" s="244"/>
      <c r="O48" s="154"/>
      <c r="P48" s="154"/>
    </row>
    <row r="49" spans="1:16" x14ac:dyDescent="0.2">
      <c r="B49" s="163" t="s">
        <v>96</v>
      </c>
      <c r="C49" s="135" t="s">
        <v>127</v>
      </c>
      <c r="D49" s="169">
        <f>D33+D18</f>
        <v>32614172.612156868</v>
      </c>
      <c r="E49" s="174"/>
      <c r="F49" s="196">
        <f>F18+F33</f>
        <v>3535376.3099999996</v>
      </c>
      <c r="H49" s="268"/>
      <c r="I49" s="196">
        <f>I18+I33</f>
        <v>4103515.2</v>
      </c>
      <c r="J49" s="318"/>
      <c r="K49" s="196">
        <f>I49-F49</f>
        <v>568138.8900000006</v>
      </c>
      <c r="L49" s="198">
        <f t="shared" ref="L49:L51" si="5">IFERROR(K49/F49, )</f>
        <v>0.16070110793948286</v>
      </c>
      <c r="M49" s="324"/>
      <c r="N49" s="244"/>
      <c r="O49" s="154"/>
      <c r="P49" s="154"/>
    </row>
    <row r="50" spans="1:16" x14ac:dyDescent="0.2">
      <c r="B50" s="163" t="s">
        <v>97</v>
      </c>
      <c r="C50" s="135" t="s">
        <v>127</v>
      </c>
      <c r="D50" s="169">
        <f>D34+D19</f>
        <v>21676678.247000001</v>
      </c>
      <c r="E50" s="174"/>
      <c r="F50" s="196">
        <f>F19+F34</f>
        <v>1162953.79</v>
      </c>
      <c r="H50" s="268"/>
      <c r="I50" s="196">
        <f>I19+I34</f>
        <v>1292580.33</v>
      </c>
      <c r="J50" s="318"/>
      <c r="K50" s="196">
        <f>I50-F50</f>
        <v>129626.54000000004</v>
      </c>
      <c r="L50" s="198">
        <f t="shared" si="5"/>
        <v>0.11146319063975881</v>
      </c>
      <c r="M50" s="324"/>
      <c r="N50" s="244"/>
      <c r="O50" s="154"/>
      <c r="P50" s="154"/>
    </row>
    <row r="51" spans="1:16" x14ac:dyDescent="0.2">
      <c r="B51" s="163" t="s">
        <v>98</v>
      </c>
      <c r="C51" s="135" t="s">
        <v>127</v>
      </c>
      <c r="D51" s="169">
        <f>D35+D20</f>
        <v>34588879.663542144</v>
      </c>
      <c r="E51" s="174"/>
      <c r="F51" s="189">
        <f>F20+F35</f>
        <v>1775101.31</v>
      </c>
      <c r="H51" s="174"/>
      <c r="I51" s="189">
        <f>I20+I35</f>
        <v>1972949.7000000002</v>
      </c>
      <c r="J51" s="318"/>
      <c r="K51" s="196">
        <f>I51-F51</f>
        <v>197848.39000000013</v>
      </c>
      <c r="L51" s="198">
        <f t="shared" si="5"/>
        <v>0.11145752013444242</v>
      </c>
      <c r="M51" s="324"/>
      <c r="N51" s="244"/>
      <c r="O51" s="154"/>
      <c r="P51" s="154"/>
    </row>
    <row r="52" spans="1:16" x14ac:dyDescent="0.2">
      <c r="B52" s="185" t="s">
        <v>130</v>
      </c>
      <c r="C52" s="178"/>
      <c r="D52" s="273">
        <f>SUM(D49:D51)</f>
        <v>88879730.522699013</v>
      </c>
      <c r="E52" s="170"/>
      <c r="F52" s="311">
        <f>SUM(F43:F51)</f>
        <v>8603644.5934943184</v>
      </c>
      <c r="H52" s="170"/>
      <c r="I52" s="311">
        <f>SUM(I43:I51)</f>
        <v>9659072.6799999997</v>
      </c>
      <c r="J52" s="318"/>
      <c r="K52" s="311">
        <f>SUM(K43:K51)</f>
        <v>1055428.0865056822</v>
      </c>
      <c r="L52" s="312">
        <f>IFERROR(K52/F52, )</f>
        <v>0.12267220885713347</v>
      </c>
      <c r="M52" s="324"/>
      <c r="N52" s="244"/>
      <c r="O52" s="154"/>
      <c r="P52" s="154"/>
    </row>
    <row r="53" spans="1:16" x14ac:dyDescent="0.2">
      <c r="B53" s="185"/>
      <c r="C53" s="178"/>
      <c r="D53" s="169"/>
      <c r="E53" s="170"/>
      <c r="F53" s="199"/>
      <c r="H53" s="170"/>
      <c r="I53" s="199"/>
      <c r="J53" s="318"/>
      <c r="K53" s="196"/>
      <c r="L53" s="198"/>
      <c r="M53" s="324"/>
      <c r="N53" s="244"/>
      <c r="O53" s="154"/>
      <c r="P53" s="154"/>
    </row>
    <row r="54" spans="1:16" x14ac:dyDescent="0.2">
      <c r="B54" s="163" t="s">
        <v>129</v>
      </c>
      <c r="C54" s="135"/>
      <c r="D54" s="169"/>
      <c r="E54" s="170"/>
      <c r="F54" s="311">
        <f>F52</f>
        <v>8603644.5934943184</v>
      </c>
      <c r="H54" s="170"/>
      <c r="I54" s="311">
        <f>I52</f>
        <v>9659072.6799999997</v>
      </c>
      <c r="J54" s="318"/>
      <c r="K54" s="311">
        <f>K52</f>
        <v>1055428.0865056822</v>
      </c>
      <c r="L54" s="312">
        <f>IFERROR(K54/F54, )</f>
        <v>0.12267220885713347</v>
      </c>
      <c r="M54" s="324"/>
      <c r="N54" s="244"/>
    </row>
    <row r="55" spans="1:16" x14ac:dyDescent="0.2">
      <c r="B55" s="259"/>
      <c r="C55" s="216"/>
      <c r="D55" s="190"/>
      <c r="E55" s="325"/>
      <c r="F55" s="189"/>
      <c r="G55" s="190"/>
      <c r="H55" s="316"/>
      <c r="I55" s="323"/>
      <c r="J55" s="326"/>
      <c r="K55" s="189"/>
      <c r="L55" s="191"/>
      <c r="M55" s="324"/>
      <c r="N55" s="244"/>
    </row>
    <row r="56" spans="1:16" x14ac:dyDescent="0.2">
      <c r="A56" s="135"/>
      <c r="B56" s="135"/>
      <c r="C56" s="135"/>
      <c r="D56" s="169"/>
      <c r="E56" s="298"/>
      <c r="F56" s="196"/>
      <c r="H56" s="170"/>
      <c r="I56" s="199"/>
      <c r="J56" s="252"/>
      <c r="K56" s="165"/>
      <c r="L56" s="266"/>
      <c r="M56" s="244"/>
      <c r="N56" s="244"/>
      <c r="O56" s="135"/>
    </row>
    <row r="57" spans="1:16" x14ac:dyDescent="0.2">
      <c r="B57" s="156" t="s">
        <v>101</v>
      </c>
      <c r="C57" s="247"/>
      <c r="D57" s="248"/>
      <c r="E57" s="304"/>
      <c r="F57" s="319"/>
      <c r="G57" s="248"/>
      <c r="H57" s="306"/>
      <c r="I57" s="327"/>
      <c r="J57" s="307"/>
      <c r="K57" s="161"/>
      <c r="L57" s="194"/>
      <c r="M57" s="244"/>
      <c r="N57" s="244"/>
      <c r="O57" s="135"/>
    </row>
    <row r="58" spans="1:16" x14ac:dyDescent="0.2">
      <c r="B58" s="163"/>
      <c r="C58" s="135"/>
      <c r="D58" s="169"/>
      <c r="E58" s="298"/>
      <c r="F58" s="196"/>
      <c r="G58" s="197"/>
      <c r="H58" s="170"/>
      <c r="I58" s="199"/>
      <c r="J58" s="252"/>
      <c r="K58" s="165"/>
      <c r="L58" s="166"/>
      <c r="M58" s="244"/>
      <c r="N58" s="244"/>
      <c r="O58" s="250" t="s">
        <v>156</v>
      </c>
    </row>
    <row r="59" spans="1:16" x14ac:dyDescent="0.2">
      <c r="B59" s="185" t="s">
        <v>66</v>
      </c>
      <c r="C59" s="178" t="s">
        <v>126</v>
      </c>
      <c r="D59" s="169">
        <v>1364.2999596828383</v>
      </c>
      <c r="E59" s="170">
        <v>148.82</v>
      </c>
      <c r="F59" s="196">
        <f>ROUND(D59*E59,2)</f>
        <v>203035.12</v>
      </c>
      <c r="H59" s="200">
        <f>E59</f>
        <v>148.82</v>
      </c>
      <c r="I59" s="199">
        <f>ROUND(D59*H59,2)</f>
        <v>203035.12</v>
      </c>
      <c r="J59" s="252"/>
      <c r="K59" s="165">
        <f>I59-F59</f>
        <v>0</v>
      </c>
      <c r="L59" s="166">
        <f t="shared" ref="L59:L62" si="6">IFERROR(K59/F59, )</f>
        <v>0</v>
      </c>
      <c r="M59" s="244"/>
      <c r="N59" s="244"/>
      <c r="O59" s="251">
        <f>'Exh JDT-5 (JDT-Rate Spread)'!J56</f>
        <v>1563270.1445452976</v>
      </c>
    </row>
    <row r="60" spans="1:16" x14ac:dyDescent="0.2">
      <c r="B60" s="163" t="s">
        <v>143</v>
      </c>
      <c r="C60" s="135" t="s">
        <v>144</v>
      </c>
      <c r="D60" s="169">
        <v>39087.972999999998</v>
      </c>
      <c r="E60" s="170">
        <v>1.35</v>
      </c>
      <c r="F60" s="196">
        <f>ROUND(D60*E60,2)</f>
        <v>52768.76</v>
      </c>
      <c r="H60" s="200">
        <f>E60</f>
        <v>1.35</v>
      </c>
      <c r="I60" s="199">
        <f>ROUND(D60*H60,2)</f>
        <v>52768.76</v>
      </c>
      <c r="J60" s="252"/>
      <c r="K60" s="165">
        <f>I60-F60</f>
        <v>0</v>
      </c>
      <c r="L60" s="166">
        <f t="shared" si="6"/>
        <v>0</v>
      </c>
      <c r="M60" s="244"/>
      <c r="N60" s="244"/>
      <c r="O60" s="176" t="s">
        <v>128</v>
      </c>
    </row>
    <row r="61" spans="1:16" x14ac:dyDescent="0.2">
      <c r="B61" s="163" t="s">
        <v>68</v>
      </c>
      <c r="C61" s="135" t="s">
        <v>127</v>
      </c>
      <c r="D61" s="169">
        <f>D67</f>
        <v>5773170.4876905456</v>
      </c>
      <c r="E61" s="174">
        <v>1.222E-2</v>
      </c>
      <c r="F61" s="196">
        <f>ROUND(D61*E61,2)</f>
        <v>70548.14</v>
      </c>
      <c r="H61" s="175">
        <f>E61</f>
        <v>1.222E-2</v>
      </c>
      <c r="I61" s="199">
        <f>ROUND(D67*H61,2)</f>
        <v>70548.14</v>
      </c>
      <c r="J61" s="252"/>
      <c r="K61" s="165">
        <f>I61-F61</f>
        <v>0</v>
      </c>
      <c r="L61" s="166">
        <f t="shared" si="6"/>
        <v>0</v>
      </c>
      <c r="M61" s="244"/>
      <c r="N61" s="244"/>
      <c r="O61" s="181">
        <f>I98-O59</f>
        <v>-22.144545297604054</v>
      </c>
    </row>
    <row r="62" spans="1:16" x14ac:dyDescent="0.2">
      <c r="B62" s="163" t="s">
        <v>154</v>
      </c>
      <c r="C62" s="135"/>
      <c r="D62" s="169"/>
      <c r="E62" s="174"/>
      <c r="F62" s="199">
        <v>7612.77</v>
      </c>
      <c r="H62" s="175"/>
      <c r="I62" s="199">
        <f>F62</f>
        <v>7612.77</v>
      </c>
      <c r="J62" s="328"/>
      <c r="K62" s="165">
        <f>I62-F62</f>
        <v>0</v>
      </c>
      <c r="L62" s="166">
        <f t="shared" si="6"/>
        <v>0</v>
      </c>
      <c r="M62" s="244"/>
      <c r="N62" s="244"/>
      <c r="O62" s="308"/>
    </row>
    <row r="63" spans="1:16" x14ac:dyDescent="0.2">
      <c r="B63" s="163"/>
      <c r="C63" s="135"/>
      <c r="D63" s="169"/>
      <c r="E63" s="174"/>
      <c r="F63" s="196"/>
      <c r="H63" s="175"/>
      <c r="I63" s="199"/>
      <c r="J63" s="252"/>
      <c r="K63" s="165"/>
      <c r="L63" s="166"/>
      <c r="M63" s="244"/>
      <c r="N63" s="244"/>
      <c r="O63" s="256">
        <f>'Exh JDT-5 (JDT-Rate Spread)'!J59</f>
        <v>4.4594146384959954E-2</v>
      </c>
      <c r="P63" s="65"/>
    </row>
    <row r="64" spans="1:16" x14ac:dyDescent="0.2">
      <c r="B64" s="163" t="s">
        <v>145</v>
      </c>
      <c r="C64" s="135"/>
      <c r="D64" s="169"/>
      <c r="E64" s="174"/>
      <c r="F64" s="196"/>
      <c r="H64" s="175"/>
      <c r="I64" s="199"/>
      <c r="J64" s="252"/>
      <c r="K64" s="165"/>
      <c r="L64" s="166"/>
      <c r="M64" s="244"/>
      <c r="N64" s="244"/>
      <c r="O64" s="329"/>
      <c r="P64" s="122"/>
    </row>
    <row r="65" spans="1:16" x14ac:dyDescent="0.2">
      <c r="B65" s="195" t="s">
        <v>102</v>
      </c>
      <c r="C65" s="154" t="s">
        <v>127</v>
      </c>
      <c r="D65" s="169">
        <v>1063981.5778999999</v>
      </c>
      <c r="E65" s="174">
        <v>0.18382000000000001</v>
      </c>
      <c r="F65" s="196">
        <f>ROUND(D65*E65,2)</f>
        <v>195581.09</v>
      </c>
      <c r="H65" s="175">
        <f>ROUND(E65*(1+$O$65),5)</f>
        <v>0.19567999999999999</v>
      </c>
      <c r="I65" s="199">
        <f>ROUND(D65*H65,2)</f>
        <v>208199.92</v>
      </c>
      <c r="J65" s="252"/>
      <c r="K65" s="165">
        <f>I65-F65</f>
        <v>12618.830000000016</v>
      </c>
      <c r="L65" s="166">
        <f t="shared" ref="L65:L66" si="7">IFERROR(K65/F65, )</f>
        <v>6.451968337020729E-2</v>
      </c>
      <c r="M65" s="244"/>
      <c r="N65" s="244"/>
      <c r="O65" s="330">
        <f>(O59-SUM(I88:I91))/SUM(F94:F95)-1</f>
        <v>6.4495441189794223E-2</v>
      </c>
      <c r="P65" s="65"/>
    </row>
    <row r="66" spans="1:16" ht="12.75" customHeight="1" x14ac:dyDescent="0.2">
      <c r="B66" s="195" t="s">
        <v>103</v>
      </c>
      <c r="C66" s="154" t="s">
        <v>127</v>
      </c>
      <c r="D66" s="169">
        <v>4709188.9097905457</v>
      </c>
      <c r="E66" s="174">
        <v>0.13031000000000001</v>
      </c>
      <c r="F66" s="196">
        <f>ROUND(D66*E66,2)</f>
        <v>613654.41</v>
      </c>
      <c r="H66" s="175">
        <f>ROUND(E66*(1+$O$65),5)</f>
        <v>0.13871</v>
      </c>
      <c r="I66" s="199">
        <f>ROUND(D66*H66,2)</f>
        <v>653211.59</v>
      </c>
      <c r="J66" s="252"/>
      <c r="K66" s="165">
        <f>I66-F66</f>
        <v>39557.179999999935</v>
      </c>
      <c r="L66" s="166">
        <f t="shared" si="7"/>
        <v>6.4461656846888676E-2</v>
      </c>
      <c r="M66" s="244"/>
      <c r="N66" s="244"/>
      <c r="O66" s="329"/>
      <c r="P66" s="65"/>
    </row>
    <row r="67" spans="1:16" ht="12.75" customHeight="1" x14ac:dyDescent="0.2">
      <c r="B67" s="185" t="s">
        <v>130</v>
      </c>
      <c r="C67" s="135" t="s">
        <v>127</v>
      </c>
      <c r="D67" s="273">
        <f>SUM(D65:D66)</f>
        <v>5773170.4876905456</v>
      </c>
      <c r="E67" s="298"/>
      <c r="F67" s="311">
        <f>SUM(F59:F66)</f>
        <v>1143200.29</v>
      </c>
      <c r="H67" s="170"/>
      <c r="I67" s="311">
        <f>SUM(I59:I66)</f>
        <v>1195376.3</v>
      </c>
      <c r="J67" s="252"/>
      <c r="K67" s="279">
        <f>SUM(K59:K66)</f>
        <v>52176.009999999951</v>
      </c>
      <c r="L67" s="331">
        <f>IFERROR(K67/F67, )</f>
        <v>4.5640305077249366E-2</v>
      </c>
      <c r="M67" s="244"/>
      <c r="N67" s="244"/>
      <c r="O67" s="284"/>
      <c r="P67" s="65"/>
    </row>
    <row r="68" spans="1:16" x14ac:dyDescent="0.2">
      <c r="B68" s="185"/>
      <c r="C68" s="178"/>
      <c r="D68" s="169"/>
      <c r="E68" s="298"/>
      <c r="F68" s="199"/>
      <c r="H68" s="170"/>
      <c r="I68" s="199"/>
      <c r="J68" s="252"/>
      <c r="K68" s="165"/>
      <c r="L68" s="172"/>
      <c r="M68" s="244"/>
      <c r="N68" s="275"/>
      <c r="O68" s="314"/>
      <c r="P68" s="65"/>
    </row>
    <row r="69" spans="1:16" s="135" customFormat="1" x14ac:dyDescent="0.2">
      <c r="B69" s="163" t="s">
        <v>129</v>
      </c>
      <c r="D69" s="169"/>
      <c r="E69" s="133"/>
      <c r="F69" s="311">
        <f>F67</f>
        <v>1143200.29</v>
      </c>
      <c r="G69" s="169"/>
      <c r="H69" s="170"/>
      <c r="I69" s="311">
        <f>I67</f>
        <v>1195376.3</v>
      </c>
      <c r="J69" s="252"/>
      <c r="K69" s="279">
        <f>K67</f>
        <v>52176.009999999951</v>
      </c>
      <c r="L69" s="331">
        <f>IFERROR(K69/F69, )</f>
        <v>4.5640305077249366E-2</v>
      </c>
      <c r="M69" s="244"/>
      <c r="N69" s="244"/>
    </row>
    <row r="70" spans="1:16" x14ac:dyDescent="0.2">
      <c r="A70" s="135"/>
      <c r="B70" s="259"/>
      <c r="C70" s="216"/>
      <c r="D70" s="190"/>
      <c r="E70" s="332"/>
      <c r="F70" s="189"/>
      <c r="G70" s="190"/>
      <c r="H70" s="316"/>
      <c r="I70" s="323"/>
      <c r="J70" s="317"/>
      <c r="K70" s="264"/>
      <c r="L70" s="218"/>
      <c r="M70" s="244"/>
      <c r="N70" s="244"/>
    </row>
    <row r="71" spans="1:16" s="135" customFormat="1" x14ac:dyDescent="0.2">
      <c r="D71" s="169"/>
      <c r="E71" s="333"/>
      <c r="F71" s="196"/>
      <c r="G71" s="169"/>
      <c r="H71" s="170"/>
      <c r="I71" s="199"/>
      <c r="J71" s="252"/>
      <c r="K71" s="165"/>
      <c r="L71" s="334"/>
      <c r="M71" s="244"/>
      <c r="N71" s="244"/>
    </row>
    <row r="72" spans="1:16" x14ac:dyDescent="0.2">
      <c r="A72" s="135"/>
      <c r="B72" s="156" t="s">
        <v>104</v>
      </c>
      <c r="C72" s="247"/>
      <c r="D72" s="248"/>
      <c r="E72" s="304"/>
      <c r="F72" s="319"/>
      <c r="G72" s="248"/>
      <c r="H72" s="306"/>
      <c r="I72" s="327"/>
      <c r="J72" s="307"/>
      <c r="K72" s="161"/>
      <c r="L72" s="194"/>
      <c r="M72" s="244"/>
      <c r="N72" s="244"/>
    </row>
    <row r="73" spans="1:16" x14ac:dyDescent="0.2">
      <c r="A73" s="135"/>
      <c r="B73" s="163"/>
      <c r="C73" s="135"/>
      <c r="D73" s="169"/>
      <c r="E73" s="298"/>
      <c r="F73" s="196"/>
      <c r="G73" s="197"/>
      <c r="H73" s="170"/>
      <c r="I73" s="199"/>
      <c r="J73" s="252"/>
      <c r="K73" s="165"/>
      <c r="L73" s="166"/>
      <c r="M73" s="244"/>
      <c r="N73" s="244"/>
    </row>
    <row r="74" spans="1:16" x14ac:dyDescent="0.2">
      <c r="A74" s="135"/>
      <c r="B74" s="185" t="s">
        <v>66</v>
      </c>
      <c r="C74" s="178" t="s">
        <v>126</v>
      </c>
      <c r="D74" s="169">
        <v>135.03332221112262</v>
      </c>
      <c r="E74" s="170">
        <v>457.76</v>
      </c>
      <c r="F74" s="196">
        <f>ROUND(D74*E74,2)</f>
        <v>61812.85</v>
      </c>
      <c r="H74" s="200">
        <f>E74</f>
        <v>457.76</v>
      </c>
      <c r="I74" s="199">
        <f>ROUND(D74*H74,2)</f>
        <v>61812.85</v>
      </c>
      <c r="J74" s="252"/>
      <c r="K74" s="165">
        <f>I74-F74</f>
        <v>0</v>
      </c>
      <c r="L74" s="166">
        <f t="shared" ref="L74:L76" si="8">IFERROR(K74/F74, )</f>
        <v>0</v>
      </c>
      <c r="M74" s="244"/>
      <c r="N74" s="244"/>
    </row>
    <row r="75" spans="1:16" x14ac:dyDescent="0.2">
      <c r="A75" s="135"/>
      <c r="B75" s="163" t="s">
        <v>143</v>
      </c>
      <c r="C75" s="135" t="s">
        <v>144</v>
      </c>
      <c r="D75" s="169">
        <v>43385</v>
      </c>
      <c r="E75" s="170">
        <v>1.35</v>
      </c>
      <c r="F75" s="196">
        <f>ROUND(D75*E75,2)</f>
        <v>58569.75</v>
      </c>
      <c r="H75" s="200">
        <f>H60</f>
        <v>1.35</v>
      </c>
      <c r="I75" s="199">
        <f>ROUND(D75*H75,2)</f>
        <v>58569.75</v>
      </c>
      <c r="J75" s="252"/>
      <c r="K75" s="165">
        <f>I75-F75</f>
        <v>0</v>
      </c>
      <c r="L75" s="166">
        <f t="shared" si="8"/>
        <v>0</v>
      </c>
      <c r="M75" s="244"/>
      <c r="N75" s="244"/>
    </row>
    <row r="76" spans="1:16" x14ac:dyDescent="0.2">
      <c r="A76" s="135"/>
      <c r="B76" s="163" t="s">
        <v>154</v>
      </c>
      <c r="C76" s="135"/>
      <c r="D76" s="169"/>
      <c r="E76" s="174"/>
      <c r="F76" s="199">
        <v>0</v>
      </c>
      <c r="H76" s="175"/>
      <c r="I76" s="199">
        <f>F76</f>
        <v>0</v>
      </c>
      <c r="J76" s="328"/>
      <c r="K76" s="165">
        <f>I76-F76</f>
        <v>0</v>
      </c>
      <c r="L76" s="166">
        <f t="shared" si="8"/>
        <v>0</v>
      </c>
      <c r="M76" s="244"/>
      <c r="N76" s="244"/>
    </row>
    <row r="77" spans="1:16" x14ac:dyDescent="0.2">
      <c r="A77" s="135"/>
      <c r="B77" s="163"/>
      <c r="C77" s="135"/>
      <c r="D77" s="169"/>
      <c r="E77" s="174"/>
      <c r="F77" s="196"/>
      <c r="H77" s="175"/>
      <c r="I77" s="199"/>
      <c r="J77" s="252"/>
      <c r="K77" s="165"/>
      <c r="L77" s="166"/>
      <c r="M77" s="244"/>
      <c r="N77" s="244"/>
    </row>
    <row r="78" spans="1:16" x14ac:dyDescent="0.2">
      <c r="A78" s="135"/>
      <c r="B78" s="163" t="s">
        <v>145</v>
      </c>
      <c r="C78" s="135"/>
      <c r="D78" s="169"/>
      <c r="E78" s="174"/>
      <c r="F78" s="196"/>
      <c r="H78" s="175"/>
      <c r="I78" s="199"/>
      <c r="J78" s="252"/>
      <c r="K78" s="165"/>
      <c r="L78" s="166"/>
      <c r="M78" s="244"/>
      <c r="N78" s="244"/>
    </row>
    <row r="79" spans="1:16" x14ac:dyDescent="0.2">
      <c r="A79" s="135"/>
      <c r="B79" s="195" t="s">
        <v>102</v>
      </c>
      <c r="C79" s="154" t="s">
        <v>127</v>
      </c>
      <c r="D79" s="169">
        <v>160051.62</v>
      </c>
      <c r="E79" s="174">
        <v>0.18382000000000001</v>
      </c>
      <c r="F79" s="196">
        <f>ROUND(D79*E79,2)</f>
        <v>29420.69</v>
      </c>
      <c r="H79" s="175">
        <f>H65</f>
        <v>0.19567999999999999</v>
      </c>
      <c r="I79" s="199">
        <f>ROUND(D79*H79,2)</f>
        <v>31318.9</v>
      </c>
      <c r="J79" s="252"/>
      <c r="K79" s="165">
        <f>I79-F79</f>
        <v>1898.2100000000028</v>
      </c>
      <c r="L79" s="166">
        <f t="shared" ref="L79:L80" si="9">IFERROR(K79/F79, )</f>
        <v>6.4519560894051184E-2</v>
      </c>
      <c r="M79" s="244"/>
      <c r="N79" s="244"/>
    </row>
    <row r="80" spans="1:16" x14ac:dyDescent="0.2">
      <c r="A80" s="135"/>
      <c r="B80" s="195" t="s">
        <v>103</v>
      </c>
      <c r="C80" s="154" t="s">
        <v>127</v>
      </c>
      <c r="D80" s="169">
        <v>1558432.7200000002</v>
      </c>
      <c r="E80" s="174">
        <v>0.13031000000000001</v>
      </c>
      <c r="F80" s="196">
        <f>ROUND(D80*E80,2)</f>
        <v>203079.37</v>
      </c>
      <c r="H80" s="175">
        <f>H66</f>
        <v>0.13871</v>
      </c>
      <c r="I80" s="199">
        <f>ROUND(D80*H80,2)</f>
        <v>216170.2</v>
      </c>
      <c r="J80" s="252"/>
      <c r="K80" s="165">
        <f>I80-F80</f>
        <v>13090.830000000016</v>
      </c>
      <c r="L80" s="166">
        <f t="shared" si="9"/>
        <v>6.4461643740573046E-2</v>
      </c>
      <c r="M80" s="244"/>
      <c r="N80" s="244"/>
    </row>
    <row r="81" spans="1:14" x14ac:dyDescent="0.2">
      <c r="A81" s="135"/>
      <c r="B81" s="185" t="s">
        <v>130</v>
      </c>
      <c r="C81" s="135" t="s">
        <v>127</v>
      </c>
      <c r="D81" s="273">
        <f>SUM(D79:D80)</f>
        <v>1718484.3400000003</v>
      </c>
      <c r="E81" s="298"/>
      <c r="F81" s="311">
        <f>SUM(F74:F80)</f>
        <v>352882.66000000003</v>
      </c>
      <c r="H81" s="170"/>
      <c r="I81" s="311">
        <f>SUM(I74:I80)</f>
        <v>367871.7</v>
      </c>
      <c r="J81" s="252"/>
      <c r="K81" s="279">
        <f>SUM(K74:K80)</f>
        <v>14989.040000000019</v>
      </c>
      <c r="L81" s="331">
        <f>IFERROR(K81/F81, )</f>
        <v>4.2475989044063592E-2</v>
      </c>
      <c r="M81" s="244"/>
      <c r="N81" s="244"/>
    </row>
    <row r="82" spans="1:14" x14ac:dyDescent="0.2">
      <c r="A82" s="135"/>
      <c r="B82" s="185"/>
      <c r="C82" s="178"/>
      <c r="D82" s="169"/>
      <c r="E82" s="298"/>
      <c r="F82" s="199"/>
      <c r="H82" s="170"/>
      <c r="I82" s="199"/>
      <c r="J82" s="252"/>
      <c r="K82" s="165"/>
      <c r="L82" s="172"/>
      <c r="M82" s="244"/>
      <c r="N82" s="244"/>
    </row>
    <row r="83" spans="1:14" x14ac:dyDescent="0.2">
      <c r="A83" s="135"/>
      <c r="B83" s="185" t="s">
        <v>129</v>
      </c>
      <c r="C83" s="135"/>
      <c r="D83" s="169"/>
      <c r="E83" s="170"/>
      <c r="F83" s="311">
        <f>+F81</f>
        <v>352882.66000000003</v>
      </c>
      <c r="G83" s="311"/>
      <c r="H83" s="170"/>
      <c r="I83" s="311">
        <f>+I81</f>
        <v>367871.7</v>
      </c>
      <c r="J83" s="133"/>
      <c r="K83" s="279">
        <f>+K81</f>
        <v>14989.040000000019</v>
      </c>
      <c r="L83" s="331">
        <f>IFERROR(K83/F83, )</f>
        <v>4.2475989044063592E-2</v>
      </c>
      <c r="M83" s="244"/>
      <c r="N83" s="244"/>
    </row>
    <row r="84" spans="1:14" x14ac:dyDescent="0.2">
      <c r="A84" s="135"/>
      <c r="B84" s="259"/>
      <c r="C84" s="216"/>
      <c r="D84" s="190"/>
      <c r="E84" s="315"/>
      <c r="F84" s="189"/>
      <c r="G84" s="190"/>
      <c r="H84" s="316"/>
      <c r="I84" s="323"/>
      <c r="J84" s="317"/>
      <c r="K84" s="264"/>
      <c r="L84" s="265"/>
      <c r="M84" s="244"/>
      <c r="N84" s="244"/>
    </row>
    <row r="85" spans="1:14" s="135" customFormat="1" x14ac:dyDescent="0.2">
      <c r="D85" s="169"/>
      <c r="E85" s="333"/>
      <c r="F85" s="196"/>
      <c r="G85" s="169"/>
      <c r="H85" s="170"/>
      <c r="I85" s="199"/>
      <c r="J85" s="252"/>
      <c r="K85" s="165"/>
      <c r="L85" s="334"/>
      <c r="M85" s="244"/>
      <c r="N85" s="244"/>
    </row>
    <row r="86" spans="1:14" x14ac:dyDescent="0.2">
      <c r="A86" s="135"/>
      <c r="B86" s="156" t="s">
        <v>157</v>
      </c>
      <c r="C86" s="247"/>
      <c r="D86" s="248"/>
      <c r="E86" s="304"/>
      <c r="F86" s="319"/>
      <c r="G86" s="248"/>
      <c r="H86" s="306"/>
      <c r="I86" s="327"/>
      <c r="J86" s="307"/>
      <c r="K86" s="161"/>
      <c r="L86" s="194"/>
      <c r="M86" s="244"/>
      <c r="N86" s="244"/>
    </row>
    <row r="87" spans="1:14" x14ac:dyDescent="0.2">
      <c r="A87" s="135"/>
      <c r="B87" s="163"/>
      <c r="C87" s="135"/>
      <c r="D87" s="169"/>
      <c r="E87" s="298"/>
      <c r="F87" s="196"/>
      <c r="G87" s="197"/>
      <c r="H87" s="170"/>
      <c r="I87" s="199"/>
      <c r="J87" s="252"/>
      <c r="K87" s="165"/>
      <c r="L87" s="166"/>
      <c r="M87" s="244"/>
      <c r="N87" s="244"/>
    </row>
    <row r="88" spans="1:14" x14ac:dyDescent="0.2">
      <c r="A88" s="135"/>
      <c r="B88" s="185" t="s">
        <v>66</v>
      </c>
      <c r="C88" s="178" t="s">
        <v>126</v>
      </c>
      <c r="D88" s="169">
        <f>D59+D74</f>
        <v>1499.3332818939609</v>
      </c>
      <c r="E88" s="170"/>
      <c r="F88" s="196">
        <f>F59+F74</f>
        <v>264847.96999999997</v>
      </c>
      <c r="H88" s="267"/>
      <c r="I88" s="196">
        <f>I59+I74</f>
        <v>264847.96999999997</v>
      </c>
      <c r="J88" s="252"/>
      <c r="K88" s="165">
        <f>I88-F88</f>
        <v>0</v>
      </c>
      <c r="L88" s="166">
        <f t="shared" ref="L88:L91" si="10">IFERROR(K88/F88, )</f>
        <v>0</v>
      </c>
      <c r="M88" s="244"/>
      <c r="N88" s="244"/>
    </row>
    <row r="89" spans="1:14" x14ac:dyDescent="0.2">
      <c r="A89" s="135"/>
      <c r="B89" s="163" t="s">
        <v>143</v>
      </c>
      <c r="C89" s="135" t="s">
        <v>144</v>
      </c>
      <c r="D89" s="169">
        <f>D60+D75</f>
        <v>82472.972999999998</v>
      </c>
      <c r="E89" s="170"/>
      <c r="F89" s="196">
        <f>F60+F75</f>
        <v>111338.51000000001</v>
      </c>
      <c r="H89" s="267"/>
      <c r="I89" s="196">
        <f>I60+I75</f>
        <v>111338.51000000001</v>
      </c>
      <c r="J89" s="252"/>
      <c r="K89" s="165">
        <f>I89-F89</f>
        <v>0</v>
      </c>
      <c r="L89" s="166">
        <f t="shared" si="10"/>
        <v>0</v>
      </c>
      <c r="M89" s="244"/>
      <c r="N89" s="244"/>
    </row>
    <row r="90" spans="1:14" x14ac:dyDescent="0.2">
      <c r="A90" s="135"/>
      <c r="B90" s="163" t="s">
        <v>68</v>
      </c>
      <c r="C90" s="135" t="s">
        <v>127</v>
      </c>
      <c r="D90" s="169">
        <f>D61</f>
        <v>5773170.4876905456</v>
      </c>
      <c r="E90" s="174"/>
      <c r="F90" s="196">
        <f>F61</f>
        <v>70548.14</v>
      </c>
      <c r="H90" s="268"/>
      <c r="I90" s="196">
        <f>I61</f>
        <v>70548.14</v>
      </c>
      <c r="J90" s="252"/>
      <c r="K90" s="165">
        <f>I90-F90</f>
        <v>0</v>
      </c>
      <c r="L90" s="166">
        <f t="shared" si="10"/>
        <v>0</v>
      </c>
      <c r="M90" s="244"/>
      <c r="N90" s="244"/>
    </row>
    <row r="91" spans="1:14" x14ac:dyDescent="0.2">
      <c r="A91" s="135"/>
      <c r="B91" s="163" t="s">
        <v>154</v>
      </c>
      <c r="C91" s="135"/>
      <c r="D91" s="169"/>
      <c r="E91" s="174"/>
      <c r="F91" s="199">
        <f>F62+F76</f>
        <v>7612.77</v>
      </c>
      <c r="H91" s="174"/>
      <c r="I91" s="199">
        <f>I62+I76</f>
        <v>7612.77</v>
      </c>
      <c r="J91" s="328"/>
      <c r="K91" s="165">
        <f>I91-F91</f>
        <v>0</v>
      </c>
      <c r="L91" s="166">
        <f t="shared" si="10"/>
        <v>0</v>
      </c>
      <c r="M91" s="244"/>
      <c r="N91" s="244"/>
    </row>
    <row r="92" spans="1:14" x14ac:dyDescent="0.2">
      <c r="A92" s="135"/>
      <c r="B92" s="163"/>
      <c r="C92" s="135"/>
      <c r="D92" s="169"/>
      <c r="E92" s="174"/>
      <c r="F92" s="196"/>
      <c r="H92" s="174"/>
      <c r="I92" s="196"/>
      <c r="J92" s="252"/>
      <c r="K92" s="165"/>
      <c r="L92" s="166"/>
      <c r="M92" s="244"/>
      <c r="N92" s="244"/>
    </row>
    <row r="93" spans="1:14" x14ac:dyDescent="0.2">
      <c r="A93" s="135"/>
      <c r="B93" s="163" t="s">
        <v>145</v>
      </c>
      <c r="C93" s="135"/>
      <c r="D93" s="169"/>
      <c r="E93" s="174"/>
      <c r="F93" s="196"/>
      <c r="H93" s="174"/>
      <c r="I93" s="196"/>
      <c r="J93" s="252"/>
      <c r="K93" s="165"/>
      <c r="L93" s="166"/>
      <c r="M93" s="244"/>
      <c r="N93" s="244"/>
    </row>
    <row r="94" spans="1:14" x14ac:dyDescent="0.2">
      <c r="A94" s="135"/>
      <c r="B94" s="195" t="s">
        <v>102</v>
      </c>
      <c r="C94" s="154" t="s">
        <v>127</v>
      </c>
      <c r="D94" s="169">
        <f>D65+D79</f>
        <v>1224033.1979</v>
      </c>
      <c r="E94" s="174"/>
      <c r="F94" s="196">
        <f>F65+F79</f>
        <v>225001.78</v>
      </c>
      <c r="H94" s="174"/>
      <c r="I94" s="196">
        <f>I65+I79</f>
        <v>239518.82</v>
      </c>
      <c r="J94" s="252"/>
      <c r="K94" s="165">
        <f>I94-F94</f>
        <v>14517.040000000008</v>
      </c>
      <c r="L94" s="166">
        <f t="shared" ref="L94:L95" si="11">IFERROR(K94/F94, )</f>
        <v>6.4519667355520519E-2</v>
      </c>
      <c r="M94" s="244"/>
      <c r="N94" s="244"/>
    </row>
    <row r="95" spans="1:14" x14ac:dyDescent="0.2">
      <c r="A95" s="135"/>
      <c r="B95" s="195" t="s">
        <v>103</v>
      </c>
      <c r="C95" s="154" t="s">
        <v>127</v>
      </c>
      <c r="D95" s="169">
        <f>D66+D80</f>
        <v>6267621.6297905464</v>
      </c>
      <c r="E95" s="174"/>
      <c r="F95" s="196">
        <f>F66+F80</f>
        <v>816733.78</v>
      </c>
      <c r="H95" s="174"/>
      <c r="I95" s="196">
        <f>I66+I80</f>
        <v>869381.79</v>
      </c>
      <c r="J95" s="252"/>
      <c r="K95" s="165">
        <f>I95-F95</f>
        <v>52648.010000000009</v>
      </c>
      <c r="L95" s="166">
        <f t="shared" si="11"/>
        <v>6.446165358802719E-2</v>
      </c>
      <c r="M95" s="244"/>
      <c r="N95" s="244"/>
    </row>
    <row r="96" spans="1:14" x14ac:dyDescent="0.2">
      <c r="A96" s="135"/>
      <c r="B96" s="185" t="s">
        <v>130</v>
      </c>
      <c r="C96" s="135" t="s">
        <v>127</v>
      </c>
      <c r="D96" s="273">
        <f>SUM(D94:D95)</f>
        <v>7491654.8276905464</v>
      </c>
      <c r="E96" s="298"/>
      <c r="F96" s="311">
        <f>SUM(F88:F95)</f>
        <v>1496082.9500000002</v>
      </c>
      <c r="H96" s="170"/>
      <c r="I96" s="311">
        <f>SUM(I88:I95)</f>
        <v>1563248</v>
      </c>
      <c r="J96" s="252"/>
      <c r="K96" s="279">
        <f>SUM(K88:K95)</f>
        <v>67165.050000000017</v>
      </c>
      <c r="L96" s="331">
        <f>IFERROR(K96/F96, )</f>
        <v>4.4893934524151892E-2</v>
      </c>
      <c r="M96" s="244"/>
      <c r="N96" s="244"/>
    </row>
    <row r="97" spans="1:16" x14ac:dyDescent="0.2">
      <c r="A97" s="135"/>
      <c r="B97" s="185"/>
      <c r="C97" s="178"/>
      <c r="D97" s="169"/>
      <c r="E97" s="298"/>
      <c r="F97" s="199"/>
      <c r="H97" s="170"/>
      <c r="I97" s="199"/>
      <c r="J97" s="252"/>
      <c r="K97" s="165"/>
      <c r="L97" s="172"/>
      <c r="M97" s="244"/>
      <c r="N97" s="244"/>
    </row>
    <row r="98" spans="1:16" x14ac:dyDescent="0.2">
      <c r="A98" s="135"/>
      <c r="B98" s="185" t="s">
        <v>129</v>
      </c>
      <c r="C98" s="178"/>
      <c r="D98" s="154"/>
      <c r="E98" s="133"/>
      <c r="F98" s="311">
        <f>F96</f>
        <v>1496082.9500000002</v>
      </c>
      <c r="G98" s="154"/>
      <c r="H98" s="170"/>
      <c r="I98" s="311">
        <f>I96</f>
        <v>1563248</v>
      </c>
      <c r="J98" s="252"/>
      <c r="K98" s="279">
        <f>K96</f>
        <v>67165.050000000017</v>
      </c>
      <c r="L98" s="331">
        <f>IFERROR(K98/F98, )</f>
        <v>4.4893934524151892E-2</v>
      </c>
      <c r="M98" s="244"/>
      <c r="N98" s="244"/>
    </row>
    <row r="99" spans="1:16" x14ac:dyDescent="0.2">
      <c r="A99" s="135"/>
      <c r="B99" s="259"/>
      <c r="C99" s="216"/>
      <c r="D99" s="190"/>
      <c r="E99" s="315"/>
      <c r="F99" s="189"/>
      <c r="G99" s="190"/>
      <c r="H99" s="316"/>
      <c r="I99" s="323"/>
      <c r="J99" s="317"/>
      <c r="K99" s="264"/>
      <c r="L99" s="218"/>
      <c r="M99" s="244"/>
      <c r="N99" s="244"/>
    </row>
    <row r="100" spans="1:16" s="135" customFormat="1" x14ac:dyDescent="0.2">
      <c r="B100" s="154"/>
      <c r="C100" s="154"/>
      <c r="D100" s="169"/>
      <c r="E100" s="333"/>
      <c r="F100" s="196"/>
      <c r="G100" s="169"/>
      <c r="H100" s="170"/>
      <c r="I100" s="199"/>
      <c r="J100" s="318"/>
      <c r="K100" s="196"/>
      <c r="L100" s="335"/>
      <c r="M100" s="244"/>
      <c r="N100" s="244"/>
    </row>
    <row r="101" spans="1:16" s="135" customFormat="1" x14ac:dyDescent="0.2">
      <c r="B101" s="154"/>
      <c r="C101" s="154"/>
      <c r="D101" s="169"/>
      <c r="E101" s="174"/>
      <c r="F101" s="196"/>
      <c r="G101" s="169"/>
      <c r="H101" s="170"/>
      <c r="I101" s="199"/>
      <c r="J101" s="318"/>
      <c r="K101" s="196"/>
      <c r="L101" s="335"/>
      <c r="M101" s="244"/>
      <c r="N101" s="244"/>
    </row>
    <row r="102" spans="1:16" x14ac:dyDescent="0.2">
      <c r="B102" s="156" t="s">
        <v>106</v>
      </c>
      <c r="C102" s="247"/>
      <c r="D102" s="248"/>
      <c r="E102" s="304"/>
      <c r="F102" s="319"/>
      <c r="G102" s="248"/>
      <c r="H102" s="306"/>
      <c r="I102" s="327"/>
      <c r="J102" s="307"/>
      <c r="K102" s="161"/>
      <c r="L102" s="162"/>
      <c r="M102" s="244"/>
      <c r="N102" s="244"/>
      <c r="O102" s="135"/>
    </row>
    <row r="103" spans="1:16" x14ac:dyDescent="0.2">
      <c r="B103" s="163"/>
      <c r="C103" s="135"/>
      <c r="D103" s="169"/>
      <c r="E103" s="298"/>
      <c r="F103" s="196"/>
      <c r="H103" s="170"/>
      <c r="I103" s="199"/>
      <c r="J103" s="252"/>
      <c r="K103" s="165"/>
      <c r="L103" s="166"/>
      <c r="M103" s="244"/>
      <c r="N103" s="244"/>
      <c r="O103" s="146" t="s">
        <v>158</v>
      </c>
    </row>
    <row r="104" spans="1:16" x14ac:dyDescent="0.2">
      <c r="B104" s="185" t="s">
        <v>66</v>
      </c>
      <c r="C104" s="178" t="s">
        <v>126</v>
      </c>
      <c r="D104" s="169">
        <v>61</v>
      </c>
      <c r="E104" s="170">
        <v>606.5</v>
      </c>
      <c r="F104" s="196">
        <f>ROUND(D104*E104,2)</f>
        <v>36996.5</v>
      </c>
      <c r="H104" s="200">
        <v>715.15</v>
      </c>
      <c r="I104" s="199">
        <f>ROUND(D104*H104,2)</f>
        <v>43624.15</v>
      </c>
      <c r="J104" s="252"/>
      <c r="K104" s="165">
        <f>I104-F104</f>
        <v>6627.6500000000015</v>
      </c>
      <c r="L104" s="166">
        <f t="shared" ref="L104:L107" si="12">IFERROR(K104/F104, )</f>
        <v>0.17914262159934052</v>
      </c>
      <c r="M104" s="244"/>
      <c r="N104" s="244"/>
      <c r="O104" s="336">
        <f>'Exh JDT-5 (JDT-Rate Spread)'!K56</f>
        <v>6330577.5797373755</v>
      </c>
    </row>
    <row r="105" spans="1:16" x14ac:dyDescent="0.2">
      <c r="B105" s="163" t="s">
        <v>143</v>
      </c>
      <c r="C105" s="135" t="s">
        <v>144</v>
      </c>
      <c r="D105" s="169">
        <v>0</v>
      </c>
      <c r="E105" s="170">
        <v>1.45</v>
      </c>
      <c r="F105" s="196">
        <f>ROUND(D105*E105,2)</f>
        <v>0</v>
      </c>
      <c r="H105" s="171">
        <f>E105</f>
        <v>1.45</v>
      </c>
      <c r="I105" s="199">
        <f>ROUND(D105*H105,2)</f>
        <v>0</v>
      </c>
      <c r="J105" s="252"/>
      <c r="K105" s="165">
        <f>I105-F105</f>
        <v>0</v>
      </c>
      <c r="L105" s="166">
        <f>IFERROR(K105/F105, )</f>
        <v>0</v>
      </c>
      <c r="M105" s="244"/>
      <c r="N105" s="244"/>
      <c r="O105" s="176" t="s">
        <v>128</v>
      </c>
    </row>
    <row r="106" spans="1:16" x14ac:dyDescent="0.2">
      <c r="B106" s="163" t="s">
        <v>68</v>
      </c>
      <c r="C106" s="135"/>
      <c r="D106" s="169">
        <f>D116</f>
        <v>21819455.762355208</v>
      </c>
      <c r="E106" s="174">
        <v>8.43E-3</v>
      </c>
      <c r="F106" s="196">
        <f>ROUND(D106*E106,2)</f>
        <v>183938.01</v>
      </c>
      <c r="H106" s="175">
        <f>ROUND(E106*(1+$O$108),5)</f>
        <v>9.3699999999999999E-3</v>
      </c>
      <c r="I106" s="196">
        <f>ROUND(D106*H106,2)</f>
        <v>204448.3</v>
      </c>
      <c r="J106" s="252"/>
      <c r="K106" s="165">
        <f>I106-F106</f>
        <v>20510.289999999979</v>
      </c>
      <c r="L106" s="166">
        <f t="shared" si="12"/>
        <v>0.11150653418507669</v>
      </c>
      <c r="M106" s="244"/>
      <c r="N106" s="244"/>
      <c r="O106" s="181">
        <f>I155-O104</f>
        <v>-27.749737376347184</v>
      </c>
    </row>
    <row r="107" spans="1:16" x14ac:dyDescent="0.2">
      <c r="B107" s="195" t="s">
        <v>154</v>
      </c>
      <c r="C107" s="154"/>
      <c r="D107" s="169"/>
      <c r="E107" s="170"/>
      <c r="F107" s="199">
        <v>51086.770000000004</v>
      </c>
      <c r="H107" s="174" t="s">
        <v>159</v>
      </c>
      <c r="I107" s="199">
        <f>F107</f>
        <v>51086.770000000004</v>
      </c>
      <c r="J107" s="252"/>
      <c r="K107" s="165">
        <f>I107-F107</f>
        <v>0</v>
      </c>
      <c r="L107" s="166">
        <f t="shared" si="12"/>
        <v>0</v>
      </c>
      <c r="M107" s="244"/>
      <c r="N107" s="244"/>
      <c r="O107" s="337"/>
    </row>
    <row r="108" spans="1:16" x14ac:dyDescent="0.2">
      <c r="B108" s="163"/>
      <c r="C108" s="135"/>
      <c r="D108" s="169"/>
      <c r="E108" s="133"/>
      <c r="F108" s="196"/>
      <c r="H108" s="174"/>
      <c r="I108" s="199"/>
      <c r="J108" s="252"/>
      <c r="K108" s="202"/>
      <c r="L108" s="271"/>
      <c r="M108" s="244"/>
      <c r="N108" s="244"/>
      <c r="O108" s="338">
        <f>'Exh JDT-5 (JDT-Rate Spread)'!K59</f>
        <v>0.11151356626791586</v>
      </c>
    </row>
    <row r="109" spans="1:16" x14ac:dyDescent="0.2">
      <c r="B109" s="163" t="s">
        <v>145</v>
      </c>
      <c r="C109" s="135"/>
      <c r="D109" s="169"/>
      <c r="E109" s="133"/>
      <c r="F109" s="196"/>
      <c r="H109" s="174"/>
      <c r="I109" s="199"/>
      <c r="J109" s="252"/>
      <c r="K109" s="202"/>
      <c r="L109" s="271"/>
      <c r="M109" s="244"/>
      <c r="N109" s="244"/>
      <c r="O109" s="339">
        <f>(O104-SUM(I141:I144,I152))/SUM(F147:F151)-1</f>
        <v>0.19185329518358674</v>
      </c>
      <c r="P109" s="65"/>
    </row>
    <row r="110" spans="1:16" x14ac:dyDescent="0.2">
      <c r="B110" s="163" t="s">
        <v>96</v>
      </c>
      <c r="C110" s="135" t="s">
        <v>127</v>
      </c>
      <c r="D110" s="169">
        <v>1512193</v>
      </c>
      <c r="E110" s="174">
        <v>0.17533000000000001</v>
      </c>
      <c r="F110" s="196">
        <f t="shared" ref="F110:F115" si="13">ROUND(D110*E110,2)</f>
        <v>265132.79999999999</v>
      </c>
      <c r="H110" s="175">
        <f>ROUND(E110*(1+$O$109),5)</f>
        <v>0.20896999999999999</v>
      </c>
      <c r="I110" s="199">
        <f t="shared" ref="I110:I115" si="14">ROUND(D110*H110,2)</f>
        <v>316002.96999999997</v>
      </c>
      <c r="J110" s="252"/>
      <c r="K110" s="165">
        <f t="shared" ref="K110:K116" si="15">I110-F110</f>
        <v>50870.169999999984</v>
      </c>
      <c r="L110" s="166">
        <f t="shared" ref="L110:L115" si="16">IFERROR(K110/F110, )</f>
        <v>0.19186675507519246</v>
      </c>
      <c r="M110" s="244"/>
      <c r="N110" s="244"/>
      <c r="O110" s="339">
        <f>O108*0.33</f>
        <v>3.6799476868412236E-2</v>
      </c>
      <c r="P110" s="122"/>
    </row>
    <row r="111" spans="1:16" x14ac:dyDescent="0.2">
      <c r="B111" s="163" t="s">
        <v>97</v>
      </c>
      <c r="C111" s="135" t="s">
        <v>127</v>
      </c>
      <c r="D111" s="169">
        <v>1398016.115</v>
      </c>
      <c r="E111" s="174">
        <v>0.10595</v>
      </c>
      <c r="F111" s="196">
        <f t="shared" si="13"/>
        <v>148119.81</v>
      </c>
      <c r="H111" s="175">
        <f t="shared" ref="H111:H114" si="17">ROUND(E111*(1+$O$109),5)</f>
        <v>0.12628</v>
      </c>
      <c r="I111" s="199">
        <f t="shared" si="14"/>
        <v>176541.48</v>
      </c>
      <c r="J111" s="252"/>
      <c r="K111" s="165">
        <f t="shared" si="15"/>
        <v>28421.670000000013</v>
      </c>
      <c r="L111" s="166">
        <f t="shared" si="16"/>
        <v>0.19188297635542478</v>
      </c>
      <c r="M111" s="244"/>
      <c r="N111" s="244"/>
      <c r="O111" s="201"/>
      <c r="P111" s="135"/>
    </row>
    <row r="112" spans="1:16" x14ac:dyDescent="0.2">
      <c r="B112" s="163" t="s">
        <v>107</v>
      </c>
      <c r="C112" s="135" t="s">
        <v>127</v>
      </c>
      <c r="D112" s="169">
        <v>2316890.0959999999</v>
      </c>
      <c r="E112" s="174">
        <v>6.7419999999999994E-2</v>
      </c>
      <c r="F112" s="196">
        <f t="shared" si="13"/>
        <v>156204.73000000001</v>
      </c>
      <c r="H112" s="175">
        <f t="shared" si="17"/>
        <v>8.0350000000000005E-2</v>
      </c>
      <c r="I112" s="199">
        <f t="shared" si="14"/>
        <v>186162.12</v>
      </c>
      <c r="J112" s="252"/>
      <c r="K112" s="165">
        <f t="shared" si="15"/>
        <v>29957.389999999985</v>
      </c>
      <c r="L112" s="166">
        <f t="shared" si="16"/>
        <v>0.1917828608647125</v>
      </c>
      <c r="M112" s="244"/>
      <c r="N112" s="244"/>
      <c r="O112" s="178"/>
      <c r="P112" s="178"/>
    </row>
    <row r="113" spans="1:16" x14ac:dyDescent="0.2">
      <c r="B113" s="163" t="s">
        <v>108</v>
      </c>
      <c r="C113" s="135" t="s">
        <v>127</v>
      </c>
      <c r="D113" s="169">
        <v>3045256.8779999996</v>
      </c>
      <c r="E113" s="174">
        <v>4.3229999999999998E-2</v>
      </c>
      <c r="F113" s="196">
        <f t="shared" si="13"/>
        <v>131646.45000000001</v>
      </c>
      <c r="H113" s="175">
        <f t="shared" si="17"/>
        <v>5.1520000000000003E-2</v>
      </c>
      <c r="I113" s="199">
        <f t="shared" si="14"/>
        <v>156891.63</v>
      </c>
      <c r="J113" s="252"/>
      <c r="K113" s="165">
        <f t="shared" si="15"/>
        <v>25245.179999999993</v>
      </c>
      <c r="L113" s="166">
        <f t="shared" si="16"/>
        <v>0.19176498872548398</v>
      </c>
      <c r="M113" s="244"/>
      <c r="N113" s="244"/>
      <c r="O113" s="135"/>
      <c r="P113" s="135"/>
    </row>
    <row r="114" spans="1:16" x14ac:dyDescent="0.2">
      <c r="B114" s="163" t="s">
        <v>109</v>
      </c>
      <c r="C114" s="135" t="s">
        <v>127</v>
      </c>
      <c r="D114" s="169">
        <v>3792042.2029999997</v>
      </c>
      <c r="E114" s="174">
        <v>3.1109999999999999E-2</v>
      </c>
      <c r="F114" s="196">
        <f t="shared" si="13"/>
        <v>117970.43</v>
      </c>
      <c r="H114" s="175">
        <f t="shared" si="17"/>
        <v>3.7080000000000002E-2</v>
      </c>
      <c r="I114" s="199">
        <f t="shared" si="14"/>
        <v>140608.92000000001</v>
      </c>
      <c r="J114" s="252"/>
      <c r="K114" s="165">
        <f t="shared" si="15"/>
        <v>22638.49000000002</v>
      </c>
      <c r="L114" s="166">
        <f t="shared" si="16"/>
        <v>0.19189969893302941</v>
      </c>
      <c r="M114" s="244"/>
      <c r="N114" s="244"/>
      <c r="P114" s="135"/>
    </row>
    <row r="115" spans="1:16" x14ac:dyDescent="0.2">
      <c r="B115" s="163" t="s">
        <v>110</v>
      </c>
      <c r="C115" s="135" t="s">
        <v>127</v>
      </c>
      <c r="D115" s="169">
        <v>9755057.4703552071</v>
      </c>
      <c r="E115" s="174">
        <v>2.3990000000000001E-2</v>
      </c>
      <c r="F115" s="196">
        <f t="shared" si="13"/>
        <v>234023.83</v>
      </c>
      <c r="H115" s="340">
        <f>ROUND(E115*(1+$O$110),5)</f>
        <v>2.487E-2</v>
      </c>
      <c r="I115" s="199">
        <f t="shared" si="14"/>
        <v>242608.28</v>
      </c>
      <c r="J115" s="252"/>
      <c r="K115" s="165">
        <f t="shared" si="15"/>
        <v>8584.4500000000116</v>
      </c>
      <c r="L115" s="166">
        <f t="shared" si="16"/>
        <v>3.6681948158869174E-2</v>
      </c>
      <c r="M115" s="244"/>
      <c r="N115" s="244"/>
      <c r="O115" s="135"/>
      <c r="P115" s="178"/>
    </row>
    <row r="116" spans="1:16" x14ac:dyDescent="0.2">
      <c r="B116" s="185" t="s">
        <v>130</v>
      </c>
      <c r="C116" s="135" t="s">
        <v>127</v>
      </c>
      <c r="D116" s="273">
        <f>SUM(D110:D115)</f>
        <v>21819455.762355208</v>
      </c>
      <c r="E116" s="298"/>
      <c r="F116" s="311">
        <f>SUM(F104:F115)</f>
        <v>1325119.33</v>
      </c>
      <c r="H116" s="170"/>
      <c r="I116" s="311">
        <f>SUM(I104:I115)</f>
        <v>1517974.6199999999</v>
      </c>
      <c r="J116" s="252"/>
      <c r="K116" s="279">
        <f t="shared" si="15"/>
        <v>192855.2899999998</v>
      </c>
      <c r="L116" s="331">
        <f>IFERROR(K116/F116, )</f>
        <v>0.14553805505199277</v>
      </c>
      <c r="M116" s="244"/>
      <c r="N116" s="244"/>
      <c r="O116" s="135"/>
      <c r="P116" s="266"/>
    </row>
    <row r="117" spans="1:16" x14ac:dyDescent="0.2">
      <c r="B117" s="185"/>
      <c r="C117" s="178"/>
      <c r="D117" s="169"/>
      <c r="E117" s="298"/>
      <c r="F117" s="196"/>
      <c r="H117" s="170"/>
      <c r="I117" s="199"/>
      <c r="J117" s="252"/>
      <c r="K117" s="165"/>
      <c r="L117" s="172"/>
      <c r="M117" s="244"/>
      <c r="N117" s="275"/>
      <c r="O117" s="341"/>
      <c r="P117" s="135"/>
    </row>
    <row r="118" spans="1:16" x14ac:dyDescent="0.2">
      <c r="B118" s="163" t="s">
        <v>129</v>
      </c>
      <c r="C118" s="135"/>
      <c r="D118" s="169"/>
      <c r="E118" s="133"/>
      <c r="F118" s="311">
        <f>F116</f>
        <v>1325119.33</v>
      </c>
      <c r="H118" s="170"/>
      <c r="I118" s="311">
        <f>I116</f>
        <v>1517974.6199999999</v>
      </c>
      <c r="J118" s="252"/>
      <c r="K118" s="279">
        <f>K116</f>
        <v>192855.2899999998</v>
      </c>
      <c r="L118" s="331">
        <f>IFERROR(K118/F118, )</f>
        <v>0.14553805505199277</v>
      </c>
      <c r="M118" s="244"/>
      <c r="N118" s="244"/>
      <c r="O118" s="135"/>
      <c r="P118" s="135"/>
    </row>
    <row r="119" spans="1:16" x14ac:dyDescent="0.2">
      <c r="A119" s="135"/>
      <c r="B119" s="259"/>
      <c r="C119" s="216"/>
      <c r="D119" s="190"/>
      <c r="E119" s="325"/>
      <c r="F119" s="189"/>
      <c r="G119" s="190"/>
      <c r="H119" s="316"/>
      <c r="I119" s="323"/>
      <c r="J119" s="317"/>
      <c r="K119" s="264"/>
      <c r="L119" s="218"/>
      <c r="M119" s="244"/>
      <c r="N119" s="244"/>
      <c r="O119" s="178"/>
      <c r="P119" s="135"/>
    </row>
    <row r="120" spans="1:16" x14ac:dyDescent="0.2">
      <c r="A120" s="135"/>
      <c r="B120" s="135"/>
      <c r="C120" s="135"/>
      <c r="D120" s="169"/>
      <c r="E120" s="174"/>
      <c r="F120" s="196"/>
      <c r="H120" s="170"/>
      <c r="I120" s="199"/>
      <c r="J120" s="252"/>
      <c r="K120" s="165"/>
      <c r="L120" s="334"/>
      <c r="M120" s="244"/>
      <c r="N120" s="244"/>
      <c r="O120" s="135"/>
      <c r="P120" s="135"/>
    </row>
    <row r="121" spans="1:16" x14ac:dyDescent="0.2">
      <c r="A121" s="135"/>
      <c r="B121" s="156" t="s">
        <v>111</v>
      </c>
      <c r="C121" s="247"/>
      <c r="D121" s="248"/>
      <c r="E121" s="304"/>
      <c r="F121" s="319"/>
      <c r="G121" s="248"/>
      <c r="H121" s="306"/>
      <c r="I121" s="327"/>
      <c r="J121" s="307"/>
      <c r="K121" s="161"/>
      <c r="L121" s="162"/>
      <c r="M121" s="244"/>
      <c r="N121" s="244"/>
      <c r="O121" s="135"/>
      <c r="P121" s="135"/>
    </row>
    <row r="122" spans="1:16" x14ac:dyDescent="0.2">
      <c r="A122" s="135"/>
      <c r="B122" s="163"/>
      <c r="C122" s="135"/>
      <c r="D122" s="169"/>
      <c r="E122" s="298"/>
      <c r="F122" s="196"/>
      <c r="H122" s="170"/>
      <c r="I122" s="199"/>
      <c r="J122" s="252"/>
      <c r="K122" s="165"/>
      <c r="L122" s="166"/>
      <c r="M122" s="244"/>
      <c r="N122" s="244"/>
      <c r="O122" s="135"/>
      <c r="P122" s="135"/>
    </row>
    <row r="123" spans="1:16" x14ac:dyDescent="0.2">
      <c r="A123" s="135"/>
      <c r="B123" s="185" t="s">
        <v>66</v>
      </c>
      <c r="C123" s="178" t="s">
        <v>126</v>
      </c>
      <c r="D123" s="169">
        <v>120.00000000000001</v>
      </c>
      <c r="E123" s="170">
        <v>918.31</v>
      </c>
      <c r="F123" s="196">
        <f>ROUND(D123*E123,2)</f>
        <v>110197.2</v>
      </c>
      <c r="H123" s="200">
        <v>1082.81</v>
      </c>
      <c r="I123" s="199">
        <f>ROUND(D123*H123,2)</f>
        <v>129937.2</v>
      </c>
      <c r="J123" s="252"/>
      <c r="K123" s="165">
        <f>I123-F123</f>
        <v>19740</v>
      </c>
      <c r="L123" s="166">
        <f t="shared" ref="L123:L124" si="18">IFERROR(K123/F123, )</f>
        <v>0.179133408108373</v>
      </c>
      <c r="M123" s="244"/>
      <c r="N123" s="244"/>
      <c r="O123" s="135"/>
      <c r="P123" s="135"/>
    </row>
    <row r="124" spans="1:16" x14ac:dyDescent="0.2">
      <c r="A124" s="135"/>
      <c r="B124" s="163" t="s">
        <v>143</v>
      </c>
      <c r="C124" s="135" t="s">
        <v>144</v>
      </c>
      <c r="D124" s="169">
        <v>296082</v>
      </c>
      <c r="E124" s="170">
        <v>1.45</v>
      </c>
      <c r="F124" s="196">
        <f>ROUND(D124*E124,2)</f>
        <v>429318.9</v>
      </c>
      <c r="H124" s="171">
        <f>H105</f>
        <v>1.45</v>
      </c>
      <c r="I124" s="199">
        <f>ROUND(D124*H124,2)</f>
        <v>429318.9</v>
      </c>
      <c r="J124" s="252"/>
      <c r="K124" s="165">
        <f>I124-F124</f>
        <v>0</v>
      </c>
      <c r="L124" s="166">
        <f t="shared" si="18"/>
        <v>0</v>
      </c>
      <c r="M124" s="244"/>
      <c r="N124" s="244"/>
    </row>
    <row r="125" spans="1:16" x14ac:dyDescent="0.2">
      <c r="A125" s="135"/>
      <c r="B125" s="163" t="s">
        <v>154</v>
      </c>
      <c r="C125" s="135"/>
      <c r="D125" s="169"/>
      <c r="E125" s="170"/>
      <c r="F125" s="199">
        <v>19447.379999999997</v>
      </c>
      <c r="H125" s="200"/>
      <c r="I125" s="199">
        <f>F125</f>
        <v>19447.379999999997</v>
      </c>
      <c r="J125" s="252"/>
      <c r="K125" s="202"/>
      <c r="L125" s="166">
        <f>IFERROR(K125/F125, )</f>
        <v>0</v>
      </c>
      <c r="M125" s="244"/>
      <c r="N125" s="244"/>
    </row>
    <row r="126" spans="1:16" x14ac:dyDescent="0.2">
      <c r="A126" s="135"/>
      <c r="B126" s="195"/>
      <c r="C126" s="135"/>
      <c r="D126" s="169"/>
      <c r="E126" s="174"/>
      <c r="F126" s="196"/>
      <c r="H126" s="175"/>
      <c r="I126" s="199"/>
      <c r="J126" s="252"/>
      <c r="K126" s="202"/>
      <c r="L126" s="271"/>
      <c r="M126" s="244"/>
      <c r="N126" s="244"/>
    </row>
    <row r="127" spans="1:16" x14ac:dyDescent="0.2">
      <c r="A127" s="135"/>
      <c r="B127" s="163" t="s">
        <v>145</v>
      </c>
      <c r="C127" s="135"/>
      <c r="D127" s="169"/>
      <c r="E127" s="133"/>
      <c r="F127" s="196"/>
      <c r="H127" s="175"/>
      <c r="I127" s="199"/>
      <c r="J127" s="252"/>
      <c r="K127" s="202"/>
      <c r="L127" s="271"/>
      <c r="M127" s="244"/>
      <c r="N127" s="244"/>
    </row>
    <row r="128" spans="1:16" x14ac:dyDescent="0.2">
      <c r="A128" s="135"/>
      <c r="B128" s="163" t="s">
        <v>96</v>
      </c>
      <c r="C128" s="135" t="s">
        <v>127</v>
      </c>
      <c r="D128" s="169">
        <v>2998789.67</v>
      </c>
      <c r="E128" s="174">
        <v>0.17533000000000001</v>
      </c>
      <c r="F128" s="196">
        <f t="shared" ref="F128:F133" si="19">ROUND(D128*E128,2)</f>
        <v>525777.79</v>
      </c>
      <c r="H128" s="175">
        <f t="shared" ref="H128:H133" si="20">H110</f>
        <v>0.20896999999999999</v>
      </c>
      <c r="I128" s="199">
        <f t="shared" ref="I128:I133" si="21">ROUND(D128*H128,2)</f>
        <v>626657.07999999996</v>
      </c>
      <c r="J128" s="252"/>
      <c r="K128" s="165">
        <f t="shared" ref="K128:K133" si="22">I128-F128</f>
        <v>100879.28999999992</v>
      </c>
      <c r="L128" s="166">
        <f t="shared" ref="L128:L133" si="23">IFERROR(K128/F128, )</f>
        <v>0.19186677702761068</v>
      </c>
      <c r="M128" s="244"/>
      <c r="N128" s="244"/>
    </row>
    <row r="129" spans="1:15" x14ac:dyDescent="0.2">
      <c r="A129" s="135"/>
      <c r="B129" s="163" t="s">
        <v>97</v>
      </c>
      <c r="C129" s="135" t="s">
        <v>127</v>
      </c>
      <c r="D129" s="169">
        <v>3000000</v>
      </c>
      <c r="E129" s="174">
        <v>0.10595</v>
      </c>
      <c r="F129" s="196">
        <f t="shared" si="19"/>
        <v>317850</v>
      </c>
      <c r="H129" s="175">
        <f t="shared" si="20"/>
        <v>0.12628</v>
      </c>
      <c r="I129" s="199">
        <f t="shared" si="21"/>
        <v>378840</v>
      </c>
      <c r="J129" s="252"/>
      <c r="K129" s="165">
        <f t="shared" si="22"/>
        <v>60990</v>
      </c>
      <c r="L129" s="166">
        <f t="shared" si="23"/>
        <v>0.19188296366210478</v>
      </c>
      <c r="M129" s="244"/>
      <c r="N129" s="244"/>
    </row>
    <row r="130" spans="1:15" x14ac:dyDescent="0.2">
      <c r="A130" s="135"/>
      <c r="B130" s="163" t="s">
        <v>107</v>
      </c>
      <c r="C130" s="135" t="s">
        <v>127</v>
      </c>
      <c r="D130" s="169">
        <v>6000000</v>
      </c>
      <c r="E130" s="174">
        <v>6.7419999999999994E-2</v>
      </c>
      <c r="F130" s="196">
        <f t="shared" si="19"/>
        <v>404520</v>
      </c>
      <c r="H130" s="175">
        <f t="shared" si="20"/>
        <v>8.0350000000000005E-2</v>
      </c>
      <c r="I130" s="199">
        <f t="shared" si="21"/>
        <v>482100</v>
      </c>
      <c r="J130" s="252"/>
      <c r="K130" s="165">
        <f t="shared" si="22"/>
        <v>77580</v>
      </c>
      <c r="L130" s="166">
        <f t="shared" si="23"/>
        <v>0.19178285375259566</v>
      </c>
      <c r="M130" s="244"/>
      <c r="N130" s="244"/>
    </row>
    <row r="131" spans="1:15" x14ac:dyDescent="0.2">
      <c r="A131" s="135"/>
      <c r="B131" s="163" t="s">
        <v>108</v>
      </c>
      <c r="C131" s="135" t="s">
        <v>127</v>
      </c>
      <c r="D131" s="169">
        <v>11463691.02</v>
      </c>
      <c r="E131" s="174">
        <v>4.3229999999999998E-2</v>
      </c>
      <c r="F131" s="196">
        <f t="shared" si="19"/>
        <v>495575.36</v>
      </c>
      <c r="H131" s="175">
        <f t="shared" si="20"/>
        <v>5.1520000000000003E-2</v>
      </c>
      <c r="I131" s="199">
        <f t="shared" si="21"/>
        <v>590609.36</v>
      </c>
      <c r="J131" s="252"/>
      <c r="K131" s="165">
        <f t="shared" si="22"/>
        <v>95034</v>
      </c>
      <c r="L131" s="166">
        <f t="shared" si="23"/>
        <v>0.19176498202009076</v>
      </c>
      <c r="M131" s="244"/>
      <c r="N131" s="244"/>
    </row>
    <row r="132" spans="1:15" x14ac:dyDescent="0.2">
      <c r="A132" s="135"/>
      <c r="B132" s="163" t="s">
        <v>109</v>
      </c>
      <c r="C132" s="135" t="s">
        <v>127</v>
      </c>
      <c r="D132" s="169">
        <v>25744602.149999999</v>
      </c>
      <c r="E132" s="174">
        <v>3.1109999999999999E-2</v>
      </c>
      <c r="F132" s="196">
        <f t="shared" si="19"/>
        <v>800914.57</v>
      </c>
      <c r="H132" s="175">
        <f t="shared" si="20"/>
        <v>3.7080000000000002E-2</v>
      </c>
      <c r="I132" s="199">
        <f t="shared" si="21"/>
        <v>954609.85</v>
      </c>
      <c r="J132" s="252"/>
      <c r="K132" s="165">
        <f t="shared" si="22"/>
        <v>153695.28000000003</v>
      </c>
      <c r="L132" s="166">
        <f t="shared" si="23"/>
        <v>0.19189971784381452</v>
      </c>
      <c r="M132" s="244"/>
      <c r="N132" s="244"/>
    </row>
    <row r="133" spans="1:15" x14ac:dyDescent="0.2">
      <c r="A133" s="135"/>
      <c r="B133" s="163" t="s">
        <v>110</v>
      </c>
      <c r="C133" s="135" t="s">
        <v>127</v>
      </c>
      <c r="D133" s="169">
        <v>48293342.805479579</v>
      </c>
      <c r="E133" s="174">
        <v>2.3990000000000001E-2</v>
      </c>
      <c r="F133" s="196">
        <f t="shared" si="19"/>
        <v>1158557.29</v>
      </c>
      <c r="H133" s="340">
        <f t="shared" si="20"/>
        <v>2.487E-2</v>
      </c>
      <c r="I133" s="199">
        <f t="shared" si="21"/>
        <v>1201055.44</v>
      </c>
      <c r="J133" s="252"/>
      <c r="K133" s="165">
        <f t="shared" si="22"/>
        <v>42498.149999999907</v>
      </c>
      <c r="L133" s="166">
        <f t="shared" si="23"/>
        <v>3.6681958127422344E-2</v>
      </c>
      <c r="M133" s="244"/>
      <c r="N133" s="244"/>
    </row>
    <row r="134" spans="1:15" x14ac:dyDescent="0.2">
      <c r="A134" s="135"/>
      <c r="B134" s="185" t="s">
        <v>130</v>
      </c>
      <c r="C134" s="135"/>
      <c r="D134" s="273">
        <f>SUM(D128:D133)</f>
        <v>97500425.645479575</v>
      </c>
      <c r="E134" s="174"/>
      <c r="F134" s="311">
        <f>SUM(F123:F133)</f>
        <v>4262158.49</v>
      </c>
      <c r="H134" s="174"/>
      <c r="I134" s="311">
        <f>SUM(I123:I133)</f>
        <v>4812575.21</v>
      </c>
      <c r="J134" s="252"/>
      <c r="K134" s="311">
        <f>SUM(K123:K133)</f>
        <v>550416.71999999986</v>
      </c>
      <c r="L134" s="331">
        <f>IFERROR(K134/F134, )</f>
        <v>0.12914036896830644</v>
      </c>
      <c r="M134" s="244"/>
      <c r="N134" s="244"/>
    </row>
    <row r="135" spans="1:15" x14ac:dyDescent="0.2">
      <c r="A135" s="135"/>
      <c r="B135" s="163"/>
      <c r="C135" s="178"/>
      <c r="D135" s="169"/>
      <c r="E135" s="174"/>
      <c r="F135" s="196"/>
      <c r="H135" s="170"/>
      <c r="I135" s="199"/>
      <c r="J135" s="252"/>
      <c r="K135" s="165"/>
      <c r="L135" s="172"/>
      <c r="M135" s="244"/>
      <c r="N135" s="244"/>
    </row>
    <row r="136" spans="1:15" x14ac:dyDescent="0.2">
      <c r="A136" s="135"/>
      <c r="B136" s="163" t="s">
        <v>129</v>
      </c>
      <c r="C136" s="135"/>
      <c r="D136" s="169"/>
      <c r="E136" s="133"/>
      <c r="F136" s="311">
        <f>F134</f>
        <v>4262158.49</v>
      </c>
      <c r="H136" s="170"/>
      <c r="I136" s="311">
        <f>I134</f>
        <v>4812575.21</v>
      </c>
      <c r="J136" s="252"/>
      <c r="K136" s="279">
        <f>K134</f>
        <v>550416.71999999986</v>
      </c>
      <c r="L136" s="331">
        <f>IFERROR(K136/F136, )</f>
        <v>0.12914036896830644</v>
      </c>
      <c r="M136" s="244"/>
      <c r="N136" s="244"/>
      <c r="O136" s="222"/>
    </row>
    <row r="137" spans="1:15" s="135" customFormat="1" x14ac:dyDescent="0.2">
      <c r="B137" s="259"/>
      <c r="C137" s="216"/>
      <c r="D137" s="190"/>
      <c r="E137" s="325"/>
      <c r="F137" s="189"/>
      <c r="G137" s="190"/>
      <c r="H137" s="316"/>
      <c r="I137" s="323"/>
      <c r="J137" s="317"/>
      <c r="K137" s="264"/>
      <c r="L137" s="218"/>
      <c r="M137" s="244"/>
      <c r="N137" s="244"/>
    </row>
    <row r="138" spans="1:15" s="135" customFormat="1" x14ac:dyDescent="0.2">
      <c r="D138" s="169"/>
      <c r="E138" s="174"/>
      <c r="F138" s="196"/>
      <c r="G138" s="169"/>
      <c r="H138" s="170"/>
      <c r="I138" s="199"/>
      <c r="J138" s="252"/>
      <c r="K138" s="165"/>
      <c r="L138" s="334"/>
      <c r="M138" s="244"/>
      <c r="N138" s="244"/>
    </row>
    <row r="139" spans="1:15" x14ac:dyDescent="0.2">
      <c r="A139" s="135"/>
      <c r="B139" s="192" t="s">
        <v>160</v>
      </c>
      <c r="C139" s="342"/>
      <c r="D139" s="248"/>
      <c r="E139" s="343"/>
      <c r="F139" s="319"/>
      <c r="G139" s="248"/>
      <c r="H139" s="306"/>
      <c r="I139" s="327"/>
      <c r="J139" s="320"/>
      <c r="K139" s="319"/>
      <c r="L139" s="344"/>
      <c r="M139" s="244"/>
      <c r="N139" s="244"/>
    </row>
    <row r="140" spans="1:15" x14ac:dyDescent="0.2">
      <c r="A140" s="135"/>
      <c r="B140" s="195"/>
      <c r="C140" s="154"/>
      <c r="D140" s="169"/>
      <c r="E140" s="174"/>
      <c r="F140" s="196"/>
      <c r="H140" s="170"/>
      <c r="I140" s="199"/>
      <c r="J140" s="318"/>
      <c r="K140" s="196"/>
      <c r="L140" s="198"/>
      <c r="M140" s="244"/>
      <c r="N140" s="244"/>
    </row>
    <row r="141" spans="1:15" x14ac:dyDescent="0.2">
      <c r="A141" s="135"/>
      <c r="B141" s="167" t="s">
        <v>66</v>
      </c>
      <c r="C141" s="168" t="s">
        <v>126</v>
      </c>
      <c r="D141" s="169">
        <f>D123+D104</f>
        <v>181</v>
      </c>
      <c r="E141" s="170"/>
      <c r="F141" s="196">
        <f>F123+F104</f>
        <v>147193.70000000001</v>
      </c>
      <c r="H141" s="267"/>
      <c r="I141" s="196">
        <f>I123+I104</f>
        <v>173561.35</v>
      </c>
      <c r="J141" s="318"/>
      <c r="K141" s="199">
        <f>I141-F141</f>
        <v>26367.649999999994</v>
      </c>
      <c r="L141" s="198">
        <f t="shared" ref="L141:L144" si="24">IFERROR(K141/F141, )</f>
        <v>0.17913572387948665</v>
      </c>
      <c r="M141" s="244"/>
      <c r="N141" s="244"/>
    </row>
    <row r="142" spans="1:15" x14ac:dyDescent="0.2">
      <c r="A142" s="135"/>
      <c r="B142" s="195" t="s">
        <v>143</v>
      </c>
      <c r="C142" s="154" t="s">
        <v>144</v>
      </c>
      <c r="D142" s="169">
        <f>D124+D105</f>
        <v>296082</v>
      </c>
      <c r="E142" s="170"/>
      <c r="F142" s="196">
        <f>F124+F105</f>
        <v>429318.9</v>
      </c>
      <c r="H142" s="267"/>
      <c r="I142" s="196">
        <f>I124+I105</f>
        <v>429318.9</v>
      </c>
      <c r="J142" s="318"/>
      <c r="K142" s="199">
        <f>I142-F142</f>
        <v>0</v>
      </c>
      <c r="L142" s="198">
        <f t="shared" si="24"/>
        <v>0</v>
      </c>
      <c r="M142" s="244"/>
      <c r="N142" s="244"/>
    </row>
    <row r="143" spans="1:15" x14ac:dyDescent="0.2">
      <c r="A143" s="135"/>
      <c r="B143" s="195" t="s">
        <v>68</v>
      </c>
      <c r="C143" s="154"/>
      <c r="D143" s="169"/>
      <c r="E143" s="170"/>
      <c r="F143" s="196">
        <f>F106</f>
        <v>183938.01</v>
      </c>
      <c r="H143" s="267"/>
      <c r="I143" s="196">
        <f>I106</f>
        <v>204448.3</v>
      </c>
      <c r="J143" s="318"/>
      <c r="K143" s="199">
        <f>I143-F143</f>
        <v>20510.289999999979</v>
      </c>
      <c r="L143" s="198">
        <f t="shared" si="24"/>
        <v>0.11150653418507669</v>
      </c>
      <c r="M143" s="244"/>
      <c r="N143" s="244"/>
    </row>
    <row r="144" spans="1:15" x14ac:dyDescent="0.2">
      <c r="A144" s="135"/>
      <c r="B144" s="195" t="s">
        <v>154</v>
      </c>
      <c r="C144" s="154"/>
      <c r="D144" s="169"/>
      <c r="E144" s="170"/>
      <c r="F144" s="199">
        <f>F125+F107</f>
        <v>70534.149999999994</v>
      </c>
      <c r="H144" s="170"/>
      <c r="I144" s="199">
        <f>I125+I107</f>
        <v>70534.149999999994</v>
      </c>
      <c r="J144" s="318"/>
      <c r="K144" s="199">
        <f>I144-F144</f>
        <v>0</v>
      </c>
      <c r="L144" s="198">
        <f t="shared" si="24"/>
        <v>0</v>
      </c>
      <c r="M144" s="244"/>
      <c r="N144" s="244"/>
    </row>
    <row r="145" spans="1:16" x14ac:dyDescent="0.2">
      <c r="A145" s="135"/>
      <c r="B145" s="195"/>
      <c r="C145" s="154"/>
      <c r="D145" s="169"/>
      <c r="E145" s="170"/>
      <c r="F145" s="199"/>
      <c r="H145" s="174"/>
      <c r="I145" s="345"/>
      <c r="J145" s="318"/>
      <c r="K145" s="199"/>
      <c r="L145" s="346"/>
      <c r="M145" s="244"/>
      <c r="N145" s="244"/>
    </row>
    <row r="146" spans="1:16" ht="12" customHeight="1" x14ac:dyDescent="0.2">
      <c r="A146" s="135"/>
      <c r="B146" s="195" t="s">
        <v>145</v>
      </c>
      <c r="C146" s="154"/>
      <c r="D146" s="169"/>
      <c r="E146" s="170"/>
      <c r="F146" s="196"/>
      <c r="H146" s="174"/>
      <c r="I146" s="196"/>
      <c r="J146" s="318"/>
      <c r="K146" s="199"/>
      <c r="L146" s="346"/>
      <c r="M146" s="244"/>
      <c r="N146" s="244"/>
    </row>
    <row r="147" spans="1:16" x14ac:dyDescent="0.2">
      <c r="A147" s="135"/>
      <c r="B147" s="195" t="s">
        <v>96</v>
      </c>
      <c r="C147" s="154" t="s">
        <v>127</v>
      </c>
      <c r="D147" s="169">
        <f t="shared" ref="D147:D152" si="25">D128+D110</f>
        <v>4510982.67</v>
      </c>
      <c r="E147" s="174"/>
      <c r="F147" s="196">
        <f t="shared" ref="F147:F152" si="26">F128+F110</f>
        <v>790910.59000000008</v>
      </c>
      <c r="H147" s="268"/>
      <c r="I147" s="196">
        <f t="shared" ref="I147:I152" si="27">I128+I110</f>
        <v>942660.04999999993</v>
      </c>
      <c r="J147" s="318"/>
      <c r="K147" s="199">
        <f t="shared" ref="K147:K152" si="28">I147-F147</f>
        <v>151749.45999999985</v>
      </c>
      <c r="L147" s="198">
        <f t="shared" ref="L147:L152" si="29">IFERROR(K147/F147, )</f>
        <v>0.19186676966861682</v>
      </c>
      <c r="M147" s="244"/>
      <c r="N147" s="244"/>
    </row>
    <row r="148" spans="1:16" x14ac:dyDescent="0.2">
      <c r="A148" s="135"/>
      <c r="B148" s="195" t="s">
        <v>97</v>
      </c>
      <c r="C148" s="154" t="s">
        <v>127</v>
      </c>
      <c r="D148" s="169">
        <f t="shared" si="25"/>
        <v>4398016.1150000002</v>
      </c>
      <c r="E148" s="174"/>
      <c r="F148" s="196">
        <f t="shared" si="26"/>
        <v>465969.81</v>
      </c>
      <c r="H148" s="268"/>
      <c r="I148" s="196">
        <f t="shared" si="27"/>
        <v>555381.48</v>
      </c>
      <c r="J148" s="318"/>
      <c r="K148" s="199">
        <f t="shared" si="28"/>
        <v>89411.669999999984</v>
      </c>
      <c r="L148" s="198">
        <f t="shared" si="29"/>
        <v>0.19188296769698446</v>
      </c>
      <c r="M148" s="244"/>
      <c r="N148" s="244"/>
    </row>
    <row r="149" spans="1:16" x14ac:dyDescent="0.2">
      <c r="A149" s="135"/>
      <c r="B149" s="195" t="s">
        <v>107</v>
      </c>
      <c r="C149" s="154" t="s">
        <v>127</v>
      </c>
      <c r="D149" s="169">
        <f t="shared" si="25"/>
        <v>8316890.0959999999</v>
      </c>
      <c r="E149" s="174"/>
      <c r="F149" s="196">
        <f t="shared" si="26"/>
        <v>560724.73</v>
      </c>
      <c r="H149" s="268"/>
      <c r="I149" s="196">
        <f t="shared" si="27"/>
        <v>668262.12</v>
      </c>
      <c r="J149" s="318"/>
      <c r="K149" s="199">
        <f t="shared" si="28"/>
        <v>107537.39000000001</v>
      </c>
      <c r="L149" s="198">
        <f t="shared" si="29"/>
        <v>0.1917828557338643</v>
      </c>
      <c r="M149" s="244"/>
      <c r="N149" s="244"/>
    </row>
    <row r="150" spans="1:16" x14ac:dyDescent="0.2">
      <c r="A150" s="135"/>
      <c r="B150" s="195" t="s">
        <v>108</v>
      </c>
      <c r="C150" s="154" t="s">
        <v>127</v>
      </c>
      <c r="D150" s="169">
        <f t="shared" si="25"/>
        <v>14508947.897999998</v>
      </c>
      <c r="E150" s="174"/>
      <c r="F150" s="196">
        <f t="shared" si="26"/>
        <v>627221.81000000006</v>
      </c>
      <c r="H150" s="268"/>
      <c r="I150" s="196">
        <f t="shared" si="27"/>
        <v>747500.99</v>
      </c>
      <c r="J150" s="318"/>
      <c r="K150" s="199">
        <f t="shared" si="28"/>
        <v>120279.17999999993</v>
      </c>
      <c r="L150" s="198">
        <f t="shared" si="29"/>
        <v>0.19176498342747347</v>
      </c>
      <c r="M150" s="244"/>
      <c r="N150" s="244"/>
    </row>
    <row r="151" spans="1:16" x14ac:dyDescent="0.2">
      <c r="A151" s="135"/>
      <c r="B151" s="195" t="s">
        <v>109</v>
      </c>
      <c r="C151" s="154" t="s">
        <v>127</v>
      </c>
      <c r="D151" s="169">
        <f t="shared" si="25"/>
        <v>29536644.353</v>
      </c>
      <c r="E151" s="174"/>
      <c r="F151" s="196">
        <f t="shared" si="26"/>
        <v>918885</v>
      </c>
      <c r="H151" s="268"/>
      <c r="I151" s="196">
        <f t="shared" si="27"/>
        <v>1095218.77</v>
      </c>
      <c r="J151" s="318"/>
      <c r="K151" s="199">
        <f t="shared" si="28"/>
        <v>176333.77000000002</v>
      </c>
      <c r="L151" s="198">
        <f t="shared" si="29"/>
        <v>0.19189971541596612</v>
      </c>
      <c r="M151" s="244"/>
      <c r="N151" s="244"/>
    </row>
    <row r="152" spans="1:16" x14ac:dyDescent="0.2">
      <c r="A152" s="135"/>
      <c r="B152" s="195" t="s">
        <v>110</v>
      </c>
      <c r="C152" s="154" t="s">
        <v>127</v>
      </c>
      <c r="D152" s="169">
        <f t="shared" si="25"/>
        <v>58048400.275834784</v>
      </c>
      <c r="E152" s="174"/>
      <c r="F152" s="196">
        <f t="shared" si="26"/>
        <v>1392581.12</v>
      </c>
      <c r="H152" s="268"/>
      <c r="I152" s="196">
        <f t="shared" si="27"/>
        <v>1443663.72</v>
      </c>
      <c r="J152" s="318"/>
      <c r="K152" s="199">
        <f t="shared" si="28"/>
        <v>51082.59999999986</v>
      </c>
      <c r="L152" s="198">
        <f t="shared" si="29"/>
        <v>3.6681956452202839E-2</v>
      </c>
      <c r="M152" s="244"/>
      <c r="N152" s="244"/>
    </row>
    <row r="153" spans="1:16" x14ac:dyDescent="0.2">
      <c r="A153" s="135"/>
      <c r="B153" s="185" t="s">
        <v>130</v>
      </c>
      <c r="C153" s="154" t="s">
        <v>127</v>
      </c>
      <c r="D153" s="273">
        <f>SUM(D147:D152)</f>
        <v>119319881.40783478</v>
      </c>
      <c r="E153" s="174"/>
      <c r="F153" s="254">
        <f>SUM(F141:F152)</f>
        <v>5587277.8200000003</v>
      </c>
      <c r="H153" s="170"/>
      <c r="I153" s="254">
        <f>SUM(I141:I152)</f>
        <v>6330549.8299999991</v>
      </c>
      <c r="J153" s="318"/>
      <c r="K153" s="254">
        <f>SUM(K141:K152)</f>
        <v>743272.00999999966</v>
      </c>
      <c r="L153" s="312">
        <f>IFERROR(K153/F153, )</f>
        <v>0.13302936312552999</v>
      </c>
      <c r="M153" s="244"/>
      <c r="N153" s="244"/>
      <c r="P153" s="266"/>
    </row>
    <row r="154" spans="1:16" x14ac:dyDescent="0.2">
      <c r="A154" s="135"/>
      <c r="B154" s="167"/>
      <c r="C154" s="168"/>
      <c r="D154" s="169"/>
      <c r="E154" s="174"/>
      <c r="F154" s="196"/>
      <c r="H154" s="170"/>
      <c r="I154" s="199"/>
      <c r="J154" s="318"/>
      <c r="K154" s="196"/>
      <c r="L154" s="274"/>
      <c r="M154" s="244"/>
      <c r="N154" s="244"/>
    </row>
    <row r="155" spans="1:16" x14ac:dyDescent="0.2">
      <c r="A155" s="135"/>
      <c r="B155" s="167" t="s">
        <v>129</v>
      </c>
      <c r="C155" s="168"/>
      <c r="D155" s="196"/>
      <c r="E155" s="170"/>
      <c r="F155" s="254">
        <f>F153</f>
        <v>5587277.8200000003</v>
      </c>
      <c r="G155" s="154"/>
      <c r="H155" s="170"/>
      <c r="I155" s="254">
        <f>I153</f>
        <v>6330549.8299999991</v>
      </c>
      <c r="J155" s="170"/>
      <c r="K155" s="254">
        <f>K153</f>
        <v>743272.00999999966</v>
      </c>
      <c r="L155" s="312">
        <f>IFERROR(K155/F155, )</f>
        <v>0.13302936312552999</v>
      </c>
      <c r="M155" s="244"/>
      <c r="N155" s="244"/>
    </row>
    <row r="156" spans="1:16" x14ac:dyDescent="0.2">
      <c r="A156" s="135"/>
      <c r="B156" s="259"/>
      <c r="C156" s="216"/>
      <c r="D156" s="190"/>
      <c r="E156" s="217"/>
      <c r="F156" s="323"/>
      <c r="G156" s="190"/>
      <c r="H156" s="316"/>
      <c r="I156" s="323"/>
      <c r="J156" s="317"/>
      <c r="K156" s="264"/>
      <c r="L156" s="265"/>
      <c r="M156" s="244"/>
      <c r="N156" s="244"/>
    </row>
    <row r="157" spans="1:16" x14ac:dyDescent="0.2">
      <c r="A157" s="135"/>
      <c r="B157" s="135"/>
      <c r="C157" s="135"/>
      <c r="D157" s="169"/>
      <c r="E157" s="174"/>
      <c r="F157" s="196"/>
      <c r="H157" s="170"/>
      <c r="I157" s="199"/>
      <c r="J157" s="252"/>
      <c r="K157" s="165"/>
      <c r="L157" s="334"/>
      <c r="M157" s="244"/>
      <c r="N157" s="244"/>
    </row>
    <row r="158" spans="1:16" x14ac:dyDescent="0.2">
      <c r="B158" s="18" t="s">
        <v>161</v>
      </c>
      <c r="C158" s="135"/>
      <c r="D158" s="169"/>
      <c r="E158" s="298"/>
      <c r="F158" s="170"/>
      <c r="H158" s="174"/>
      <c r="I158" s="170"/>
      <c r="J158" s="133"/>
      <c r="K158" s="133"/>
      <c r="L158" s="266"/>
      <c r="M158" s="244"/>
      <c r="N158" s="244"/>
      <c r="O158" s="255"/>
    </row>
    <row r="159" spans="1:16" x14ac:dyDescent="0.2">
      <c r="C159" s="135"/>
      <c r="D159" s="220" t="s">
        <v>127</v>
      </c>
      <c r="E159" s="298"/>
      <c r="F159" s="262" t="s">
        <v>72</v>
      </c>
      <c r="G159" s="224"/>
      <c r="H159" s="130"/>
      <c r="I159" s="262" t="s">
        <v>73</v>
      </c>
      <c r="J159" s="222"/>
      <c r="K159" s="285" t="s">
        <v>135</v>
      </c>
      <c r="L159" s="266"/>
      <c r="M159" s="244"/>
      <c r="N159" s="244"/>
      <c r="O159" s="255"/>
    </row>
    <row r="160" spans="1:16" x14ac:dyDescent="0.2">
      <c r="B160" s="18" t="s">
        <v>129</v>
      </c>
      <c r="C160" s="135"/>
      <c r="D160" s="131"/>
      <c r="E160" s="298"/>
      <c r="F160" s="347"/>
      <c r="G160" s="347"/>
      <c r="H160" s="347"/>
      <c r="I160" s="347"/>
      <c r="J160" s="348"/>
      <c r="K160" s="348"/>
      <c r="L160" s="266"/>
      <c r="M160" s="244"/>
      <c r="N160" s="244"/>
      <c r="O160" s="255"/>
    </row>
    <row r="161" spans="2:15" x14ac:dyDescent="0.2">
      <c r="B161" s="15" t="s">
        <v>162</v>
      </c>
      <c r="C161" s="135"/>
      <c r="D161" s="131">
        <f>D52</f>
        <v>88879730.522699013</v>
      </c>
      <c r="E161" s="298"/>
      <c r="F161" s="347">
        <f>F21+F36</f>
        <v>8603644.5934943184</v>
      </c>
      <c r="G161" s="347"/>
      <c r="H161" s="347"/>
      <c r="I161" s="347">
        <f>I21+I36</f>
        <v>9659072.6799999997</v>
      </c>
      <c r="J161" s="348"/>
      <c r="K161" s="348">
        <f>I161-F161</f>
        <v>1055428.0865056813</v>
      </c>
      <c r="L161" s="334">
        <f t="shared" ref="L161:L163" si="30">IFERROR(K161/F161, )</f>
        <v>0.12267220885713336</v>
      </c>
      <c r="M161" s="244"/>
      <c r="N161" s="244"/>
      <c r="O161" s="255"/>
    </row>
    <row r="162" spans="2:15" x14ac:dyDescent="0.2">
      <c r="B162" s="15" t="s">
        <v>163</v>
      </c>
      <c r="C162" s="135"/>
      <c r="D162" s="131">
        <f>D96</f>
        <v>7491654.8276905464</v>
      </c>
      <c r="E162" s="298"/>
      <c r="F162" s="347">
        <f>F67+F81</f>
        <v>1496082.9500000002</v>
      </c>
      <c r="G162" s="347"/>
      <c r="H162" s="347"/>
      <c r="I162" s="347">
        <f>I67+I81</f>
        <v>1563248</v>
      </c>
      <c r="J162" s="348"/>
      <c r="K162" s="348">
        <f>I162-F162</f>
        <v>67165.049999999814</v>
      </c>
      <c r="L162" s="334">
        <f t="shared" si="30"/>
        <v>4.4893934524151753E-2</v>
      </c>
      <c r="M162" s="244"/>
      <c r="N162" s="244"/>
      <c r="O162" s="255"/>
    </row>
    <row r="163" spans="2:15" x14ac:dyDescent="0.2">
      <c r="B163" s="15" t="s">
        <v>164</v>
      </c>
      <c r="C163" s="135"/>
      <c r="D163" s="131">
        <f>D153</f>
        <v>119319881.40783478</v>
      </c>
      <c r="E163" s="298"/>
      <c r="F163" s="347">
        <f>F116+F134</f>
        <v>5587277.8200000003</v>
      </c>
      <c r="G163" s="347"/>
      <c r="H163" s="347"/>
      <c r="I163" s="347">
        <f>I116+I134</f>
        <v>6330549.8300000001</v>
      </c>
      <c r="J163" s="348"/>
      <c r="K163" s="348">
        <f>I163-F163</f>
        <v>743272.00999999978</v>
      </c>
      <c r="L163" s="334">
        <f t="shared" si="30"/>
        <v>0.13302936312553001</v>
      </c>
      <c r="M163" s="244"/>
      <c r="N163" s="244"/>
      <c r="O163" s="255"/>
    </row>
    <row r="164" spans="2:15" x14ac:dyDescent="0.2">
      <c r="B164" s="15" t="s">
        <v>3</v>
      </c>
      <c r="C164" s="135"/>
      <c r="D164" s="273">
        <f>SUM(D161:D163)</f>
        <v>215691266.75822434</v>
      </c>
      <c r="E164" s="298"/>
      <c r="F164" s="349">
        <f>SUM(F161:F163)</f>
        <v>15687005.363494318</v>
      </c>
      <c r="G164" s="347"/>
      <c r="H164" s="347"/>
      <c r="I164" s="349">
        <f>SUM(I161:I163)</f>
        <v>17552870.509999998</v>
      </c>
      <c r="J164" s="348"/>
      <c r="K164" s="350">
        <f>SUM(K161:K163)</f>
        <v>1865865.1465056809</v>
      </c>
      <c r="L164" s="334">
        <f>IFERROR(K164/F164, )</f>
        <v>0.11894336128983479</v>
      </c>
      <c r="M164" s="244"/>
      <c r="N164" s="244"/>
      <c r="O164" s="255"/>
    </row>
    <row r="165" spans="2:15" x14ac:dyDescent="0.2">
      <c r="C165" s="135"/>
      <c r="D165" s="131"/>
      <c r="E165" s="298"/>
      <c r="F165" s="347"/>
      <c r="G165" s="347"/>
      <c r="H165" s="347"/>
      <c r="I165" s="347"/>
      <c r="J165" s="348"/>
      <c r="K165" s="348"/>
      <c r="L165" s="266"/>
      <c r="M165" s="244"/>
      <c r="N165" s="244"/>
      <c r="O165" s="255"/>
    </row>
    <row r="166" spans="2:15" x14ac:dyDescent="0.2">
      <c r="B166" s="18" t="s">
        <v>165</v>
      </c>
      <c r="E166" s="290"/>
      <c r="F166" s="351"/>
      <c r="G166" s="352"/>
      <c r="H166" s="351"/>
      <c r="I166" s="351"/>
      <c r="J166" s="353"/>
      <c r="K166" s="353"/>
      <c r="L166" s="219"/>
      <c r="O166" s="222"/>
    </row>
    <row r="167" spans="2:15" x14ac:dyDescent="0.2">
      <c r="B167" s="132" t="s">
        <v>3</v>
      </c>
      <c r="D167" s="290">
        <f>'Exh JDT-5 (JDT-RES_RD)'!D13+'Exh JDT-5 (JDT-RES_RD)'!D21+'Exh JDT-5 (JDT-RES_RD)'!D30+'Exh JDT-5 (JDT-C&amp;I-RD)'!D32+'Exh JDT-5 (JDT-C&amp;I-RD)'!D82+'Exh JDT-5 (JDT-INTRPL-RD)'!D52+'Exh JDT-5 (JDT-INTRPL-RD)'!D96+'Exh JDT-5 (JDT-INTRPL-RD)'!D153</f>
        <v>1140752508.5224547</v>
      </c>
      <c r="E167" s="169"/>
      <c r="F167" s="351">
        <f>'Exh JDT-5 (JDT-RES_RD)'!F16+'Exh JDT-5 (JDT-RES_RD)'!F24+'Exh JDT-5 (JDT-RES_RD)'!F32+'Exh JDT-5 (JDT-C&amp;I-RD)'!F36+'Exh JDT-5 (JDT-C&amp;I-RD)'!F86+'Exh JDT-5 (JDT-INTRPL-RD)'!F54+'Exh JDT-5 (JDT-INTRPL-RD)'!F98+'Exh JDT-5 (JDT-INTRPL-RD)'!F155</f>
        <v>518938321.8820585</v>
      </c>
      <c r="G167" s="347"/>
      <c r="H167" s="351"/>
      <c r="I167" s="354">
        <f>'Exh JDT-5 (JDT-RES_RD)'!I16+'Exh JDT-5 (JDT-RES_RD)'!I24+'Exh JDT-5 (JDT-RES_RD)'!I32+'Exh JDT-5 (JDT-C&amp;I-RD)'!I36+'Exh JDT-5 (JDT-C&amp;I-RD)'!I86+'Exh JDT-5 (JDT-INTRPL-RD)'!I54+'Exh JDT-5 (JDT-INTRPL-RD)'!I98+'Exh JDT-5 (JDT-INTRPL-RD)'!I155</f>
        <v>567767577.51368046</v>
      </c>
      <c r="J167" s="353"/>
      <c r="K167" s="353">
        <f>I167-F167</f>
        <v>48829255.631621957</v>
      </c>
      <c r="L167" s="219">
        <f t="shared" ref="L167:L168" si="31">IFERROR(K167/F167, )</f>
        <v>9.4094526406395568E-2</v>
      </c>
      <c r="O167" s="222"/>
    </row>
    <row r="168" spans="2:15" x14ac:dyDescent="0.2">
      <c r="B168" s="132" t="s">
        <v>166</v>
      </c>
      <c r="D168" s="224">
        <v>32154478.538398605</v>
      </c>
      <c r="E168" s="169"/>
      <c r="F168" s="351">
        <f>'Exh JDT-5 (JDT-Rate Spread)'!L13</f>
        <v>1679324.4523564125</v>
      </c>
      <c r="G168" s="347"/>
      <c r="H168" s="351"/>
      <c r="I168" s="355">
        <f>'Exh JDT-5 (JDT-Rate Spread)'!L56</f>
        <v>1699064.4523564125</v>
      </c>
      <c r="J168" s="353"/>
      <c r="K168" s="356">
        <f>I168-F168</f>
        <v>19740</v>
      </c>
      <c r="L168" s="219">
        <f t="shared" si="31"/>
        <v>1.1754726713054773E-2</v>
      </c>
      <c r="O168" s="222"/>
    </row>
    <row r="169" spans="2:15" x14ac:dyDescent="0.2">
      <c r="B169" s="132" t="s">
        <v>167</v>
      </c>
      <c r="D169" s="273">
        <f>SUM(D167:D168)</f>
        <v>1172906987.0608532</v>
      </c>
      <c r="E169" s="169"/>
      <c r="F169" s="349">
        <f>SUM(F167:F168)</f>
        <v>520617646.3344149</v>
      </c>
      <c r="G169" s="347"/>
      <c r="H169" s="351"/>
      <c r="I169" s="349">
        <f>SUM(I167:I168)</f>
        <v>569466641.96603692</v>
      </c>
      <c r="J169" s="353"/>
      <c r="K169" s="350">
        <f>SUM(K167:K168)</f>
        <v>48848995.631621957</v>
      </c>
      <c r="L169" s="219">
        <f>IFERROR(K169/F169, )</f>
        <v>9.3828927958089545E-2</v>
      </c>
      <c r="O169" s="222"/>
    </row>
    <row r="170" spans="2:15" x14ac:dyDescent="0.2">
      <c r="B170" s="357"/>
      <c r="C170" s="130"/>
      <c r="E170" s="169"/>
      <c r="F170" s="358"/>
      <c r="G170" s="347"/>
      <c r="H170" s="351"/>
      <c r="I170" s="359"/>
      <c r="J170" s="353"/>
      <c r="K170" s="359"/>
      <c r="L170" s="219"/>
    </row>
    <row r="171" spans="2:15" x14ac:dyDescent="0.2">
      <c r="B171" s="15" t="s">
        <v>168</v>
      </c>
      <c r="E171" s="169"/>
      <c r="F171" s="348"/>
      <c r="G171" s="347"/>
      <c r="H171" s="351"/>
      <c r="I171" s="348"/>
      <c r="J171" s="353"/>
      <c r="K171" s="348"/>
      <c r="L171" s="219"/>
    </row>
    <row r="172" spans="2:15" ht="13.5" thickBot="1" x14ac:dyDescent="0.25">
      <c r="F172" s="348"/>
      <c r="G172" s="347"/>
      <c r="H172" s="351"/>
      <c r="I172" s="348"/>
      <c r="J172" s="353"/>
      <c r="K172" s="348"/>
      <c r="L172" s="219"/>
    </row>
    <row r="173" spans="2:15" x14ac:dyDescent="0.2">
      <c r="B173" s="361" t="s">
        <v>137</v>
      </c>
      <c r="C173" s="362" t="s">
        <v>138</v>
      </c>
      <c r="D173" s="363">
        <v>15675792.294814982</v>
      </c>
      <c r="E173" s="362" t="s">
        <v>35</v>
      </c>
      <c r="F173" s="364">
        <f>D173-F164</f>
        <v>-11213.068679336458</v>
      </c>
      <c r="G173" s="347"/>
      <c r="H173" s="351" t="s">
        <v>137</v>
      </c>
      <c r="I173" s="353">
        <f>'Exh JDT-5 (JDT-Rate Spread)'!C56</f>
        <v>569466463.78631306</v>
      </c>
      <c r="J173" s="353"/>
      <c r="K173" s="353">
        <f>'Exh JDT-5 (JDT-Rate Spread)'!C46</f>
        <v>46843086.424869597</v>
      </c>
      <c r="L173" s="219"/>
    </row>
    <row r="174" spans="2:15" ht="13.5" thickBot="1" x14ac:dyDescent="0.25">
      <c r="B174" s="365" t="s">
        <v>137</v>
      </c>
      <c r="C174" s="366" t="s">
        <v>138</v>
      </c>
      <c r="D174" s="367">
        <v>522623377.36144328</v>
      </c>
      <c r="E174" s="366" t="s">
        <v>35</v>
      </c>
      <c r="F174" s="368">
        <f>D174-F169</f>
        <v>2005731.0270283818</v>
      </c>
      <c r="H174" s="357" t="s">
        <v>35</v>
      </c>
      <c r="I174" s="222">
        <f>I173-I169</f>
        <v>-178.17972385883331</v>
      </c>
      <c r="K174" s="222">
        <f>K173-K169</f>
        <v>-2005909.2067523599</v>
      </c>
      <c r="L174" s="219"/>
    </row>
    <row r="175" spans="2:15" x14ac:dyDescent="0.2">
      <c r="L175" s="219"/>
    </row>
    <row r="176" spans="2:15" x14ac:dyDescent="0.2">
      <c r="B176" s="63" t="s">
        <v>60</v>
      </c>
      <c r="D176" s="360"/>
      <c r="L176" s="219"/>
    </row>
    <row r="177" spans="12:12" x14ac:dyDescent="0.2">
      <c r="L177" s="219"/>
    </row>
  </sheetData>
  <mergeCells count="1">
    <mergeCell ref="K7:L7"/>
  </mergeCells>
  <printOptions horizontalCentered="1"/>
  <pageMargins left="0.5" right="0.5" top="1" bottom="1" header="0.75" footer="0.5"/>
  <pageSetup scale="60" fitToHeight="2" orientation="landscape" blackAndWhite="1" r:id="rId1"/>
  <headerFooter alignWithMargins="0">
    <oddFooter>&amp;R&amp;A
 Page &amp;P of &amp;N</oddFooter>
  </headerFooter>
  <rowBreaks count="3" manualBreakCount="3">
    <brk id="56" max="16383" man="1"/>
    <brk id="101" max="16383" man="1"/>
    <brk id="153" max="15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W279"/>
  <sheetViews>
    <sheetView zoomScale="90" zoomScaleNormal="90" zoomScaleSheetLayoutView="90" workbookViewId="0">
      <pane xSplit="2" ySplit="9" topLeftCell="C184" activePane="bottomRight" state="frozen"/>
      <selection activeCell="F68" sqref="F68"/>
      <selection pane="topRight" activeCell="F68" sqref="F68"/>
      <selection pane="bottomLeft" activeCell="F68" sqref="F68"/>
      <selection pane="bottomRight" activeCell="Q218" sqref="Q218"/>
    </sheetView>
  </sheetViews>
  <sheetFormatPr defaultColWidth="9.140625" defaultRowHeight="12.75" x14ac:dyDescent="0.2"/>
  <cols>
    <col min="1" max="1" width="2.85546875" style="130" customWidth="1"/>
    <col min="2" max="2" width="38.42578125" style="461" customWidth="1"/>
    <col min="3" max="3" width="12.28515625" style="449" customWidth="1"/>
    <col min="4" max="4" width="12.28515625" style="130" customWidth="1"/>
    <col min="5" max="5" width="15.85546875" style="130" bestFit="1" customWidth="1"/>
    <col min="6" max="6" width="14.5703125" style="371" bestFit="1" customWidth="1"/>
    <col min="7" max="7" width="14.5703125" style="357" bestFit="1" customWidth="1"/>
    <col min="8" max="8" width="13.28515625" style="357" bestFit="1" customWidth="1"/>
    <col min="9" max="9" width="14.5703125" style="357" bestFit="1" customWidth="1"/>
    <col min="10" max="10" width="2.85546875" style="170" customWidth="1"/>
    <col min="11" max="11" width="19.140625" style="130" bestFit="1" customWidth="1"/>
    <col min="12" max="12" width="14.5703125" style="371" bestFit="1" customWidth="1"/>
    <col min="13" max="13" width="14.5703125" style="357" bestFit="1" customWidth="1"/>
    <col min="14" max="14" width="14" style="357" bestFit="1" customWidth="1"/>
    <col min="15" max="15" width="14.5703125" style="357" bestFit="1" customWidth="1"/>
    <col min="16" max="16" width="2.85546875" style="170" customWidth="1"/>
    <col min="17" max="17" width="15.85546875" style="130" bestFit="1" customWidth="1"/>
    <col min="18" max="18" width="14.5703125" style="371" bestFit="1" customWidth="1"/>
    <col min="19" max="19" width="14.5703125" style="357" bestFit="1" customWidth="1"/>
    <col min="20" max="20" width="14" style="357" bestFit="1" customWidth="1"/>
    <col min="21" max="21" width="14.5703125" style="357" bestFit="1" customWidth="1"/>
    <col min="22" max="16384" width="9.140625" style="130"/>
  </cols>
  <sheetData>
    <row r="1" spans="2:21" ht="12.95" customHeight="1" x14ac:dyDescent="0.2">
      <c r="B1" s="124" t="s">
        <v>261</v>
      </c>
      <c r="C1" s="370"/>
      <c r="D1" s="234"/>
      <c r="G1" s="296"/>
      <c r="H1" s="296"/>
      <c r="I1" s="296"/>
      <c r="J1" s="372"/>
      <c r="M1" s="296"/>
      <c r="N1" s="296"/>
      <c r="O1" s="296"/>
      <c r="P1" s="372"/>
      <c r="S1" s="296"/>
      <c r="T1" s="296"/>
      <c r="U1" s="296"/>
    </row>
    <row r="2" spans="2:21" x14ac:dyDescent="0.2">
      <c r="B2" s="1" t="s">
        <v>262</v>
      </c>
      <c r="C2" s="373"/>
      <c r="D2" s="373"/>
      <c r="E2" s="373"/>
      <c r="F2" s="373"/>
      <c r="G2" s="373"/>
      <c r="H2" s="373"/>
      <c r="I2" s="373"/>
      <c r="J2" s="373"/>
      <c r="K2" s="373"/>
      <c r="L2" s="373"/>
      <c r="M2" s="373"/>
      <c r="N2" s="373"/>
      <c r="O2" s="373"/>
      <c r="P2" s="373"/>
      <c r="Q2" s="373"/>
      <c r="R2" s="373"/>
      <c r="S2" s="373"/>
      <c r="T2" s="373"/>
      <c r="U2" s="373"/>
    </row>
    <row r="3" spans="2:21" x14ac:dyDescent="0.2">
      <c r="B3" s="1" t="s">
        <v>263</v>
      </c>
      <c r="C3" s="373"/>
      <c r="D3" s="373"/>
      <c r="E3" s="373"/>
      <c r="F3" s="373"/>
      <c r="G3" s="373"/>
      <c r="H3" s="373"/>
      <c r="I3" s="373"/>
      <c r="J3" s="373"/>
      <c r="K3" s="373"/>
      <c r="L3" s="373"/>
      <c r="M3" s="373"/>
      <c r="N3" s="373"/>
      <c r="O3" s="373"/>
      <c r="P3" s="373"/>
      <c r="Q3" s="373"/>
      <c r="R3" s="373"/>
      <c r="S3" s="373"/>
      <c r="T3" s="373"/>
      <c r="U3" s="373"/>
    </row>
    <row r="4" spans="2:21" x14ac:dyDescent="0.2">
      <c r="B4" s="373" t="s">
        <v>169</v>
      </c>
      <c r="C4" s="373"/>
      <c r="D4" s="373"/>
      <c r="E4" s="373"/>
      <c r="F4" s="373"/>
      <c r="G4" s="373"/>
      <c r="H4" s="373"/>
      <c r="I4" s="373"/>
      <c r="J4" s="373"/>
      <c r="K4" s="373"/>
      <c r="L4" s="373"/>
      <c r="M4" s="373"/>
      <c r="N4" s="373"/>
      <c r="O4" s="373"/>
      <c r="P4" s="373"/>
      <c r="Q4" s="373"/>
      <c r="R4" s="373"/>
      <c r="S4" s="373"/>
      <c r="T4" s="373"/>
      <c r="U4" s="373"/>
    </row>
    <row r="5" spans="2:21" x14ac:dyDescent="0.2">
      <c r="B5" s="373" t="str">
        <f>'Exh JDT-5 (JDT-RES_RD)'!B5</f>
        <v>Rate Spread and Schedule 141R and 141N Allocation</v>
      </c>
      <c r="C5" s="373"/>
      <c r="D5" s="373"/>
      <c r="E5" s="373"/>
      <c r="F5" s="373"/>
      <c r="G5" s="373"/>
      <c r="H5" s="373"/>
      <c r="I5" s="373"/>
      <c r="J5" s="373"/>
      <c r="K5" s="373"/>
      <c r="L5" s="373"/>
      <c r="M5" s="373"/>
      <c r="N5" s="373"/>
      <c r="O5" s="373"/>
      <c r="P5" s="373"/>
      <c r="Q5" s="373"/>
      <c r="R5" s="373"/>
      <c r="S5" s="373"/>
      <c r="T5" s="373"/>
      <c r="U5" s="373"/>
    </row>
    <row r="7" spans="2:21" x14ac:dyDescent="0.2">
      <c r="B7" s="374"/>
      <c r="C7" s="375"/>
      <c r="D7" s="376"/>
      <c r="E7" s="567" t="s">
        <v>170</v>
      </c>
      <c r="F7" s="567"/>
      <c r="G7" s="567"/>
      <c r="H7" s="567"/>
      <c r="I7" s="567"/>
      <c r="J7" s="377"/>
      <c r="K7" s="567" t="s">
        <v>171</v>
      </c>
      <c r="L7" s="567"/>
      <c r="M7" s="567"/>
      <c r="N7" s="567"/>
      <c r="O7" s="567"/>
      <c r="P7" s="377"/>
      <c r="Q7" s="567" t="s">
        <v>172</v>
      </c>
      <c r="R7" s="567"/>
      <c r="S7" s="567"/>
      <c r="T7" s="567"/>
      <c r="U7" s="568"/>
    </row>
    <row r="8" spans="2:21" ht="25.5" x14ac:dyDescent="0.2">
      <c r="B8" s="378" t="s">
        <v>2</v>
      </c>
      <c r="C8" s="379" t="s">
        <v>173</v>
      </c>
      <c r="D8" s="380" t="s">
        <v>174</v>
      </c>
      <c r="E8" s="381" t="s">
        <v>175</v>
      </c>
      <c r="F8" s="382" t="s">
        <v>176</v>
      </c>
      <c r="G8" s="383" t="s">
        <v>177</v>
      </c>
      <c r="H8" s="384" t="s">
        <v>178</v>
      </c>
      <c r="I8" s="384" t="s">
        <v>179</v>
      </c>
      <c r="J8" s="384"/>
      <c r="K8" s="381" t="s">
        <v>175</v>
      </c>
      <c r="L8" s="382" t="s">
        <v>176</v>
      </c>
      <c r="M8" s="383" t="s">
        <v>177</v>
      </c>
      <c r="N8" s="384" t="s">
        <v>178</v>
      </c>
      <c r="O8" s="384" t="s">
        <v>179</v>
      </c>
      <c r="P8" s="384"/>
      <c r="Q8" s="381" t="s">
        <v>175</v>
      </c>
      <c r="R8" s="382" t="s">
        <v>176</v>
      </c>
      <c r="S8" s="383" t="s">
        <v>177</v>
      </c>
      <c r="T8" s="384" t="s">
        <v>178</v>
      </c>
      <c r="U8" s="385" t="s">
        <v>179</v>
      </c>
    </row>
    <row r="9" spans="2:21" x14ac:dyDescent="0.2">
      <c r="B9" s="386"/>
      <c r="C9" s="387"/>
      <c r="D9" s="149"/>
      <c r="E9" s="388"/>
      <c r="F9" s="389"/>
      <c r="G9" s="261"/>
      <c r="H9" s="261"/>
      <c r="I9" s="261"/>
      <c r="J9" s="261"/>
      <c r="K9" s="388"/>
      <c r="L9" s="389"/>
      <c r="M9" s="261"/>
      <c r="N9" s="261"/>
      <c r="O9" s="261"/>
      <c r="P9" s="261"/>
      <c r="Q9" s="388"/>
      <c r="R9" s="389"/>
      <c r="S9" s="261"/>
      <c r="T9" s="261"/>
      <c r="U9" s="390"/>
    </row>
    <row r="10" spans="2:21" x14ac:dyDescent="0.2">
      <c r="B10" s="391" t="s">
        <v>180</v>
      </c>
      <c r="C10" s="392"/>
      <c r="D10" s="393"/>
      <c r="E10" s="273">
        <f>E17+E25+E33</f>
        <v>636378193</v>
      </c>
      <c r="F10" s="394"/>
      <c r="G10" s="254"/>
      <c r="H10" s="254">
        <f>'Exh JDT-5 (JDT-Rate Spread)'!F70</f>
        <v>-643946.22419724427</v>
      </c>
      <c r="I10" s="254">
        <f>'Exh JDT-5 (JDT-Rate Spread)'!F81</f>
        <v>30961651.936351005</v>
      </c>
      <c r="J10" s="395"/>
      <c r="K10" s="273">
        <f>K17+K25+K33</f>
        <v>639473381</v>
      </c>
      <c r="L10" s="394"/>
      <c r="M10" s="395"/>
      <c r="N10" s="254">
        <f>'Exh JDT-5 (JDT-Rate Spread)'!F74</f>
        <v>-19395368.841368567</v>
      </c>
      <c r="O10" s="254">
        <f>'Exh JDT-5 (JDT-Rate Spread)'!F82</f>
        <v>63168944.563272029</v>
      </c>
      <c r="P10" s="395"/>
      <c r="Q10" s="273"/>
      <c r="R10" s="394"/>
      <c r="S10" s="396"/>
      <c r="T10" s="254"/>
      <c r="U10" s="397"/>
    </row>
    <row r="11" spans="2:21" s="154" customFormat="1" x14ac:dyDescent="0.2">
      <c r="B11" s="195"/>
      <c r="C11" s="398"/>
      <c r="F11" s="398"/>
      <c r="G11" s="318" t="s">
        <v>181</v>
      </c>
      <c r="H11" s="174">
        <f>ROUND(H10/E10, 5)</f>
        <v>-1.01E-3</v>
      </c>
      <c r="I11" s="174">
        <f>ROUND(I10/E10, 5)</f>
        <v>4.8649999999999999E-2</v>
      </c>
      <c r="J11" s="170"/>
      <c r="L11" s="398"/>
      <c r="M11" s="170"/>
      <c r="N11" s="174">
        <f>ROUND(N10/K10, 5)</f>
        <v>-3.0329999999999999E-2</v>
      </c>
      <c r="O11" s="174">
        <f>ROUND(O10/K10, 5)</f>
        <v>9.8780000000000007E-2</v>
      </c>
      <c r="P11" s="170"/>
      <c r="R11" s="398"/>
      <c r="S11" s="170"/>
      <c r="T11" s="174"/>
      <c r="U11" s="399"/>
    </row>
    <row r="12" spans="2:21" s="154" customFormat="1" x14ac:dyDescent="0.2">
      <c r="B12" s="187"/>
      <c r="C12" s="400"/>
      <c r="D12" s="188"/>
      <c r="E12" s="401" t="s">
        <v>129</v>
      </c>
      <c r="F12" s="402">
        <f>F18+F26+F34</f>
        <v>381408517.88003999</v>
      </c>
      <c r="G12" s="189">
        <f>G18+G26+G34</f>
        <v>415942945.27182001</v>
      </c>
      <c r="H12" s="403"/>
      <c r="I12" s="403"/>
      <c r="J12" s="316"/>
      <c r="K12" s="401" t="s">
        <v>129</v>
      </c>
      <c r="L12" s="402">
        <f>L18+L26+L34</f>
        <v>384032148.01235998</v>
      </c>
      <c r="M12" s="189">
        <f>M18+M26+M34</f>
        <v>418799922.89238</v>
      </c>
      <c r="N12" s="403"/>
      <c r="O12" s="403"/>
      <c r="P12" s="316"/>
      <c r="Q12" s="401"/>
      <c r="R12" s="402"/>
      <c r="S12" s="189"/>
      <c r="T12" s="403"/>
      <c r="U12" s="404"/>
    </row>
    <row r="13" spans="2:21" x14ac:dyDescent="0.2">
      <c r="B13" s="195"/>
      <c r="C13" s="398"/>
      <c r="D13" s="154"/>
      <c r="E13" s="154"/>
      <c r="F13" s="398"/>
      <c r="G13" s="170"/>
      <c r="H13" s="405"/>
      <c r="I13" s="405"/>
      <c r="K13" s="154"/>
      <c r="L13" s="398"/>
      <c r="M13" s="170"/>
      <c r="N13" s="405"/>
      <c r="O13" s="405"/>
      <c r="Q13" s="154"/>
      <c r="R13" s="398"/>
      <c r="S13" s="170"/>
      <c r="T13" s="405"/>
      <c r="U13" s="406"/>
    </row>
    <row r="14" spans="2:21" x14ac:dyDescent="0.2">
      <c r="B14" s="407" t="s">
        <v>79</v>
      </c>
      <c r="C14" s="408"/>
      <c r="D14" s="393"/>
      <c r="E14" s="393"/>
      <c r="F14" s="408"/>
      <c r="G14" s="254"/>
      <c r="H14" s="254"/>
      <c r="I14" s="254"/>
      <c r="J14" s="254"/>
      <c r="K14" s="393"/>
      <c r="L14" s="408"/>
      <c r="M14" s="254"/>
      <c r="N14" s="254"/>
      <c r="O14" s="254"/>
      <c r="P14" s="254"/>
      <c r="Q14" s="393"/>
      <c r="R14" s="408"/>
      <c r="S14" s="254"/>
      <c r="T14" s="254"/>
      <c r="U14" s="397"/>
    </row>
    <row r="15" spans="2:21" x14ac:dyDescent="0.2">
      <c r="B15" s="195"/>
      <c r="C15" s="398"/>
      <c r="D15" s="154"/>
      <c r="E15" s="154"/>
      <c r="F15" s="398"/>
      <c r="G15" s="196"/>
      <c r="H15" s="196"/>
      <c r="I15" s="196"/>
      <c r="J15" s="196"/>
      <c r="K15" s="154"/>
      <c r="L15" s="398"/>
      <c r="M15" s="196"/>
      <c r="N15" s="196"/>
      <c r="O15" s="196"/>
      <c r="P15" s="196"/>
      <c r="Q15" s="154"/>
      <c r="R15" s="398"/>
      <c r="S15" s="196"/>
      <c r="T15" s="196"/>
      <c r="U15" s="409"/>
    </row>
    <row r="16" spans="2:21" x14ac:dyDescent="0.2">
      <c r="B16" s="167" t="s">
        <v>66</v>
      </c>
      <c r="C16" s="410">
        <f>'Exh JDT-5 (JDT-RES_RD)'!$E$12</f>
        <v>11.52</v>
      </c>
      <c r="D16" s="170">
        <f>'Exh JDT-5 (JDT-RES_RD)'!$H$12</f>
        <v>12.5</v>
      </c>
      <c r="E16" s="169">
        <v>9926845</v>
      </c>
      <c r="F16" s="411">
        <f>SUM(+E16*C16)</f>
        <v>114357254.39999999</v>
      </c>
      <c r="G16" s="196">
        <f>SUM(+E16*D16)</f>
        <v>124085562.5</v>
      </c>
      <c r="H16" s="196"/>
      <c r="I16" s="196"/>
      <c r="J16" s="196"/>
      <c r="K16" s="169">
        <v>10041842</v>
      </c>
      <c r="L16" s="411">
        <f>SUM(+K16*C16)</f>
        <v>115682019.83999999</v>
      </c>
      <c r="M16" s="196">
        <f>SUM(+K16*D16)</f>
        <v>125523025</v>
      </c>
      <c r="N16" s="196"/>
      <c r="O16" s="196"/>
      <c r="P16" s="196"/>
      <c r="Q16" s="169"/>
      <c r="R16" s="411"/>
      <c r="S16" s="196"/>
      <c r="T16" s="196"/>
      <c r="U16" s="409"/>
    </row>
    <row r="17" spans="2:23" x14ac:dyDescent="0.2">
      <c r="B17" s="195" t="s">
        <v>65</v>
      </c>
      <c r="C17" s="412">
        <f>'Exh JDT-5 (JDT-RES_RD)'!$E$13</f>
        <v>0.41964000000000001</v>
      </c>
      <c r="D17" s="174">
        <f>'Exh JDT-5 (JDT-RES_RD)'!$H$13</f>
        <v>0.45862000000000003</v>
      </c>
      <c r="E17" s="169">
        <v>636369361</v>
      </c>
      <c r="F17" s="411">
        <f>SUM(+E17*C17)</f>
        <v>267046038.65004</v>
      </c>
      <c r="G17" s="196">
        <f>SUM(+E17*D17)</f>
        <v>291851716.34182</v>
      </c>
      <c r="H17" s="196"/>
      <c r="I17" s="196"/>
      <c r="J17" s="196"/>
      <c r="K17" s="169">
        <v>639464549</v>
      </c>
      <c r="L17" s="411">
        <f>SUM(+K17*C17)</f>
        <v>268344903.34236002</v>
      </c>
      <c r="M17" s="196">
        <f>SUM(+K17*D17)</f>
        <v>293271231.46237999</v>
      </c>
      <c r="N17" s="196"/>
      <c r="O17" s="196"/>
      <c r="P17" s="196"/>
      <c r="Q17" s="169"/>
      <c r="R17" s="411"/>
      <c r="S17" s="196"/>
      <c r="T17" s="196"/>
      <c r="U17" s="409"/>
    </row>
    <row r="18" spans="2:23" x14ac:dyDescent="0.2">
      <c r="B18" s="203" t="s">
        <v>182</v>
      </c>
      <c r="C18" s="398"/>
      <c r="D18" s="154"/>
      <c r="E18" s="169"/>
      <c r="F18" s="413">
        <f>SUM(F16:F17)</f>
        <v>381403293.05004001</v>
      </c>
      <c r="G18" s="254">
        <f>SUM(G16:G17)</f>
        <v>415937278.84182</v>
      </c>
      <c r="J18" s="196"/>
      <c r="K18" s="169"/>
      <c r="L18" s="413">
        <f>SUM(L16:L17)</f>
        <v>384026923.18235999</v>
      </c>
      <c r="M18" s="254">
        <f>SUM(M16:M17)</f>
        <v>418794256.46237999</v>
      </c>
      <c r="P18" s="196"/>
      <c r="Q18" s="169"/>
      <c r="R18" s="413"/>
      <c r="S18" s="254"/>
      <c r="U18" s="409"/>
      <c r="W18" s="414"/>
    </row>
    <row r="19" spans="2:23" x14ac:dyDescent="0.2">
      <c r="B19" s="195" t="s">
        <v>183</v>
      </c>
      <c r="C19" s="398"/>
      <c r="D19" s="154"/>
      <c r="E19" s="154"/>
      <c r="F19" s="398"/>
      <c r="G19" s="196"/>
      <c r="H19" s="189">
        <f>H11*E17</f>
        <v>-642733.05460999999</v>
      </c>
      <c r="I19" s="414">
        <f>I11*E17</f>
        <v>30959369.41265</v>
      </c>
      <c r="J19" s="196"/>
      <c r="K19" s="154"/>
      <c r="L19" s="398"/>
      <c r="M19" s="196"/>
      <c r="N19" s="189">
        <f>N11*K17</f>
        <v>-19394959.771169998</v>
      </c>
      <c r="O19" s="414">
        <f>O11*K17</f>
        <v>63166308.150220007</v>
      </c>
      <c r="P19" s="196"/>
      <c r="Q19" s="154"/>
      <c r="R19" s="398"/>
      <c r="S19" s="196"/>
      <c r="T19" s="189"/>
      <c r="U19" s="409"/>
    </row>
    <row r="20" spans="2:23" x14ac:dyDescent="0.2">
      <c r="B20" s="203" t="str">
        <f>"Total "&amp;B14</f>
        <v>Total Schedule 23</v>
      </c>
      <c r="C20" s="398"/>
      <c r="D20" s="154"/>
      <c r="E20" s="154"/>
      <c r="F20" s="398"/>
      <c r="G20" s="130"/>
      <c r="H20" s="196"/>
      <c r="I20" s="415">
        <f>G18+H19+I19</f>
        <v>446253915.19985998</v>
      </c>
      <c r="J20" s="196"/>
      <c r="K20" s="154"/>
      <c r="L20" s="398"/>
      <c r="M20" s="196"/>
      <c r="N20" s="196"/>
      <c r="O20" s="415">
        <f>M18+N19+O19</f>
        <v>462565604.84142995</v>
      </c>
      <c r="P20" s="196"/>
      <c r="Q20" s="154"/>
      <c r="R20" s="398"/>
      <c r="S20" s="196"/>
      <c r="T20" s="196"/>
      <c r="U20" s="416"/>
    </row>
    <row r="21" spans="2:23" x14ac:dyDescent="0.2">
      <c r="B21" s="187"/>
      <c r="C21" s="417"/>
      <c r="D21" s="418"/>
      <c r="E21" s="188"/>
      <c r="F21" s="400"/>
      <c r="G21" s="189"/>
      <c r="H21" s="189"/>
      <c r="I21" s="189"/>
      <c r="J21" s="189"/>
      <c r="K21" s="188"/>
      <c r="L21" s="400"/>
      <c r="M21" s="189"/>
      <c r="N21" s="189"/>
      <c r="O21" s="189"/>
      <c r="P21" s="189"/>
      <c r="Q21" s="188"/>
      <c r="R21" s="400"/>
      <c r="S21" s="189"/>
      <c r="T21" s="189"/>
      <c r="U21" s="419"/>
    </row>
    <row r="22" spans="2:23" x14ac:dyDescent="0.2">
      <c r="B22" s="192" t="s">
        <v>82</v>
      </c>
      <c r="C22" s="420"/>
      <c r="D22" s="158"/>
      <c r="E22" s="158"/>
      <c r="F22" s="421"/>
      <c r="G22" s="158"/>
      <c r="H22" s="158"/>
      <c r="I22" s="158"/>
      <c r="J22" s="158"/>
      <c r="K22" s="158"/>
      <c r="L22" s="421"/>
      <c r="M22" s="158"/>
      <c r="N22" s="158"/>
      <c r="O22" s="158"/>
      <c r="P22" s="158"/>
      <c r="Q22" s="158"/>
      <c r="R22" s="421"/>
      <c r="S22" s="158"/>
      <c r="T22" s="158"/>
      <c r="U22" s="422"/>
    </row>
    <row r="23" spans="2:23" x14ac:dyDescent="0.2">
      <c r="B23" s="195"/>
      <c r="C23" s="398"/>
      <c r="D23" s="154"/>
      <c r="E23" s="154"/>
      <c r="F23" s="398"/>
      <c r="G23" s="196"/>
      <c r="H23" s="196"/>
      <c r="I23" s="196"/>
      <c r="J23" s="196"/>
      <c r="K23" s="154"/>
      <c r="L23" s="398"/>
      <c r="M23" s="196"/>
      <c r="N23" s="196"/>
      <c r="O23" s="196"/>
      <c r="P23" s="196"/>
      <c r="Q23" s="154"/>
      <c r="R23" s="398"/>
      <c r="S23" s="196"/>
      <c r="T23" s="196"/>
      <c r="U23" s="409"/>
    </row>
    <row r="24" spans="2:23" x14ac:dyDescent="0.2">
      <c r="B24" s="167" t="s">
        <v>66</v>
      </c>
      <c r="C24" s="410">
        <f>'Exh JDT-5 (JDT-RES_RD)'!E20</f>
        <v>11.52</v>
      </c>
      <c r="D24" s="170">
        <f>D16</f>
        <v>12.5</v>
      </c>
      <c r="E24" s="169">
        <v>0</v>
      </c>
      <c r="F24" s="411">
        <f>SUM(+E24*C24)</f>
        <v>0</v>
      </c>
      <c r="G24" s="196">
        <f>SUM(+E24*D24)</f>
        <v>0</v>
      </c>
      <c r="H24" s="196"/>
      <c r="I24" s="196"/>
      <c r="J24" s="196"/>
      <c r="K24" s="169">
        <v>0</v>
      </c>
      <c r="L24" s="411">
        <f>SUM(+K24*C24)</f>
        <v>0</v>
      </c>
      <c r="M24" s="196">
        <f>SUM(+K24*D24)</f>
        <v>0</v>
      </c>
      <c r="N24" s="196"/>
      <c r="O24" s="196"/>
      <c r="P24" s="196"/>
      <c r="Q24" s="169"/>
      <c r="R24" s="411"/>
      <c r="S24" s="196"/>
      <c r="T24" s="196"/>
      <c r="U24" s="409"/>
    </row>
    <row r="25" spans="2:23" x14ac:dyDescent="0.2">
      <c r="B25" s="195" t="s">
        <v>65</v>
      </c>
      <c r="C25" s="412">
        <f>'Exh JDT-5 (JDT-RES_RD)'!E21</f>
        <v>0.41964000000000001</v>
      </c>
      <c r="D25" s="174">
        <f>D17</f>
        <v>0.45862000000000003</v>
      </c>
      <c r="E25" s="169">
        <v>0</v>
      </c>
      <c r="F25" s="411">
        <f>SUM(+E25*C25)</f>
        <v>0</v>
      </c>
      <c r="G25" s="196">
        <f>SUM(+E25*D25)</f>
        <v>0</v>
      </c>
      <c r="H25" s="196"/>
      <c r="I25" s="196"/>
      <c r="J25" s="196"/>
      <c r="K25" s="169">
        <v>0</v>
      </c>
      <c r="L25" s="411">
        <f>SUM(+K25*C25)</f>
        <v>0</v>
      </c>
      <c r="M25" s="196">
        <f>SUM(+K25*D25)</f>
        <v>0</v>
      </c>
      <c r="N25" s="196"/>
      <c r="O25" s="196"/>
      <c r="P25" s="196"/>
      <c r="Q25" s="169"/>
      <c r="R25" s="411"/>
      <c r="S25" s="196"/>
      <c r="T25" s="196"/>
      <c r="U25" s="409"/>
    </row>
    <row r="26" spans="2:23" x14ac:dyDescent="0.2">
      <c r="B26" s="203" t="s">
        <v>182</v>
      </c>
      <c r="C26" s="423"/>
      <c r="D26" s="154"/>
      <c r="E26" s="154"/>
      <c r="F26" s="413">
        <f>SUM(F24:F25)</f>
        <v>0</v>
      </c>
      <c r="G26" s="254">
        <f>SUM(G24:G25)</f>
        <v>0</v>
      </c>
      <c r="H26" s="196"/>
      <c r="I26" s="196"/>
      <c r="J26" s="196"/>
      <c r="K26" s="154"/>
      <c r="L26" s="413">
        <f>SUM(L24:L25)</f>
        <v>0</v>
      </c>
      <c r="M26" s="254">
        <f>SUM(M24:M25)</f>
        <v>0</v>
      </c>
      <c r="N26" s="196"/>
      <c r="O26" s="196"/>
      <c r="P26" s="196"/>
      <c r="Q26" s="154"/>
      <c r="R26" s="413"/>
      <c r="S26" s="254"/>
      <c r="T26" s="196"/>
      <c r="U26" s="409"/>
    </row>
    <row r="27" spans="2:23" x14ac:dyDescent="0.2">
      <c r="B27" s="195" t="s">
        <v>183</v>
      </c>
      <c r="C27" s="398"/>
      <c r="D27" s="154"/>
      <c r="E27" s="154"/>
      <c r="F27" s="398"/>
      <c r="G27" s="196"/>
      <c r="H27" s="189">
        <f>H$11*E25</f>
        <v>0</v>
      </c>
      <c r="I27" s="414">
        <f>I$11*E25</f>
        <v>0</v>
      </c>
      <c r="J27" s="196"/>
      <c r="K27" s="154"/>
      <c r="L27" s="398"/>
      <c r="M27" s="196"/>
      <c r="N27" s="189">
        <f>N$11*K25</f>
        <v>0</v>
      </c>
      <c r="O27" s="414">
        <f>O$11*K25</f>
        <v>0</v>
      </c>
      <c r="P27" s="196"/>
      <c r="Q27" s="154"/>
      <c r="R27" s="398"/>
      <c r="S27" s="196"/>
      <c r="T27" s="189"/>
      <c r="U27" s="409"/>
    </row>
    <row r="28" spans="2:23" x14ac:dyDescent="0.2">
      <c r="B28" s="203" t="str">
        <f>"Total "&amp;B22</f>
        <v>Total Schedule 53</v>
      </c>
      <c r="C28" s="423"/>
      <c r="D28" s="154"/>
      <c r="E28" s="154"/>
      <c r="F28" s="398"/>
      <c r="G28" s="196"/>
      <c r="H28" s="196"/>
      <c r="I28" s="415">
        <f>G26+H27+I27</f>
        <v>0</v>
      </c>
      <c r="J28" s="196"/>
      <c r="K28" s="154"/>
      <c r="L28" s="398"/>
      <c r="M28" s="196"/>
      <c r="N28" s="196"/>
      <c r="O28" s="415">
        <f>M26+N27+O27</f>
        <v>0</v>
      </c>
      <c r="P28" s="196"/>
      <c r="Q28" s="154"/>
      <c r="R28" s="398"/>
      <c r="S28" s="196"/>
      <c r="T28" s="196"/>
      <c r="U28" s="416"/>
    </row>
    <row r="29" spans="2:23" x14ac:dyDescent="0.2">
      <c r="B29" s="187"/>
      <c r="C29" s="400"/>
      <c r="D29" s="188"/>
      <c r="E29" s="188"/>
      <c r="F29" s="400"/>
      <c r="G29" s="189"/>
      <c r="H29" s="189"/>
      <c r="I29" s="189"/>
      <c r="J29" s="189"/>
      <c r="K29" s="188"/>
      <c r="L29" s="400"/>
      <c r="M29" s="189"/>
      <c r="N29" s="189"/>
      <c r="O29" s="189"/>
      <c r="P29" s="189"/>
      <c r="Q29" s="188"/>
      <c r="R29" s="400"/>
      <c r="S29" s="189"/>
      <c r="T29" s="189"/>
      <c r="U29" s="419"/>
    </row>
    <row r="30" spans="2:23" x14ac:dyDescent="0.2">
      <c r="B30" s="192" t="s">
        <v>83</v>
      </c>
      <c r="C30" s="420"/>
      <c r="D30" s="158"/>
      <c r="E30" s="158"/>
      <c r="F30" s="421"/>
      <c r="G30" s="158"/>
      <c r="H30" s="158"/>
      <c r="I30" s="158"/>
      <c r="J30" s="158"/>
      <c r="K30" s="158"/>
      <c r="L30" s="421"/>
      <c r="M30" s="158"/>
      <c r="N30" s="158"/>
      <c r="O30" s="158"/>
      <c r="P30" s="158"/>
      <c r="Q30" s="158"/>
      <c r="R30" s="421"/>
      <c r="S30" s="158"/>
      <c r="T30" s="158"/>
      <c r="U30" s="422"/>
    </row>
    <row r="31" spans="2:23" x14ac:dyDescent="0.2">
      <c r="B31" s="203"/>
      <c r="C31" s="423"/>
      <c r="D31" s="154"/>
      <c r="E31" s="154"/>
      <c r="F31" s="398"/>
      <c r="G31" s="196"/>
      <c r="H31" s="196"/>
      <c r="I31" s="196"/>
      <c r="J31" s="196"/>
      <c r="K31" s="154"/>
      <c r="L31" s="398"/>
      <c r="M31" s="196"/>
      <c r="N31" s="196"/>
      <c r="O31" s="196"/>
      <c r="P31" s="196"/>
      <c r="Q31" s="154"/>
      <c r="R31" s="398"/>
      <c r="S31" s="196"/>
      <c r="T31" s="196"/>
      <c r="U31" s="409"/>
    </row>
    <row r="32" spans="2:23" x14ac:dyDescent="0.2">
      <c r="B32" s="195" t="s">
        <v>131</v>
      </c>
      <c r="C32" s="410">
        <f>'Exh JDT-5 (JDT-RES_RD)'!E28</f>
        <v>11.24</v>
      </c>
      <c r="D32" s="170">
        <f>'Exh JDT-5 (JDT-RES_RD)'!$H$28</f>
        <v>12.19</v>
      </c>
      <c r="E32" s="169">
        <v>464.84210526315798</v>
      </c>
      <c r="F32" s="411">
        <f>ROUND(E32*C32,2)</f>
        <v>5224.83</v>
      </c>
      <c r="G32" s="196">
        <f>ROUND(E32*D32,2)</f>
        <v>5666.43</v>
      </c>
      <c r="H32" s="196"/>
      <c r="I32" s="196"/>
      <c r="J32" s="196"/>
      <c r="K32" s="169">
        <v>464.84210526315798</v>
      </c>
      <c r="L32" s="411">
        <f>ROUND(K32*C32,2)</f>
        <v>5224.83</v>
      </c>
      <c r="M32" s="196">
        <f>ROUND(K32*D32,2)</f>
        <v>5666.43</v>
      </c>
      <c r="N32" s="196"/>
      <c r="O32" s="196"/>
      <c r="P32" s="196"/>
      <c r="Q32" s="169"/>
      <c r="R32" s="411"/>
      <c r="S32" s="196"/>
      <c r="T32" s="196"/>
      <c r="U32" s="409"/>
    </row>
    <row r="33" spans="2:21" x14ac:dyDescent="0.2">
      <c r="B33" s="167" t="s">
        <v>133</v>
      </c>
      <c r="C33" s="424"/>
      <c r="D33" s="154"/>
      <c r="E33" s="169">
        <v>8832</v>
      </c>
      <c r="F33" s="425"/>
      <c r="G33" s="196"/>
      <c r="H33" s="196"/>
      <c r="I33" s="196"/>
      <c r="J33" s="196"/>
      <c r="K33" s="169">
        <v>8832</v>
      </c>
      <c r="L33" s="425"/>
      <c r="M33" s="196"/>
      <c r="N33" s="196"/>
      <c r="O33" s="196"/>
      <c r="P33" s="196"/>
      <c r="Q33" s="169"/>
      <c r="R33" s="425"/>
      <c r="S33" s="196"/>
      <c r="T33" s="196"/>
      <c r="U33" s="409"/>
    </row>
    <row r="34" spans="2:21" x14ac:dyDescent="0.2">
      <c r="B34" s="203" t="s">
        <v>182</v>
      </c>
      <c r="C34" s="423"/>
      <c r="D34" s="154"/>
      <c r="E34" s="154"/>
      <c r="F34" s="413">
        <f>SUM(F32:F33)</f>
        <v>5224.83</v>
      </c>
      <c r="G34" s="254">
        <f>SUM(G32:G33)</f>
        <v>5666.43</v>
      </c>
      <c r="H34" s="196"/>
      <c r="I34" s="196"/>
      <c r="J34" s="196"/>
      <c r="K34" s="154"/>
      <c r="L34" s="413">
        <f>SUM(L32:L33)</f>
        <v>5224.83</v>
      </c>
      <c r="M34" s="254">
        <f>SUM(M32:M33)</f>
        <v>5666.43</v>
      </c>
      <c r="N34" s="196"/>
      <c r="O34" s="196"/>
      <c r="P34" s="196"/>
      <c r="Q34" s="154"/>
      <c r="R34" s="413"/>
      <c r="S34" s="254"/>
      <c r="T34" s="196"/>
      <c r="U34" s="409"/>
    </row>
    <row r="35" spans="2:21" x14ac:dyDescent="0.2">
      <c r="B35" s="195" t="s">
        <v>183</v>
      </c>
      <c r="C35" s="398"/>
      <c r="D35" s="154"/>
      <c r="E35" s="154"/>
      <c r="F35" s="398"/>
      <c r="G35" s="196"/>
      <c r="H35" s="189">
        <f>H$11*E33</f>
        <v>-8.9203200000000002</v>
      </c>
      <c r="I35" s="414">
        <f>I$11*E33</f>
        <v>429.67680000000001</v>
      </c>
      <c r="J35" s="196"/>
      <c r="K35" s="154"/>
      <c r="L35" s="398"/>
      <c r="M35" s="196"/>
      <c r="N35" s="189">
        <f>N$11*K33</f>
        <v>-267.87455999999997</v>
      </c>
      <c r="O35" s="414">
        <f>O$11*K33</f>
        <v>872.42496000000006</v>
      </c>
      <c r="P35" s="196"/>
      <c r="Q35" s="154"/>
      <c r="R35" s="398"/>
      <c r="S35" s="196"/>
      <c r="T35" s="189"/>
      <c r="U35" s="409"/>
    </row>
    <row r="36" spans="2:21" x14ac:dyDescent="0.2">
      <c r="B36" s="203" t="str">
        <f>"Total "&amp;B30</f>
        <v>Total Schedule 16</v>
      </c>
      <c r="C36" s="423"/>
      <c r="D36" s="154"/>
      <c r="E36" s="154"/>
      <c r="F36" s="398"/>
      <c r="G36" s="196"/>
      <c r="H36" s="196"/>
      <c r="I36" s="415">
        <f>G34+H35+I35</f>
        <v>6087.1864800000003</v>
      </c>
      <c r="J36" s="196"/>
      <c r="K36" s="154"/>
      <c r="L36" s="398"/>
      <c r="M36" s="196"/>
      <c r="N36" s="196"/>
      <c r="O36" s="415">
        <f>M34+N35+O35</f>
        <v>6270.9804000000004</v>
      </c>
      <c r="P36" s="196"/>
      <c r="Q36" s="154"/>
      <c r="R36" s="398"/>
      <c r="S36" s="196"/>
      <c r="T36" s="196"/>
      <c r="U36" s="416"/>
    </row>
    <row r="37" spans="2:21" x14ac:dyDescent="0.2">
      <c r="B37" s="426"/>
      <c r="C37" s="427"/>
      <c r="D37" s="188"/>
      <c r="E37" s="188"/>
      <c r="F37" s="400"/>
      <c r="G37" s="316"/>
      <c r="H37" s="316"/>
      <c r="I37" s="316"/>
      <c r="J37" s="316"/>
      <c r="K37" s="188"/>
      <c r="L37" s="400"/>
      <c r="M37" s="316"/>
      <c r="N37" s="316"/>
      <c r="O37" s="316"/>
      <c r="P37" s="316"/>
      <c r="Q37" s="188"/>
      <c r="R37" s="400"/>
      <c r="S37" s="316"/>
      <c r="T37" s="316"/>
      <c r="U37" s="404"/>
    </row>
    <row r="38" spans="2:21" x14ac:dyDescent="0.2">
      <c r="B38" s="130"/>
      <c r="C38" s="371"/>
      <c r="G38" s="130"/>
      <c r="H38" s="130"/>
      <c r="I38" s="130"/>
      <c r="J38" s="130"/>
      <c r="M38" s="130"/>
      <c r="N38" s="130"/>
      <c r="O38" s="130"/>
      <c r="P38" s="130"/>
      <c r="S38" s="130"/>
      <c r="T38" s="130"/>
      <c r="U38" s="130"/>
    </row>
    <row r="39" spans="2:21" x14ac:dyDescent="0.2">
      <c r="B39" s="391" t="s">
        <v>184</v>
      </c>
      <c r="C39" s="392"/>
      <c r="D39" s="393"/>
      <c r="E39" s="273">
        <f>E47+E55</f>
        <v>243226645</v>
      </c>
      <c r="F39" s="394"/>
      <c r="G39" s="254"/>
      <c r="H39" s="254">
        <f>'Exh JDT-5 (JDT-Rate Spread)'!G70</f>
        <v>-227176.73551591771</v>
      </c>
      <c r="I39" s="254">
        <f>'Exh JDT-5 (JDT-Rate Spread)'!G81</f>
        <v>10922910.561124483</v>
      </c>
      <c r="J39" s="395"/>
      <c r="K39" s="273">
        <f>K47+K55</f>
        <v>245970110</v>
      </c>
      <c r="L39" s="394"/>
      <c r="M39" s="395"/>
      <c r="N39" s="254">
        <f>'Exh JDT-5 (JDT-Rate Spread)'!G74</f>
        <v>-6842460.4601138579</v>
      </c>
      <c r="O39" s="254">
        <f>'Exh JDT-5 (JDT-Rate Spread)'!G82</f>
        <v>22285268.664723899</v>
      </c>
      <c r="P39" s="395"/>
      <c r="Q39" s="273"/>
      <c r="R39" s="394"/>
      <c r="S39" s="396"/>
      <c r="T39" s="254"/>
      <c r="U39" s="397"/>
    </row>
    <row r="40" spans="2:21" x14ac:dyDescent="0.2">
      <c r="B40" s="195"/>
      <c r="C40" s="398"/>
      <c r="D40" s="154"/>
      <c r="E40" s="154"/>
      <c r="F40" s="398"/>
      <c r="G40" s="318" t="s">
        <v>181</v>
      </c>
      <c r="H40" s="174">
        <f>ROUND(H39/E39, 5)</f>
        <v>-9.3000000000000005E-4</v>
      </c>
      <c r="I40" s="174">
        <f>ROUND(I39/E39, 5)</f>
        <v>4.4909999999999999E-2</v>
      </c>
      <c r="K40" s="154"/>
      <c r="L40" s="398"/>
      <c r="M40" s="170"/>
      <c r="N40" s="174">
        <f>ROUND(N39/K39, 5)</f>
        <v>-2.7820000000000001E-2</v>
      </c>
      <c r="O40" s="174">
        <f>ROUND(O39/K39, 5)</f>
        <v>9.06E-2</v>
      </c>
      <c r="Q40" s="154"/>
      <c r="R40" s="398"/>
      <c r="S40" s="170"/>
      <c r="T40" s="174"/>
      <c r="U40" s="399"/>
    </row>
    <row r="41" spans="2:21" x14ac:dyDescent="0.2">
      <c r="B41" s="187"/>
      <c r="C41" s="400"/>
      <c r="D41" s="188"/>
      <c r="E41" s="401" t="s">
        <v>129</v>
      </c>
      <c r="F41" s="402">
        <f>F48+F58</f>
        <v>119685870.05628002</v>
      </c>
      <c r="G41" s="189">
        <f>G48+G58</f>
        <v>132170612.62645999</v>
      </c>
      <c r="H41" s="403"/>
      <c r="I41" s="403"/>
      <c r="J41" s="316"/>
      <c r="K41" s="401" t="s">
        <v>129</v>
      </c>
      <c r="L41" s="402">
        <f>L48+L58</f>
        <v>120892478.12313001</v>
      </c>
      <c r="M41" s="189">
        <f>M48+M58</f>
        <v>133496658.36895999</v>
      </c>
      <c r="N41" s="403"/>
      <c r="O41" s="403"/>
      <c r="P41" s="316"/>
      <c r="Q41" s="401"/>
      <c r="R41" s="402"/>
      <c r="S41" s="189"/>
      <c r="T41" s="403"/>
      <c r="U41" s="419"/>
    </row>
    <row r="42" spans="2:21" x14ac:dyDescent="0.2">
      <c r="B42" s="428"/>
      <c r="C42" s="429"/>
      <c r="D42" s="430"/>
      <c r="E42" s="158"/>
      <c r="F42" s="421"/>
      <c r="G42" s="158"/>
      <c r="H42" s="158"/>
      <c r="I42" s="158"/>
      <c r="J42" s="158"/>
      <c r="K42" s="158"/>
      <c r="L42" s="421"/>
      <c r="M42" s="158"/>
      <c r="N42" s="158"/>
      <c r="O42" s="158"/>
      <c r="P42" s="158"/>
      <c r="Q42" s="158"/>
      <c r="R42" s="421"/>
      <c r="S42" s="158"/>
      <c r="T42" s="158"/>
      <c r="U42" s="422"/>
    </row>
    <row r="43" spans="2:21" x14ac:dyDescent="0.2">
      <c r="B43" s="192" t="s">
        <v>86</v>
      </c>
      <c r="C43" s="420"/>
      <c r="D43" s="158"/>
      <c r="E43" s="158"/>
      <c r="F43" s="421"/>
      <c r="G43" s="158"/>
      <c r="H43" s="158"/>
      <c r="I43" s="158"/>
      <c r="J43" s="158"/>
      <c r="K43" s="158"/>
      <c r="L43" s="421"/>
      <c r="M43" s="158"/>
      <c r="N43" s="158"/>
      <c r="O43" s="158"/>
      <c r="P43" s="158"/>
      <c r="Q43" s="158"/>
      <c r="R43" s="421"/>
      <c r="S43" s="158"/>
      <c r="T43" s="158"/>
      <c r="U43" s="422"/>
    </row>
    <row r="44" spans="2:21" x14ac:dyDescent="0.2">
      <c r="B44" s="195"/>
      <c r="C44" s="398"/>
      <c r="D44" s="154"/>
      <c r="E44" s="154"/>
      <c r="F44" s="398"/>
      <c r="G44" s="154"/>
      <c r="H44" s="154"/>
      <c r="I44" s="154"/>
      <c r="J44" s="154"/>
      <c r="K44" s="154"/>
      <c r="L44" s="398"/>
      <c r="M44" s="154"/>
      <c r="N44" s="154"/>
      <c r="O44" s="154"/>
      <c r="P44" s="154"/>
      <c r="Q44" s="154"/>
      <c r="R44" s="398"/>
      <c r="S44" s="154"/>
      <c r="T44" s="154"/>
      <c r="U44" s="431"/>
    </row>
    <row r="45" spans="2:21" x14ac:dyDescent="0.2">
      <c r="B45" s="167" t="s">
        <v>66</v>
      </c>
      <c r="C45" s="410">
        <f>'Exh JDT-5 (JDT-C&amp;I-RD)'!E12</f>
        <v>33.840000000000003</v>
      </c>
      <c r="D45" s="170">
        <f>'Exh JDT-5 (JDT-C&amp;I-RD)'!$H$12</f>
        <v>38.89</v>
      </c>
      <c r="E45" s="169">
        <v>709925</v>
      </c>
      <c r="F45" s="411">
        <f>SUM(+E45*C45)</f>
        <v>24023862.000000004</v>
      </c>
      <c r="G45" s="196">
        <f>SUM(+E45*D45)</f>
        <v>27608983.25</v>
      </c>
      <c r="H45" s="196"/>
      <c r="I45" s="196"/>
      <c r="J45" s="154"/>
      <c r="K45" s="169">
        <v>713698</v>
      </c>
      <c r="L45" s="411">
        <f>SUM(+K45*C45)</f>
        <v>24151540.320000004</v>
      </c>
      <c r="M45" s="196">
        <f>SUM(+K45*D45)</f>
        <v>27755715.219999999</v>
      </c>
      <c r="N45" s="196"/>
      <c r="O45" s="196"/>
      <c r="P45" s="196"/>
      <c r="Q45" s="169"/>
      <c r="R45" s="411"/>
      <c r="S45" s="196"/>
      <c r="T45" s="196"/>
      <c r="U45" s="409"/>
    </row>
    <row r="46" spans="2:21" x14ac:dyDescent="0.2">
      <c r="B46" s="195" t="s">
        <v>65</v>
      </c>
      <c r="C46" s="412">
        <f>'Exh JDT-5 (JDT-C&amp;I-RD)'!E13</f>
        <v>0.37956000000000001</v>
      </c>
      <c r="D46" s="174">
        <f>'Exh JDT-5 (JDT-C&amp;I-RD)'!$H$13</f>
        <v>0.41493999999999998</v>
      </c>
      <c r="E46" s="169">
        <v>243192248</v>
      </c>
      <c r="F46" s="411">
        <f t="shared" ref="F46:F47" si="0">SUM(+E46*C46)</f>
        <v>92306049.650880009</v>
      </c>
      <c r="G46" s="196">
        <f>SUM(+E46*D46)</f>
        <v>100910191.38511999</v>
      </c>
      <c r="H46" s="196"/>
      <c r="I46" s="196"/>
      <c r="J46" s="154"/>
      <c r="K46" s="169">
        <v>245936243</v>
      </c>
      <c r="L46" s="411">
        <f t="shared" ref="L46:L47" si="1">SUM(+K46*C46)</f>
        <v>93347560.393079996</v>
      </c>
      <c r="M46" s="196">
        <f>SUM(+K46*D46)</f>
        <v>102048784.67041999</v>
      </c>
      <c r="N46" s="196"/>
      <c r="O46" s="196"/>
      <c r="P46" s="196"/>
      <c r="Q46" s="169"/>
      <c r="R46" s="411"/>
      <c r="S46" s="196"/>
      <c r="T46" s="196"/>
      <c r="U46" s="409"/>
    </row>
    <row r="47" spans="2:21" x14ac:dyDescent="0.2">
      <c r="B47" s="195" t="s">
        <v>68</v>
      </c>
      <c r="C47" s="412">
        <f>'Exh JDT-5 (JDT-C&amp;I-RD)'!E14</f>
        <v>1.371E-2</v>
      </c>
      <c r="D47" s="174">
        <f>'Exh JDT-5 (JDT-C&amp;I-RD)'!$H$14</f>
        <v>1.4919999999999999E-2</v>
      </c>
      <c r="E47" s="169">
        <f>E46</f>
        <v>243192248</v>
      </c>
      <c r="F47" s="402">
        <f t="shared" si="0"/>
        <v>3334165.7200799999</v>
      </c>
      <c r="G47" s="189">
        <f>SUM(+E47*D47)</f>
        <v>3628428.3401599997</v>
      </c>
      <c r="H47" s="130"/>
      <c r="I47" s="196"/>
      <c r="J47" s="154"/>
      <c r="K47" s="169">
        <f>K46</f>
        <v>245936243</v>
      </c>
      <c r="L47" s="411">
        <f t="shared" si="1"/>
        <v>3371785.8915300001</v>
      </c>
      <c r="M47" s="189">
        <f>SUM(+K47*D47)</f>
        <v>3669368.7455599997</v>
      </c>
      <c r="N47" s="196"/>
      <c r="O47" s="196"/>
      <c r="P47" s="196"/>
      <c r="Q47" s="169"/>
      <c r="R47" s="402"/>
      <c r="S47" s="189"/>
      <c r="T47" s="196"/>
      <c r="U47" s="409"/>
    </row>
    <row r="48" spans="2:21" x14ac:dyDescent="0.2">
      <c r="B48" s="203" t="s">
        <v>182</v>
      </c>
      <c r="C48" s="423"/>
      <c r="D48" s="154"/>
      <c r="E48" s="154"/>
      <c r="F48" s="411">
        <f>SUM(F45:F47)</f>
        <v>119664077.37096001</v>
      </c>
      <c r="G48" s="196">
        <f>SUM(G45:G47)</f>
        <v>132147602.97527999</v>
      </c>
      <c r="H48" s="196"/>
      <c r="I48" s="196"/>
      <c r="J48" s="154"/>
      <c r="K48" s="154"/>
      <c r="L48" s="413">
        <f>SUM(L45:L47)</f>
        <v>120870886.60461001</v>
      </c>
      <c r="M48" s="254">
        <f>SUM(M45:M47)</f>
        <v>133473868.63598</v>
      </c>
      <c r="N48" s="196"/>
      <c r="O48" s="196"/>
      <c r="P48" s="196"/>
      <c r="Q48" s="154"/>
      <c r="R48" s="413"/>
      <c r="S48" s="254"/>
      <c r="T48" s="196"/>
      <c r="U48" s="409"/>
    </row>
    <row r="49" spans="2:21" x14ac:dyDescent="0.2">
      <c r="B49" s="195" t="s">
        <v>183</v>
      </c>
      <c r="C49" s="398"/>
      <c r="D49" s="154"/>
      <c r="E49" s="154"/>
      <c r="F49" s="398"/>
      <c r="G49" s="196"/>
      <c r="H49" s="189">
        <f>H$40*E47</f>
        <v>-226168.79064000002</v>
      </c>
      <c r="I49" s="189">
        <f>I$40*E47</f>
        <v>10921763.85768</v>
      </c>
      <c r="J49" s="154"/>
      <c r="K49" s="154"/>
      <c r="L49" s="398"/>
      <c r="M49" s="154"/>
      <c r="N49" s="189">
        <f>N$40*K47</f>
        <v>-6841946.2802600004</v>
      </c>
      <c r="O49" s="189">
        <f>O$40*K47</f>
        <v>22281823.615800001</v>
      </c>
      <c r="P49" s="154"/>
      <c r="Q49" s="154"/>
      <c r="R49" s="398"/>
      <c r="S49" s="154"/>
      <c r="T49" s="189"/>
      <c r="U49" s="419"/>
    </row>
    <row r="50" spans="2:21" x14ac:dyDescent="0.2">
      <c r="B50" s="203" t="str">
        <f>"Total "&amp;B43</f>
        <v>Total Schedule 31 - Sales</v>
      </c>
      <c r="C50" s="423"/>
      <c r="D50" s="154"/>
      <c r="E50" s="154"/>
      <c r="F50" s="398"/>
      <c r="G50" s="196"/>
      <c r="H50" s="196"/>
      <c r="I50" s="415">
        <f>G48+H49+I49</f>
        <v>142843198.04231998</v>
      </c>
      <c r="J50" s="154"/>
      <c r="K50" s="154"/>
      <c r="L50" s="398"/>
      <c r="M50" s="154"/>
      <c r="N50" s="196"/>
      <c r="O50" s="415">
        <f>M48+N49+O49</f>
        <v>148913745.97152001</v>
      </c>
      <c r="P50" s="196"/>
      <c r="Q50" s="154"/>
      <c r="R50" s="398"/>
      <c r="S50" s="154"/>
      <c r="T50" s="196"/>
      <c r="U50" s="431"/>
    </row>
    <row r="51" spans="2:21" x14ac:dyDescent="0.2">
      <c r="B51" s="187"/>
      <c r="C51" s="400"/>
      <c r="D51" s="188"/>
      <c r="E51" s="188"/>
      <c r="F51" s="400"/>
      <c r="G51" s="188"/>
      <c r="H51" s="188"/>
      <c r="I51" s="188"/>
      <c r="J51" s="188"/>
      <c r="K51" s="188"/>
      <c r="L51" s="400"/>
      <c r="M51" s="188"/>
      <c r="N51" s="188"/>
      <c r="O51" s="188"/>
      <c r="P51" s="188"/>
      <c r="Q51" s="188"/>
      <c r="R51" s="400"/>
      <c r="S51" s="188"/>
      <c r="T51" s="188"/>
      <c r="U51" s="432"/>
    </row>
    <row r="52" spans="2:21" x14ac:dyDescent="0.2">
      <c r="B52" s="192" t="s">
        <v>87</v>
      </c>
      <c r="C52" s="420"/>
      <c r="D52" s="158"/>
      <c r="E52" s="158"/>
      <c r="F52" s="421"/>
      <c r="G52" s="158"/>
      <c r="H52" s="158"/>
      <c r="I52" s="158"/>
      <c r="J52" s="158"/>
      <c r="K52" s="158"/>
      <c r="L52" s="421"/>
      <c r="M52" s="158"/>
      <c r="N52" s="158"/>
      <c r="O52" s="158"/>
      <c r="P52" s="158"/>
      <c r="Q52" s="158"/>
      <c r="R52" s="421"/>
      <c r="S52" s="158"/>
      <c r="T52" s="158"/>
      <c r="U52" s="422"/>
    </row>
    <row r="53" spans="2:21" x14ac:dyDescent="0.2">
      <c r="B53" s="195"/>
      <c r="C53" s="398"/>
      <c r="D53" s="154"/>
      <c r="E53" s="154"/>
      <c r="F53" s="398"/>
      <c r="G53" s="154"/>
      <c r="H53" s="154"/>
      <c r="I53" s="154"/>
      <c r="J53" s="154"/>
      <c r="K53" s="154"/>
      <c r="L53" s="398"/>
      <c r="M53" s="154"/>
      <c r="N53" s="154"/>
      <c r="O53" s="154"/>
      <c r="P53" s="154"/>
      <c r="Q53" s="154"/>
      <c r="R53" s="398"/>
      <c r="S53" s="154"/>
      <c r="T53" s="154"/>
      <c r="U53" s="431"/>
    </row>
    <row r="54" spans="2:21" x14ac:dyDescent="0.2">
      <c r="B54" s="167" t="s">
        <v>66</v>
      </c>
      <c r="C54" s="410">
        <f>'Exh JDT-5 (JDT-C&amp;I-RD)'!E22</f>
        <v>364.04</v>
      </c>
      <c r="D54" s="170">
        <f>'Exh JDT-5 (JDT-C&amp;I-RD)'!$H$22</f>
        <v>364.04</v>
      </c>
      <c r="E54" s="169">
        <v>24</v>
      </c>
      <c r="F54" s="411">
        <f t="shared" ref="F54:F55" si="2">SUM(+E54*C54)</f>
        <v>8736.9600000000009</v>
      </c>
      <c r="G54" s="196">
        <f>SUM(+E54*D54)</f>
        <v>8736.9600000000009</v>
      </c>
      <c r="H54" s="196"/>
      <c r="I54" s="196"/>
      <c r="J54" s="154"/>
      <c r="K54" s="169">
        <v>24</v>
      </c>
      <c r="L54" s="411">
        <f t="shared" ref="L54:L55" si="3">SUM(+K54*C54)</f>
        <v>8736.9600000000009</v>
      </c>
      <c r="M54" s="196">
        <f>SUM(+K54*D54)</f>
        <v>8736.9600000000009</v>
      </c>
      <c r="N54" s="196"/>
      <c r="O54" s="196"/>
      <c r="P54" s="196"/>
      <c r="Q54" s="169"/>
      <c r="R54" s="411"/>
      <c r="S54" s="196"/>
      <c r="T54" s="196"/>
      <c r="U54" s="409"/>
    </row>
    <row r="55" spans="2:21" x14ac:dyDescent="0.2">
      <c r="B55" s="195" t="s">
        <v>65</v>
      </c>
      <c r="C55" s="412">
        <f>'Exh JDT-5 (JDT-C&amp;I-RD)'!E23</f>
        <v>0.37956000000000001</v>
      </c>
      <c r="D55" s="174">
        <f>'Exh JDT-5 (JDT-C&amp;I-RD)'!$H$23</f>
        <v>0.41493999999999998</v>
      </c>
      <c r="E55" s="169">
        <v>34397</v>
      </c>
      <c r="F55" s="411">
        <f t="shared" si="2"/>
        <v>13055.72532</v>
      </c>
      <c r="G55" s="196">
        <f>SUM(+E55*D55)</f>
        <v>14272.69118</v>
      </c>
      <c r="H55" s="196"/>
      <c r="I55" s="196"/>
      <c r="J55" s="154"/>
      <c r="K55" s="169">
        <v>33867</v>
      </c>
      <c r="L55" s="411">
        <f t="shared" si="3"/>
        <v>12854.55852</v>
      </c>
      <c r="M55" s="196">
        <f>SUM(+K55*D55)</f>
        <v>14052.77298</v>
      </c>
      <c r="N55" s="196"/>
      <c r="O55" s="196"/>
      <c r="P55" s="196"/>
      <c r="Q55" s="169"/>
      <c r="R55" s="411"/>
      <c r="S55" s="196"/>
      <c r="T55" s="196"/>
      <c r="U55" s="409"/>
    </row>
    <row r="56" spans="2:21" x14ac:dyDescent="0.2">
      <c r="B56" s="167" t="s">
        <v>130</v>
      </c>
      <c r="C56" s="424"/>
      <c r="D56" s="154"/>
      <c r="E56" s="154"/>
      <c r="F56" s="411">
        <f>SUM(F54:F55)</f>
        <v>21792.685320000001</v>
      </c>
      <c r="G56" s="196">
        <f>SUM(G54:G55)</f>
        <v>23009.651180000001</v>
      </c>
      <c r="H56" s="196"/>
      <c r="I56" s="196"/>
      <c r="J56" s="154"/>
      <c r="K56" s="154"/>
      <c r="L56" s="413">
        <f>SUM(L54:L55)</f>
        <v>21591.518520000001</v>
      </c>
      <c r="M56" s="254">
        <f>SUM(M54:M55)</f>
        <v>22789.732980000001</v>
      </c>
      <c r="N56" s="196"/>
      <c r="O56" s="196"/>
      <c r="P56" s="196"/>
      <c r="Q56" s="154"/>
      <c r="R56" s="413"/>
      <c r="S56" s="254"/>
      <c r="T56" s="196"/>
      <c r="U56" s="409"/>
    </row>
    <row r="57" spans="2:21" x14ac:dyDescent="0.2">
      <c r="B57" s="195"/>
      <c r="C57" s="398"/>
      <c r="D57" s="154"/>
      <c r="E57" s="154"/>
      <c r="F57" s="398"/>
      <c r="G57" s="154"/>
      <c r="H57" s="154"/>
      <c r="I57" s="154"/>
      <c r="J57" s="154"/>
      <c r="K57" s="154"/>
      <c r="L57" s="398"/>
      <c r="M57" s="154"/>
      <c r="N57" s="154"/>
      <c r="O57" s="154"/>
      <c r="P57" s="154"/>
      <c r="Q57" s="154"/>
      <c r="R57" s="398"/>
      <c r="S57" s="154"/>
      <c r="T57" s="154"/>
      <c r="U57" s="431"/>
    </row>
    <row r="58" spans="2:21" x14ac:dyDescent="0.2">
      <c r="B58" s="203" t="s">
        <v>182</v>
      </c>
      <c r="C58" s="423"/>
      <c r="D58" s="154"/>
      <c r="E58" s="154"/>
      <c r="F58" s="413">
        <f>F56</f>
        <v>21792.685320000001</v>
      </c>
      <c r="G58" s="254">
        <f>G56</f>
        <v>23009.651180000001</v>
      </c>
      <c r="H58" s="196"/>
      <c r="I58" s="196"/>
      <c r="J58" s="154"/>
      <c r="K58" s="154"/>
      <c r="L58" s="413">
        <f>L56</f>
        <v>21591.518520000001</v>
      </c>
      <c r="M58" s="254">
        <f>M56</f>
        <v>22789.732980000001</v>
      </c>
      <c r="N58" s="130"/>
      <c r="O58" s="130"/>
      <c r="P58" s="154"/>
      <c r="Q58" s="154"/>
      <c r="R58" s="413"/>
      <c r="S58" s="254"/>
      <c r="T58" s="130"/>
      <c r="U58" s="409"/>
    </row>
    <row r="59" spans="2:21" x14ac:dyDescent="0.2">
      <c r="B59" s="195" t="s">
        <v>183</v>
      </c>
      <c r="C59" s="398"/>
      <c r="D59" s="154"/>
      <c r="E59" s="154"/>
      <c r="F59" s="398"/>
      <c r="G59" s="196"/>
      <c r="H59" s="189">
        <f>H$40*E55</f>
        <v>-31.989210000000003</v>
      </c>
      <c r="I59" s="189">
        <f>I$40*E55</f>
        <v>1544.76927</v>
      </c>
      <c r="J59" s="174"/>
      <c r="K59" s="174"/>
      <c r="L59" s="412"/>
      <c r="M59" s="174"/>
      <c r="N59" s="189">
        <f>N$40*K55</f>
        <v>-942.17993999999999</v>
      </c>
      <c r="O59" s="189">
        <f>O$40*K55</f>
        <v>3068.3501999999999</v>
      </c>
      <c r="P59" s="174"/>
      <c r="Q59" s="174"/>
      <c r="R59" s="412"/>
      <c r="S59" s="174"/>
      <c r="T59" s="189"/>
      <c r="U59" s="419"/>
    </row>
    <row r="60" spans="2:21" x14ac:dyDescent="0.2">
      <c r="B60" s="203" t="str">
        <f>"Total "&amp;B52</f>
        <v>Total Schedule 31 - Transportation</v>
      </c>
      <c r="C60" s="423"/>
      <c r="D60" s="154"/>
      <c r="E60" s="154"/>
      <c r="F60" s="398"/>
      <c r="G60" s="196"/>
      <c r="H60" s="196"/>
      <c r="I60" s="205">
        <f>G58+H59+I59</f>
        <v>24522.431240000002</v>
      </c>
      <c r="J60" s="154"/>
      <c r="K60" s="154"/>
      <c r="L60" s="398"/>
      <c r="M60" s="196"/>
      <c r="N60" s="196"/>
      <c r="O60" s="415">
        <f>M58+N59+O59</f>
        <v>24915.90324</v>
      </c>
      <c r="P60" s="154"/>
      <c r="Q60" s="154"/>
      <c r="R60" s="398"/>
      <c r="S60" s="196"/>
      <c r="T60" s="196"/>
      <c r="U60" s="433"/>
    </row>
    <row r="61" spans="2:21" x14ac:dyDescent="0.2">
      <c r="B61" s="187"/>
      <c r="C61" s="400"/>
      <c r="D61" s="261"/>
      <c r="E61" s="188"/>
      <c r="F61" s="400"/>
      <c r="G61" s="188"/>
      <c r="H61" s="188"/>
      <c r="I61" s="188"/>
      <c r="J61" s="188"/>
      <c r="K61" s="188"/>
      <c r="L61" s="400"/>
      <c r="M61" s="188"/>
      <c r="N61" s="188"/>
      <c r="O61" s="188"/>
      <c r="P61" s="188"/>
      <c r="Q61" s="188"/>
      <c r="R61" s="400"/>
      <c r="S61" s="188"/>
      <c r="T61" s="188"/>
      <c r="U61" s="432"/>
    </row>
    <row r="62" spans="2:21" x14ac:dyDescent="0.2">
      <c r="B62" s="130"/>
      <c r="C62" s="371"/>
      <c r="G62" s="130"/>
      <c r="H62" s="130"/>
      <c r="I62" s="130"/>
      <c r="J62" s="130"/>
      <c r="M62" s="130"/>
      <c r="N62" s="130"/>
      <c r="O62" s="130"/>
      <c r="P62" s="130"/>
      <c r="S62" s="130"/>
      <c r="T62" s="130"/>
      <c r="U62" s="130"/>
    </row>
    <row r="63" spans="2:21" x14ac:dyDescent="0.2">
      <c r="B63" s="391" t="s">
        <v>185</v>
      </c>
      <c r="C63" s="392"/>
      <c r="D63" s="393"/>
      <c r="E63" s="273">
        <f>E77+E93</f>
        <v>92387406</v>
      </c>
      <c r="F63" s="394"/>
      <c r="G63" s="254"/>
      <c r="H63" s="254">
        <f>'Exh JDT-5 (JDT-Rate Spread)'!H70</f>
        <v>-41249.330497328236</v>
      </c>
      <c r="I63" s="254">
        <f>'Exh JDT-5 (JDT-Rate Spread)'!H81</f>
        <v>1983313.7698072565</v>
      </c>
      <c r="J63" s="395"/>
      <c r="K63" s="273">
        <f>K77+K93</f>
        <v>93400775</v>
      </c>
      <c r="L63" s="394"/>
      <c r="M63" s="395"/>
      <c r="N63" s="254">
        <f>'Exh JDT-5 (JDT-Rate Spread)'!H74</f>
        <v>-1242411.1663245589</v>
      </c>
      <c r="O63" s="254">
        <f>'Exh JDT-5 (JDT-Rate Spread)'!H82</f>
        <v>4046419.6753480462</v>
      </c>
      <c r="P63" s="395"/>
      <c r="Q63" s="273"/>
      <c r="R63" s="394"/>
      <c r="S63" s="396"/>
      <c r="T63" s="254"/>
      <c r="U63" s="397"/>
    </row>
    <row r="64" spans="2:21" x14ac:dyDescent="0.2">
      <c r="B64" s="195"/>
      <c r="C64" s="398"/>
      <c r="D64" s="154"/>
      <c r="E64" s="154"/>
      <c r="F64" s="398"/>
      <c r="G64" s="318" t="s">
        <v>181</v>
      </c>
      <c r="H64" s="174">
        <f>ROUND(H63/E63, 5)</f>
        <v>-4.4999999999999999E-4</v>
      </c>
      <c r="I64" s="174">
        <f>ROUND(I63/E63, 5)</f>
        <v>2.147E-2</v>
      </c>
      <c r="K64" s="154"/>
      <c r="L64" s="398"/>
      <c r="M64" s="170"/>
      <c r="N64" s="174">
        <f>ROUND(N63/K63, 5)</f>
        <v>-1.3299999999999999E-2</v>
      </c>
      <c r="O64" s="174">
        <f>ROUND(O63/K63, 5)</f>
        <v>4.3319999999999997E-2</v>
      </c>
      <c r="Q64" s="154"/>
      <c r="R64" s="398"/>
      <c r="S64" s="170"/>
      <c r="T64" s="174"/>
      <c r="U64" s="399"/>
    </row>
    <row r="65" spans="2:21" x14ac:dyDescent="0.2">
      <c r="B65" s="187"/>
      <c r="C65" s="400"/>
      <c r="D65" s="188"/>
      <c r="E65" s="401" t="s">
        <v>129</v>
      </c>
      <c r="F65" s="402">
        <f>F79+F96</f>
        <v>21705020.029999997</v>
      </c>
      <c r="G65" s="189">
        <f>G79+G96</f>
        <v>23430484.903149996</v>
      </c>
      <c r="H65" s="403"/>
      <c r="I65" s="403"/>
      <c r="J65" s="316"/>
      <c r="K65" s="401" t="s">
        <v>129</v>
      </c>
      <c r="L65" s="402">
        <f>L79+L96</f>
        <v>21813071.000000004</v>
      </c>
      <c r="M65" s="189">
        <f>M79+M96</f>
        <v>23546743.313790001</v>
      </c>
      <c r="N65" s="403"/>
      <c r="O65" s="403"/>
      <c r="P65" s="316"/>
      <c r="Q65" s="401"/>
      <c r="R65" s="402"/>
      <c r="S65" s="189"/>
      <c r="T65" s="403"/>
      <c r="U65" s="419"/>
    </row>
    <row r="66" spans="2:21" x14ac:dyDescent="0.2">
      <c r="B66" s="428"/>
      <c r="C66" s="429"/>
      <c r="D66" s="430"/>
      <c r="E66" s="158"/>
      <c r="F66" s="421"/>
      <c r="G66" s="158"/>
      <c r="H66" s="158"/>
      <c r="I66" s="158"/>
      <c r="J66" s="158"/>
      <c r="K66" s="158"/>
      <c r="L66" s="421"/>
      <c r="M66" s="158"/>
      <c r="N66" s="158"/>
      <c r="O66" s="158"/>
      <c r="P66" s="158"/>
      <c r="Q66" s="158"/>
      <c r="R66" s="421"/>
      <c r="S66" s="158"/>
      <c r="T66" s="158"/>
      <c r="U66" s="422"/>
    </row>
    <row r="67" spans="2:21" x14ac:dyDescent="0.2">
      <c r="B67" s="192" t="s">
        <v>89</v>
      </c>
      <c r="C67" s="420"/>
      <c r="D67" s="158"/>
      <c r="E67" s="158"/>
      <c r="F67" s="421"/>
      <c r="G67" s="158"/>
      <c r="H67" s="158"/>
      <c r="I67" s="158"/>
      <c r="J67" s="158"/>
      <c r="K67" s="158"/>
      <c r="L67" s="421"/>
      <c r="M67" s="158"/>
      <c r="N67" s="158"/>
      <c r="O67" s="158"/>
      <c r="P67" s="158"/>
      <c r="Q67" s="158"/>
      <c r="R67" s="421"/>
      <c r="S67" s="158"/>
      <c r="T67" s="158"/>
      <c r="U67" s="422"/>
    </row>
    <row r="68" spans="2:21" x14ac:dyDescent="0.2">
      <c r="B68" s="195"/>
      <c r="C68" s="398"/>
      <c r="D68" s="154"/>
      <c r="E68" s="154"/>
      <c r="F68" s="398"/>
      <c r="G68" s="154"/>
      <c r="H68" s="154"/>
      <c r="I68" s="154"/>
      <c r="J68" s="154"/>
      <c r="K68" s="154"/>
      <c r="L68" s="398"/>
      <c r="M68" s="154"/>
      <c r="N68" s="154"/>
      <c r="O68" s="154"/>
      <c r="P68" s="154"/>
      <c r="Q68" s="154"/>
      <c r="R68" s="398"/>
      <c r="S68" s="154"/>
      <c r="T68" s="154"/>
      <c r="U68" s="431"/>
    </row>
    <row r="69" spans="2:21" x14ac:dyDescent="0.2">
      <c r="B69" s="167" t="s">
        <v>66</v>
      </c>
      <c r="C69" s="410">
        <f>'Exh JDT-5 (JDT-C&amp;I-RD)'!E41</f>
        <v>113.4</v>
      </c>
      <c r="D69" s="170">
        <f>'Exh JDT-5 (JDT-C&amp;I-RD)'!$H$41</f>
        <v>130.33000000000001</v>
      </c>
      <c r="E69" s="169">
        <v>15609</v>
      </c>
      <c r="F69" s="411">
        <f>SUM(+E69*C69)</f>
        <v>1770060.6</v>
      </c>
      <c r="G69" s="196">
        <f>SUM(+E69*D69)</f>
        <v>2034320.9700000002</v>
      </c>
      <c r="H69" s="196"/>
      <c r="I69" s="196"/>
      <c r="J69" s="154"/>
      <c r="K69" s="169">
        <v>15603</v>
      </c>
      <c r="L69" s="411">
        <f>SUM(+K69*C69)</f>
        <v>1769380.2000000002</v>
      </c>
      <c r="M69" s="196">
        <f>SUM(+K69*D69)</f>
        <v>2033538.9900000002</v>
      </c>
      <c r="N69" s="196"/>
      <c r="O69" s="196"/>
      <c r="P69" s="154"/>
      <c r="Q69" s="169"/>
      <c r="R69" s="411"/>
      <c r="S69" s="196"/>
      <c r="T69" s="196"/>
      <c r="U69" s="409"/>
    </row>
    <row r="70" spans="2:21" x14ac:dyDescent="0.2">
      <c r="B70" s="195" t="s">
        <v>67</v>
      </c>
      <c r="C70" s="410">
        <f>'Exh JDT-5 (JDT-C&amp;I-RD)'!E42</f>
        <v>123.82</v>
      </c>
      <c r="D70" s="170">
        <f>'Exh JDT-5 (JDT-C&amp;I-RD)'!$H$42</f>
        <v>126.65</v>
      </c>
      <c r="E70" s="169">
        <f>E69</f>
        <v>15609</v>
      </c>
      <c r="F70" s="411">
        <f t="shared" ref="F70:F71" si="4">SUM(+E70*C70)</f>
        <v>1932706.38</v>
      </c>
      <c r="G70" s="196">
        <f>SUM(+E70*D70)</f>
        <v>1976879.85</v>
      </c>
      <c r="H70" s="196"/>
      <c r="I70" s="196"/>
      <c r="J70" s="154"/>
      <c r="K70" s="169">
        <f>K69</f>
        <v>15603</v>
      </c>
      <c r="L70" s="411">
        <f>SUM(+K70*C70)</f>
        <v>1931963.46</v>
      </c>
      <c r="M70" s="196">
        <f>SUM(+K70*D70)</f>
        <v>1976119.9500000002</v>
      </c>
      <c r="N70" s="196"/>
      <c r="O70" s="196"/>
      <c r="P70" s="154"/>
      <c r="Q70" s="169"/>
      <c r="R70" s="411"/>
      <c r="S70" s="196"/>
      <c r="T70" s="196"/>
      <c r="U70" s="409"/>
    </row>
    <row r="71" spans="2:21" x14ac:dyDescent="0.2">
      <c r="B71" s="195" t="s">
        <v>143</v>
      </c>
      <c r="C71" s="410">
        <f>'Exh JDT-5 (JDT-C&amp;I-RD)'!E43</f>
        <v>1.25</v>
      </c>
      <c r="D71" s="170">
        <f>'Exh JDT-5 (JDT-C&amp;I-RD)'!$H$43</f>
        <v>1.38</v>
      </c>
      <c r="E71" s="169">
        <v>4682844</v>
      </c>
      <c r="F71" s="402">
        <f t="shared" si="4"/>
        <v>5853555</v>
      </c>
      <c r="G71" s="189">
        <f>SUM(+E71*D71)</f>
        <v>6462324.7199999997</v>
      </c>
      <c r="H71" s="196"/>
      <c r="I71" s="196"/>
      <c r="J71" s="154"/>
      <c r="K71" s="169">
        <v>4682844</v>
      </c>
      <c r="L71" s="402">
        <f>SUM(+K71*C71)</f>
        <v>5853555</v>
      </c>
      <c r="M71" s="189">
        <f>SUM(+K71*D71)</f>
        <v>6462324.7199999997</v>
      </c>
      <c r="N71" s="196"/>
      <c r="O71" s="196"/>
      <c r="P71" s="154"/>
      <c r="Q71" s="169"/>
      <c r="R71" s="402"/>
      <c r="S71" s="189"/>
      <c r="T71" s="196"/>
      <c r="U71" s="409"/>
    </row>
    <row r="72" spans="2:21" x14ac:dyDescent="0.2">
      <c r="B72" s="195"/>
      <c r="C72" s="398"/>
      <c r="D72" s="170"/>
      <c r="E72" s="154"/>
      <c r="F72" s="398"/>
      <c r="G72" s="154"/>
      <c r="H72" s="154"/>
      <c r="I72" s="154"/>
      <c r="J72" s="154"/>
      <c r="K72" s="154"/>
      <c r="L72" s="398"/>
      <c r="M72" s="154"/>
      <c r="N72" s="154"/>
      <c r="O72" s="154"/>
      <c r="P72" s="154"/>
      <c r="Q72" s="154"/>
      <c r="R72" s="398"/>
      <c r="S72" s="154"/>
      <c r="T72" s="154"/>
      <c r="U72" s="409"/>
    </row>
    <row r="73" spans="2:21" x14ac:dyDescent="0.2">
      <c r="B73" s="195" t="s">
        <v>145</v>
      </c>
      <c r="C73" s="398"/>
      <c r="D73" s="170"/>
      <c r="E73" s="154"/>
      <c r="F73" s="398"/>
      <c r="G73" s="154"/>
      <c r="H73" s="154"/>
      <c r="I73" s="154"/>
      <c r="J73" s="154"/>
      <c r="K73" s="154"/>
      <c r="L73" s="398"/>
      <c r="M73" s="154"/>
      <c r="N73" s="154"/>
      <c r="O73" s="154"/>
      <c r="P73" s="154"/>
      <c r="Q73" s="154"/>
      <c r="R73" s="398"/>
      <c r="S73" s="154"/>
      <c r="T73" s="154"/>
      <c r="U73" s="409"/>
    </row>
    <row r="74" spans="2:21" x14ac:dyDescent="0.2">
      <c r="B74" s="195" t="s">
        <v>90</v>
      </c>
      <c r="C74" s="412">
        <f>'Exh JDT-5 (JDT-C&amp;I-RD)'!E46</f>
        <v>0.13758000000000001</v>
      </c>
      <c r="D74" s="174">
        <f>'Exh JDT-5 (JDT-C&amp;I-RD)'!$H$46</f>
        <v>0.14072124633258759</v>
      </c>
      <c r="E74" s="169">
        <v>13187913.90979786</v>
      </c>
      <c r="F74" s="411" t="s">
        <v>146</v>
      </c>
      <c r="G74" s="196" t="s">
        <v>146</v>
      </c>
      <c r="H74" s="196"/>
      <c r="I74" s="196"/>
      <c r="J74" s="154"/>
      <c r="K74" s="169">
        <v>13204762.568891775</v>
      </c>
      <c r="L74" s="411" t="s">
        <v>146</v>
      </c>
      <c r="M74" s="196" t="s">
        <v>146</v>
      </c>
      <c r="N74" s="196"/>
      <c r="O74" s="196"/>
      <c r="P74" s="154"/>
      <c r="Q74" s="169"/>
      <c r="R74" s="411"/>
      <c r="S74" s="196"/>
      <c r="T74" s="196"/>
      <c r="U74" s="409"/>
    </row>
    <row r="75" spans="2:21" x14ac:dyDescent="0.2">
      <c r="B75" s="195" t="s">
        <v>91</v>
      </c>
      <c r="C75" s="412">
        <f>'Exh JDT-5 (JDT-C&amp;I-RD)'!E47</f>
        <v>0.13758000000000001</v>
      </c>
      <c r="D75" s="174">
        <f>'Exh JDT-5 (JDT-C&amp;I-RD)'!$H$47</f>
        <v>0.14072124633258759</v>
      </c>
      <c r="E75" s="169">
        <v>29570821.950464178</v>
      </c>
      <c r="F75" s="411">
        <f>ROUND(E75*C75,2)</f>
        <v>4068353.68</v>
      </c>
      <c r="G75" s="196">
        <f>ROUND(E75*D75,2)</f>
        <v>4161242.92</v>
      </c>
      <c r="H75" s="196"/>
      <c r="I75" s="196"/>
      <c r="J75" s="154"/>
      <c r="K75" s="169">
        <v>29590375.242762744</v>
      </c>
      <c r="L75" s="411">
        <f>ROUND(K75*C75,2)</f>
        <v>4071043.83</v>
      </c>
      <c r="M75" s="196">
        <f>ROUND(K75*D75,2)</f>
        <v>4163994.48</v>
      </c>
      <c r="N75" s="196"/>
      <c r="O75" s="196"/>
      <c r="P75" s="154"/>
      <c r="Q75" s="169"/>
      <c r="R75" s="411"/>
      <c r="S75" s="196"/>
      <c r="T75" s="196"/>
      <c r="U75" s="409"/>
    </row>
    <row r="76" spans="2:21" x14ac:dyDescent="0.2">
      <c r="B76" s="195" t="s">
        <v>92</v>
      </c>
      <c r="C76" s="412">
        <f>'Exh JDT-5 (JDT-C&amp;I-RD)'!E48</f>
        <v>0.11074000000000001</v>
      </c>
      <c r="D76" s="174">
        <f>'Exh JDT-5 (JDT-C&amp;I-RD)'!$H$48</f>
        <v>0.12185</v>
      </c>
      <c r="E76" s="169">
        <v>24164149.139737964</v>
      </c>
      <c r="F76" s="411">
        <f>ROUND(E76*C76,2)</f>
        <v>2675937.88</v>
      </c>
      <c r="G76" s="196">
        <f>ROUND(E76*D76,2)</f>
        <v>2944401.57</v>
      </c>
      <c r="H76" s="196"/>
      <c r="I76" s="196"/>
      <c r="J76" s="154"/>
      <c r="K76" s="169">
        <v>24095403.188345484</v>
      </c>
      <c r="L76" s="411">
        <f>ROUND(K76*C76,2)</f>
        <v>2668324.9500000002</v>
      </c>
      <c r="M76" s="196">
        <f>ROUND(K76*D76,2)</f>
        <v>2936024.88</v>
      </c>
      <c r="N76" s="196"/>
      <c r="O76" s="196"/>
      <c r="P76" s="154"/>
      <c r="Q76" s="169"/>
      <c r="R76" s="411"/>
      <c r="S76" s="196"/>
      <c r="T76" s="196"/>
      <c r="U76" s="409"/>
    </row>
    <row r="77" spans="2:21" x14ac:dyDescent="0.2">
      <c r="B77" s="167" t="s">
        <v>147</v>
      </c>
      <c r="C77" s="425"/>
      <c r="D77" s="169"/>
      <c r="E77" s="273">
        <f>SUM(E74:E76)</f>
        <v>66922885</v>
      </c>
      <c r="F77" s="425"/>
      <c r="G77" s="154"/>
      <c r="H77" s="154"/>
      <c r="I77" s="154"/>
      <c r="J77" s="154"/>
      <c r="K77" s="273">
        <f>SUM(K74:K76)</f>
        <v>66890541.000000007</v>
      </c>
      <c r="L77" s="398"/>
      <c r="M77" s="154"/>
      <c r="N77" s="154"/>
      <c r="O77" s="154"/>
      <c r="P77" s="154"/>
      <c r="Q77" s="273"/>
      <c r="R77" s="425"/>
      <c r="S77" s="154"/>
      <c r="T77" s="154"/>
      <c r="U77" s="409"/>
    </row>
    <row r="78" spans="2:21" x14ac:dyDescent="0.2">
      <c r="B78" s="167" t="s">
        <v>68</v>
      </c>
      <c r="C78" s="412">
        <f>'Exh JDT-5 (JDT-C&amp;I-RD)'!E50</f>
        <v>1.005E-2</v>
      </c>
      <c r="D78" s="174">
        <f>'Exh JDT-5 (JDT-C&amp;I-RD)'!$H$50</f>
        <v>1.119E-2</v>
      </c>
      <c r="E78" s="169">
        <f>E77</f>
        <v>66922885</v>
      </c>
      <c r="F78" s="402">
        <f>ROUND(E78*C78,2)</f>
        <v>672574.99</v>
      </c>
      <c r="G78" s="323">
        <f>E78*D78</f>
        <v>748867.08314999996</v>
      </c>
      <c r="H78" s="199"/>
      <c r="I78" s="199"/>
      <c r="J78" s="154"/>
      <c r="K78" s="169">
        <f>K77</f>
        <v>66890541.000000007</v>
      </c>
      <c r="L78" s="402">
        <f>ROUND(K78*C78,2)</f>
        <v>672249.94</v>
      </c>
      <c r="M78" s="323">
        <f>K78*D78</f>
        <v>748505.15379000013</v>
      </c>
      <c r="N78" s="199"/>
      <c r="O78" s="199"/>
      <c r="P78" s="154"/>
      <c r="Q78" s="169"/>
      <c r="R78" s="402"/>
      <c r="S78" s="323"/>
      <c r="T78" s="199"/>
      <c r="U78" s="409"/>
    </row>
    <row r="79" spans="2:21" x14ac:dyDescent="0.2">
      <c r="B79" s="203" t="s">
        <v>182</v>
      </c>
      <c r="C79" s="423"/>
      <c r="D79" s="169"/>
      <c r="E79" s="154"/>
      <c r="F79" s="434">
        <f>SUM(F69:F78)</f>
        <v>16973188.529999997</v>
      </c>
      <c r="G79" s="311">
        <f>SUM(G69:G78)</f>
        <v>18328037.113149997</v>
      </c>
      <c r="H79" s="199"/>
      <c r="I79" s="199"/>
      <c r="J79" s="154"/>
      <c r="K79" s="154"/>
      <c r="L79" s="434">
        <f>SUM(L69:L78)</f>
        <v>16966517.380000003</v>
      </c>
      <c r="M79" s="311">
        <f>SUM(M69:M78)</f>
        <v>18320508.17379</v>
      </c>
      <c r="N79" s="199"/>
      <c r="O79" s="199"/>
      <c r="P79" s="154"/>
      <c r="Q79" s="154"/>
      <c r="R79" s="434"/>
      <c r="S79" s="311"/>
      <c r="T79" s="199"/>
      <c r="U79" s="409"/>
    </row>
    <row r="80" spans="2:21" x14ac:dyDescent="0.2">
      <c r="B80" s="195" t="s">
        <v>183</v>
      </c>
      <c r="C80" s="398"/>
      <c r="D80" s="154"/>
      <c r="E80" s="154"/>
      <c r="F80" s="398"/>
      <c r="G80" s="196"/>
      <c r="H80" s="189">
        <f>H$64*E78</f>
        <v>-30115.29825</v>
      </c>
      <c r="I80" s="189">
        <f>I$64*E78</f>
        <v>1436834.3409499999</v>
      </c>
      <c r="J80" s="154"/>
      <c r="K80" s="154"/>
      <c r="L80" s="398"/>
      <c r="M80" s="196"/>
      <c r="N80" s="189">
        <f>N$64*K78</f>
        <v>-889644.19530000002</v>
      </c>
      <c r="O80" s="189">
        <f>O$64*K78</f>
        <v>2897698.23612</v>
      </c>
      <c r="P80" s="154"/>
      <c r="Q80" s="154"/>
      <c r="R80" s="398"/>
      <c r="S80" s="196"/>
      <c r="T80" s="189"/>
      <c r="U80" s="419"/>
    </row>
    <row r="81" spans="2:21" x14ac:dyDescent="0.2">
      <c r="B81" s="203" t="str">
        <f>"Total "&amp;B67</f>
        <v>Total Schedule 41 - Sales</v>
      </c>
      <c r="C81" s="423"/>
      <c r="D81" s="154"/>
      <c r="E81" s="154"/>
      <c r="F81" s="398"/>
      <c r="G81" s="196"/>
      <c r="H81" s="196"/>
      <c r="I81" s="415">
        <f>G79+H80+I80</f>
        <v>19734756.155849997</v>
      </c>
      <c r="J81" s="154"/>
      <c r="K81" s="154"/>
      <c r="L81" s="398"/>
      <c r="M81" s="196"/>
      <c r="N81" s="196"/>
      <c r="O81" s="415">
        <f>M79+N80+O80</f>
        <v>20328562.214609999</v>
      </c>
      <c r="P81" s="154"/>
      <c r="Q81" s="154"/>
      <c r="R81" s="398"/>
      <c r="S81" s="196"/>
      <c r="T81" s="196"/>
      <c r="U81" s="433"/>
    </row>
    <row r="82" spans="2:21" x14ac:dyDescent="0.2">
      <c r="B82" s="187"/>
      <c r="C82" s="400"/>
      <c r="D82" s="188"/>
      <c r="E82" s="188"/>
      <c r="F82" s="400"/>
      <c r="G82" s="188"/>
      <c r="H82" s="188"/>
      <c r="I82" s="188"/>
      <c r="J82" s="188"/>
      <c r="K82" s="188"/>
      <c r="L82" s="400"/>
      <c r="M82" s="188"/>
      <c r="N82" s="188"/>
      <c r="O82" s="188"/>
      <c r="P82" s="188"/>
      <c r="Q82" s="188"/>
      <c r="R82" s="400"/>
      <c r="S82" s="188"/>
      <c r="T82" s="188"/>
      <c r="U82" s="432"/>
    </row>
    <row r="83" spans="2:21" x14ac:dyDescent="0.2">
      <c r="B83" s="192" t="s">
        <v>93</v>
      </c>
      <c r="C83" s="420"/>
      <c r="D83" s="158"/>
      <c r="E83" s="158"/>
      <c r="F83" s="421"/>
      <c r="G83" s="158"/>
      <c r="H83" s="158"/>
      <c r="I83" s="158"/>
      <c r="J83" s="158"/>
      <c r="K83" s="158"/>
      <c r="L83" s="421"/>
      <c r="M83" s="158"/>
      <c r="N83" s="158"/>
      <c r="O83" s="158"/>
      <c r="P83" s="158"/>
      <c r="Q83" s="158"/>
      <c r="R83" s="421"/>
      <c r="S83" s="158"/>
      <c r="T83" s="158"/>
      <c r="U83" s="422"/>
    </row>
    <row r="84" spans="2:21" x14ac:dyDescent="0.2">
      <c r="B84" s="195"/>
      <c r="C84" s="398"/>
      <c r="D84" s="154"/>
      <c r="E84" s="154"/>
      <c r="F84" s="398"/>
      <c r="G84" s="154"/>
      <c r="H84" s="154"/>
      <c r="I84" s="154"/>
      <c r="J84" s="154"/>
      <c r="K84" s="154"/>
      <c r="L84" s="398"/>
      <c r="M84" s="154"/>
      <c r="N84" s="154"/>
      <c r="O84" s="154"/>
      <c r="P84" s="154"/>
      <c r="Q84" s="154"/>
      <c r="R84" s="398"/>
      <c r="S84" s="154"/>
      <c r="T84" s="154"/>
      <c r="U84" s="431"/>
    </row>
    <row r="85" spans="2:21" x14ac:dyDescent="0.2">
      <c r="B85" s="167" t="s">
        <v>66</v>
      </c>
      <c r="C85" s="410">
        <f>'Exh JDT-5 (JDT-C&amp;I-RD)'!E58</f>
        <v>422.79</v>
      </c>
      <c r="D85" s="170">
        <f>'Exh JDT-5 (JDT-C&amp;I-RD)'!$H$58</f>
        <v>422.79</v>
      </c>
      <c r="E85" s="169">
        <v>1032</v>
      </c>
      <c r="F85" s="411">
        <f>SUM(+E85*C85)</f>
        <v>436319.28</v>
      </c>
      <c r="G85" s="196">
        <f>SUM(+E85*D85)</f>
        <v>436319.28</v>
      </c>
      <c r="H85" s="196"/>
      <c r="I85" s="196"/>
      <c r="J85" s="154"/>
      <c r="K85" s="169">
        <v>1032</v>
      </c>
      <c r="L85" s="411">
        <f>SUM(+K85*C85)</f>
        <v>436319.28</v>
      </c>
      <c r="M85" s="196">
        <f>SUM(+K85*D85)</f>
        <v>436319.28</v>
      </c>
      <c r="N85" s="196"/>
      <c r="O85" s="196"/>
      <c r="P85" s="154"/>
      <c r="Q85" s="169"/>
      <c r="R85" s="411"/>
      <c r="S85" s="196"/>
      <c r="T85" s="196"/>
      <c r="U85" s="409"/>
    </row>
    <row r="86" spans="2:21" x14ac:dyDescent="0.2">
      <c r="B86" s="195" t="s">
        <v>67</v>
      </c>
      <c r="C86" s="410">
        <f>'Exh JDT-5 (JDT-C&amp;I-RD)'!E59</f>
        <v>123.82</v>
      </c>
      <c r="D86" s="170">
        <f>'Exh JDT-5 (JDT-C&amp;I-RD)'!$H$59</f>
        <v>126.65</v>
      </c>
      <c r="E86" s="169">
        <f>E85</f>
        <v>1032</v>
      </c>
      <c r="F86" s="411">
        <f t="shared" ref="F86:F87" si="5">SUM(+E86*C86)</f>
        <v>127782.23999999999</v>
      </c>
      <c r="G86" s="196">
        <f>SUM(+E86*D86)</f>
        <v>130702.8</v>
      </c>
      <c r="H86" s="196"/>
      <c r="I86" s="196"/>
      <c r="J86" s="154"/>
      <c r="K86" s="169">
        <f>K85</f>
        <v>1032</v>
      </c>
      <c r="L86" s="411">
        <f>SUM(+K86*C86)</f>
        <v>127782.23999999999</v>
      </c>
      <c r="M86" s="196">
        <f>SUM(+K86*D86)</f>
        <v>130702.8</v>
      </c>
      <c r="N86" s="196"/>
      <c r="O86" s="196"/>
      <c r="P86" s="154"/>
      <c r="Q86" s="169"/>
      <c r="R86" s="411"/>
      <c r="S86" s="196"/>
      <c r="T86" s="196"/>
      <c r="U86" s="409"/>
    </row>
    <row r="87" spans="2:21" x14ac:dyDescent="0.2">
      <c r="B87" s="195" t="s">
        <v>143</v>
      </c>
      <c r="C87" s="410">
        <f>'Exh JDT-5 (JDT-C&amp;I-RD)'!E60</f>
        <v>1.25</v>
      </c>
      <c r="D87" s="170">
        <f>'Exh JDT-5 (JDT-C&amp;I-RD)'!$H$60</f>
        <v>1.38</v>
      </c>
      <c r="E87" s="169">
        <v>1092876</v>
      </c>
      <c r="F87" s="402">
        <f t="shared" si="5"/>
        <v>1366095</v>
      </c>
      <c r="G87" s="189">
        <f>SUM(+E87*D87)</f>
        <v>1508168.88</v>
      </c>
      <c r="H87" s="196"/>
      <c r="I87" s="196"/>
      <c r="J87" s="154"/>
      <c r="K87" s="169">
        <v>1092876</v>
      </c>
      <c r="L87" s="411">
        <f>SUM(+K87*C87)</f>
        <v>1366095</v>
      </c>
      <c r="M87" s="189">
        <f>SUM(+K87*D87)</f>
        <v>1508168.88</v>
      </c>
      <c r="N87" s="196"/>
      <c r="O87" s="196"/>
      <c r="P87" s="154"/>
      <c r="Q87" s="169"/>
      <c r="R87" s="411"/>
      <c r="S87" s="189"/>
      <c r="T87" s="196"/>
      <c r="U87" s="409"/>
    </row>
    <row r="88" spans="2:21" x14ac:dyDescent="0.2">
      <c r="B88" s="195"/>
      <c r="C88" s="410"/>
      <c r="D88" s="170"/>
      <c r="E88" s="154"/>
      <c r="F88" s="398"/>
      <c r="G88" s="154"/>
      <c r="H88" s="154"/>
      <c r="I88" s="154"/>
      <c r="J88" s="154"/>
      <c r="K88" s="154"/>
      <c r="L88" s="398"/>
      <c r="M88" s="154"/>
      <c r="N88" s="154"/>
      <c r="O88" s="154"/>
      <c r="P88" s="154"/>
      <c r="Q88" s="154"/>
      <c r="R88" s="398"/>
      <c r="S88" s="154"/>
      <c r="T88" s="154"/>
      <c r="U88" s="409"/>
    </row>
    <row r="89" spans="2:21" x14ac:dyDescent="0.2">
      <c r="B89" s="195" t="s">
        <v>145</v>
      </c>
      <c r="C89" s="410"/>
      <c r="D89" s="170"/>
      <c r="E89" s="154"/>
      <c r="F89" s="398"/>
      <c r="G89" s="154"/>
      <c r="H89" s="154"/>
      <c r="I89" s="154"/>
      <c r="J89" s="154"/>
      <c r="K89" s="154"/>
      <c r="L89" s="398"/>
      <c r="M89" s="154"/>
      <c r="N89" s="154"/>
      <c r="O89" s="154"/>
      <c r="P89" s="154"/>
      <c r="Q89" s="154"/>
      <c r="R89" s="398"/>
      <c r="S89" s="154"/>
      <c r="T89" s="154"/>
      <c r="U89" s="409"/>
    </row>
    <row r="90" spans="2:21" x14ac:dyDescent="0.2">
      <c r="B90" s="195" t="s">
        <v>90</v>
      </c>
      <c r="C90" s="412">
        <f>'Exh JDT-5 (JDT-C&amp;I-RD)'!E63</f>
        <v>0.13758000000000001</v>
      </c>
      <c r="D90" s="174">
        <f>'Exh JDT-5 (JDT-C&amp;I-RD)'!$H$63</f>
        <v>0.14072124633258759</v>
      </c>
      <c r="E90" s="169">
        <v>1425917.3695433964</v>
      </c>
      <c r="F90" s="411" t="s">
        <v>146</v>
      </c>
      <c r="G90" s="196" t="s">
        <v>146</v>
      </c>
      <c r="H90" s="196"/>
      <c r="I90" s="196"/>
      <c r="J90" s="154"/>
      <c r="K90" s="169">
        <v>1491237.6656937972</v>
      </c>
      <c r="L90" s="411" t="s">
        <v>146</v>
      </c>
      <c r="M90" s="196" t="s">
        <v>146</v>
      </c>
      <c r="N90" s="196"/>
      <c r="O90" s="196"/>
      <c r="P90" s="154"/>
      <c r="Q90" s="169"/>
      <c r="R90" s="411"/>
      <c r="S90" s="196"/>
      <c r="T90" s="196"/>
      <c r="U90" s="409"/>
    </row>
    <row r="91" spans="2:21" x14ac:dyDescent="0.2">
      <c r="B91" s="195" t="s">
        <v>91</v>
      </c>
      <c r="C91" s="412">
        <f>'Exh JDT-5 (JDT-C&amp;I-RD)'!E64</f>
        <v>0.13758000000000001</v>
      </c>
      <c r="D91" s="174">
        <f>'Exh JDT-5 (JDT-C&amp;I-RD)'!$H$64</f>
        <v>0.14072124633258759</v>
      </c>
      <c r="E91" s="169">
        <v>5201192.5123006459</v>
      </c>
      <c r="F91" s="411">
        <f>ROUND(E91*C91,2)</f>
        <v>715580.07</v>
      </c>
      <c r="G91" s="196">
        <f>ROUND(E91*D91,2)</f>
        <v>731918.29</v>
      </c>
      <c r="H91" s="196"/>
      <c r="I91" s="196"/>
      <c r="J91" s="154"/>
      <c r="K91" s="169">
        <v>5430456.225439975</v>
      </c>
      <c r="L91" s="411">
        <f>ROUND(K91*C91,2)</f>
        <v>747122.17</v>
      </c>
      <c r="M91" s="196">
        <f>ROUND(K91*D91,2)</f>
        <v>764180.57</v>
      </c>
      <c r="N91" s="196"/>
      <c r="O91" s="196"/>
      <c r="P91" s="154"/>
      <c r="Q91" s="169"/>
      <c r="R91" s="411"/>
      <c r="S91" s="196"/>
      <c r="T91" s="196"/>
      <c r="U91" s="409"/>
    </row>
    <row r="92" spans="2:21" x14ac:dyDescent="0.2">
      <c r="B92" s="195" t="s">
        <v>92</v>
      </c>
      <c r="C92" s="412">
        <f>'Exh JDT-5 (JDT-C&amp;I-RD)'!E65</f>
        <v>0.11074000000000001</v>
      </c>
      <c r="D92" s="174">
        <f>'Exh JDT-5 (JDT-C&amp;I-RD)'!$H$65</f>
        <v>0.12185</v>
      </c>
      <c r="E92" s="169">
        <v>18837411.118155956</v>
      </c>
      <c r="F92" s="411">
        <f>ROUND(E92*C92,2)</f>
        <v>2086054.91</v>
      </c>
      <c r="G92" s="196">
        <f>ROUND(E92*D92,2)</f>
        <v>2295338.54</v>
      </c>
      <c r="H92" s="196"/>
      <c r="I92" s="196"/>
      <c r="J92" s="154"/>
      <c r="K92" s="169">
        <v>19588540.108866226</v>
      </c>
      <c r="L92" s="411">
        <f>ROUND(K92*C92,2)</f>
        <v>2169234.9300000002</v>
      </c>
      <c r="M92" s="196">
        <f>ROUND(K92*D92,2)</f>
        <v>2386863.61</v>
      </c>
      <c r="N92" s="196"/>
      <c r="O92" s="196"/>
      <c r="P92" s="154"/>
      <c r="Q92" s="169"/>
      <c r="R92" s="411"/>
      <c r="S92" s="196"/>
      <c r="T92" s="196"/>
      <c r="U92" s="409"/>
    </row>
    <row r="93" spans="2:21" x14ac:dyDescent="0.2">
      <c r="B93" s="167" t="s">
        <v>147</v>
      </c>
      <c r="C93" s="425"/>
      <c r="D93" s="169"/>
      <c r="E93" s="273">
        <f>SUM(E90:E92)</f>
        <v>25464521</v>
      </c>
      <c r="F93" s="425"/>
      <c r="G93" s="154"/>
      <c r="H93" s="154"/>
      <c r="I93" s="154"/>
      <c r="J93" s="154"/>
      <c r="K93" s="273">
        <f>SUM(K90:K92)</f>
        <v>26510234</v>
      </c>
      <c r="L93" s="398"/>
      <c r="M93" s="154"/>
      <c r="N93" s="154"/>
      <c r="O93" s="154"/>
      <c r="P93" s="154"/>
      <c r="Q93" s="273"/>
      <c r="R93" s="398"/>
      <c r="S93" s="154"/>
      <c r="T93" s="154"/>
      <c r="U93" s="409"/>
    </row>
    <row r="94" spans="2:21" x14ac:dyDescent="0.2">
      <c r="B94" s="167" t="s">
        <v>130</v>
      </c>
      <c r="C94" s="424"/>
      <c r="D94" s="169"/>
      <c r="E94" s="154"/>
      <c r="F94" s="434">
        <f>SUM(F85:F93)</f>
        <v>4731831.5</v>
      </c>
      <c r="G94" s="311">
        <f>SUM(G85:G93)</f>
        <v>5102447.79</v>
      </c>
      <c r="H94" s="199"/>
      <c r="I94" s="199"/>
      <c r="J94" s="154"/>
      <c r="K94" s="154"/>
      <c r="L94" s="434">
        <f>SUM(L85:L93)</f>
        <v>4846553.62</v>
      </c>
      <c r="M94" s="311">
        <f>SUM(M85:M93)</f>
        <v>5226235.1399999997</v>
      </c>
      <c r="N94" s="199"/>
      <c r="O94" s="199"/>
      <c r="P94" s="154"/>
      <c r="Q94" s="154"/>
      <c r="R94" s="434"/>
      <c r="S94" s="311"/>
      <c r="T94" s="199"/>
      <c r="U94" s="409"/>
    </row>
    <row r="95" spans="2:21" x14ac:dyDescent="0.2">
      <c r="B95" s="167"/>
      <c r="C95" s="424"/>
      <c r="D95" s="169"/>
      <c r="E95" s="154"/>
      <c r="F95" s="398"/>
      <c r="G95" s="154"/>
      <c r="H95" s="154"/>
      <c r="I95" s="154"/>
      <c r="J95" s="154"/>
      <c r="K95" s="154"/>
      <c r="L95" s="398"/>
      <c r="M95" s="154"/>
      <c r="N95" s="154"/>
      <c r="O95" s="154"/>
      <c r="P95" s="154"/>
      <c r="Q95" s="154"/>
      <c r="R95" s="398"/>
      <c r="S95" s="154"/>
      <c r="T95" s="154"/>
      <c r="U95" s="409"/>
    </row>
    <row r="96" spans="2:21" x14ac:dyDescent="0.2">
      <c r="B96" s="203" t="s">
        <v>182</v>
      </c>
      <c r="C96" s="423"/>
      <c r="D96" s="174"/>
      <c r="E96" s="154"/>
      <c r="F96" s="434">
        <f>F94</f>
        <v>4731831.5</v>
      </c>
      <c r="G96" s="311">
        <f>G94</f>
        <v>5102447.79</v>
      </c>
      <c r="H96" s="199"/>
      <c r="I96" s="199"/>
      <c r="J96" s="154"/>
      <c r="K96" s="154"/>
      <c r="L96" s="434">
        <f>L94</f>
        <v>4846553.62</v>
      </c>
      <c r="M96" s="311">
        <f>M94</f>
        <v>5226235.1399999997</v>
      </c>
      <c r="N96" s="199"/>
      <c r="O96" s="199"/>
      <c r="P96" s="154"/>
      <c r="Q96" s="154"/>
      <c r="R96" s="434"/>
      <c r="S96" s="311"/>
      <c r="T96" s="199"/>
      <c r="U96" s="409"/>
    </row>
    <row r="97" spans="2:21" x14ac:dyDescent="0.2">
      <c r="B97" s="195" t="s">
        <v>183</v>
      </c>
      <c r="C97" s="398"/>
      <c r="D97" s="154"/>
      <c r="E97" s="154"/>
      <c r="F97" s="398"/>
      <c r="G97" s="196"/>
      <c r="H97" s="189">
        <f>H$64*E93</f>
        <v>-11459.034449999999</v>
      </c>
      <c r="I97" s="189">
        <f>I$64*E93</f>
        <v>546723.26587</v>
      </c>
      <c r="J97" s="154"/>
      <c r="K97" s="154"/>
      <c r="L97" s="398"/>
      <c r="M97" s="196"/>
      <c r="N97" s="189">
        <f>N$64*K93</f>
        <v>-352586.11219999997</v>
      </c>
      <c r="O97" s="189">
        <f>O$64*K93</f>
        <v>1148423.3368799998</v>
      </c>
      <c r="P97" s="154"/>
      <c r="Q97" s="154"/>
      <c r="R97" s="398"/>
      <c r="S97" s="196"/>
      <c r="T97" s="189"/>
      <c r="U97" s="419"/>
    </row>
    <row r="98" spans="2:21" x14ac:dyDescent="0.2">
      <c r="B98" s="203" t="str">
        <f>"Total "&amp;B83</f>
        <v>Total Schedule 41 - Transportation</v>
      </c>
      <c r="C98" s="423"/>
      <c r="D98" s="154"/>
      <c r="E98" s="154"/>
      <c r="F98" s="398"/>
      <c r="G98" s="196"/>
      <c r="H98" s="196"/>
      <c r="I98" s="415">
        <f>G96+H97+I97</f>
        <v>5637712.0214200001</v>
      </c>
      <c r="J98" s="154"/>
      <c r="K98" s="154"/>
      <c r="L98" s="398"/>
      <c r="M98" s="196"/>
      <c r="N98" s="196"/>
      <c r="O98" s="415">
        <f>M96+N97+O97</f>
        <v>6022072.3646799996</v>
      </c>
      <c r="P98" s="154"/>
      <c r="Q98" s="154"/>
      <c r="R98" s="398"/>
      <c r="S98" s="196"/>
      <c r="T98" s="196"/>
      <c r="U98" s="433"/>
    </row>
    <row r="99" spans="2:21" x14ac:dyDescent="0.2">
      <c r="B99" s="187"/>
      <c r="C99" s="400"/>
      <c r="D99" s="188"/>
      <c r="E99" s="188"/>
      <c r="F99" s="400"/>
      <c r="G99" s="188"/>
      <c r="H99" s="188"/>
      <c r="I99" s="188"/>
      <c r="J99" s="188"/>
      <c r="K99" s="188"/>
      <c r="L99" s="400"/>
      <c r="M99" s="188"/>
      <c r="N99" s="188"/>
      <c r="O99" s="188"/>
      <c r="P99" s="188"/>
      <c r="Q99" s="188"/>
      <c r="R99" s="400"/>
      <c r="S99" s="188"/>
      <c r="T99" s="188"/>
      <c r="U99" s="432"/>
    </row>
    <row r="101" spans="2:21" x14ac:dyDescent="0.2">
      <c r="B101" s="391" t="s">
        <v>186</v>
      </c>
      <c r="C101" s="392"/>
      <c r="D101" s="393"/>
      <c r="E101" s="273">
        <f>E109+E131</f>
        <v>73912158</v>
      </c>
      <c r="F101" s="394"/>
      <c r="G101" s="254"/>
      <c r="H101" s="254">
        <f>'Exh JDT-5 (JDT-Rate Spread)'!I70</f>
        <v>-19625.651479471497</v>
      </c>
      <c r="I101" s="254">
        <f>'Exh JDT-5 (JDT-Rate Spread)'!I81</f>
        <v>943623.18979201652</v>
      </c>
      <c r="J101" s="395"/>
      <c r="K101" s="273">
        <f>K109+K131</f>
        <v>73034304</v>
      </c>
      <c r="L101" s="394"/>
      <c r="M101" s="395"/>
      <c r="N101" s="254">
        <f>'Exh JDT-5 (JDT-Rate Spread)'!I74</f>
        <v>-591115.74055896036</v>
      </c>
      <c r="O101" s="254">
        <f>'Exh JDT-5 (JDT-Rate Spread)'!I82</f>
        <v>1925209.969000604</v>
      </c>
      <c r="P101" s="395"/>
      <c r="Q101" s="273"/>
      <c r="R101" s="394"/>
      <c r="S101" s="396"/>
      <c r="T101" s="254"/>
      <c r="U101" s="397"/>
    </row>
    <row r="102" spans="2:21" x14ac:dyDescent="0.2">
      <c r="B102" s="195"/>
      <c r="C102" s="398"/>
      <c r="D102" s="154"/>
      <c r="E102" s="154"/>
      <c r="F102" s="398"/>
      <c r="G102" s="318" t="s">
        <v>181</v>
      </c>
      <c r="H102" s="174">
        <f>ROUND(H101/E101, 5)</f>
        <v>-2.7E-4</v>
      </c>
      <c r="I102" s="174">
        <f>ROUND(I101/E101, 5)</f>
        <v>1.277E-2</v>
      </c>
      <c r="K102" s="154"/>
      <c r="L102" s="398"/>
      <c r="M102" s="170"/>
      <c r="N102" s="174">
        <f>ROUND(N101/K101, 5)</f>
        <v>-8.09E-3</v>
      </c>
      <c r="O102" s="174">
        <f>ROUND(O101/K101, 5)</f>
        <v>2.6360000000000001E-2</v>
      </c>
      <c r="Q102" s="154"/>
      <c r="R102" s="398"/>
      <c r="S102" s="170"/>
      <c r="T102" s="174"/>
      <c r="U102" s="399"/>
    </row>
    <row r="103" spans="2:21" x14ac:dyDescent="0.2">
      <c r="B103" s="187"/>
      <c r="C103" s="400"/>
      <c r="D103" s="188"/>
      <c r="E103" s="401" t="s">
        <v>129</v>
      </c>
      <c r="F103" s="402">
        <f>F116+F133</f>
        <v>7448585.0592142921</v>
      </c>
      <c r="G103" s="189">
        <f>G116+G133</f>
        <v>8347020.9213351058</v>
      </c>
      <c r="H103" s="403"/>
      <c r="I103" s="403"/>
      <c r="J103" s="316"/>
      <c r="K103" s="401" t="s">
        <v>129</v>
      </c>
      <c r="L103" s="402">
        <f>L116+L133</f>
        <v>7380545.0838783914</v>
      </c>
      <c r="M103" s="189">
        <f>M116+M133</f>
        <v>8269543.6112678461</v>
      </c>
      <c r="N103" s="403"/>
      <c r="O103" s="403"/>
      <c r="P103" s="316"/>
      <c r="Q103" s="401"/>
      <c r="R103" s="402"/>
      <c r="S103" s="189"/>
      <c r="T103" s="403"/>
      <c r="U103" s="419"/>
    </row>
    <row r="104" spans="2:21" x14ac:dyDescent="0.2">
      <c r="B104" s="428"/>
      <c r="C104" s="429"/>
      <c r="D104" s="430"/>
      <c r="E104" s="158"/>
      <c r="F104" s="421"/>
      <c r="G104" s="158"/>
      <c r="H104" s="158"/>
      <c r="I104" s="158"/>
      <c r="J104" s="158"/>
      <c r="K104" s="158"/>
      <c r="L104" s="421"/>
      <c r="M104" s="158"/>
      <c r="N104" s="158"/>
      <c r="O104" s="158"/>
      <c r="P104" s="158"/>
      <c r="Q104" s="158"/>
      <c r="R104" s="421"/>
      <c r="S104" s="158"/>
      <c r="T104" s="158"/>
      <c r="U104" s="422"/>
    </row>
    <row r="105" spans="2:21" x14ac:dyDescent="0.2">
      <c r="B105" s="192" t="s">
        <v>95</v>
      </c>
      <c r="C105" s="420"/>
      <c r="D105" s="435"/>
      <c r="E105" s="158"/>
      <c r="F105" s="421"/>
      <c r="G105" s="158"/>
      <c r="H105" s="158"/>
      <c r="I105" s="158"/>
      <c r="J105" s="158"/>
      <c r="K105" s="158"/>
      <c r="L105" s="421"/>
      <c r="M105" s="158"/>
      <c r="N105" s="158"/>
      <c r="O105" s="158"/>
      <c r="P105" s="158"/>
      <c r="Q105" s="158"/>
      <c r="R105" s="421"/>
      <c r="S105" s="158"/>
      <c r="T105" s="158"/>
      <c r="U105" s="422"/>
    </row>
    <row r="106" spans="2:21" x14ac:dyDescent="0.2">
      <c r="B106" s="195"/>
      <c r="C106" s="398"/>
      <c r="D106" s="174"/>
      <c r="E106" s="154"/>
      <c r="F106" s="398"/>
      <c r="G106" s="154"/>
      <c r="H106" s="154"/>
      <c r="I106" s="154"/>
      <c r="J106" s="154"/>
      <c r="K106" s="154"/>
      <c r="L106" s="398"/>
      <c r="M106" s="154"/>
      <c r="N106" s="154"/>
      <c r="O106" s="154"/>
      <c r="P106" s="154"/>
      <c r="Q106" s="154"/>
      <c r="R106" s="398"/>
      <c r="S106" s="154"/>
      <c r="T106" s="154"/>
      <c r="U106" s="431"/>
    </row>
    <row r="107" spans="2:21" x14ac:dyDescent="0.2">
      <c r="B107" s="167" t="s">
        <v>66</v>
      </c>
      <c r="C107" s="410">
        <f>'Exh JDT-5 (JDT-INTRPL-RD)'!E12</f>
        <v>595.08000000000004</v>
      </c>
      <c r="D107" s="170">
        <f>'Exh JDT-5 (JDT-INTRPL-RD)'!$H$12</f>
        <v>701.68</v>
      </c>
      <c r="E107" s="169">
        <v>396</v>
      </c>
      <c r="F107" s="411">
        <f>SUM(+E107*C107)</f>
        <v>235651.68000000002</v>
      </c>
      <c r="G107" s="196">
        <f>SUM(+E107*D107)</f>
        <v>277865.27999999997</v>
      </c>
      <c r="H107" s="196"/>
      <c r="I107" s="196"/>
      <c r="J107" s="154"/>
      <c r="K107" s="169">
        <v>396</v>
      </c>
      <c r="L107" s="411">
        <f>SUM(+K107*C107)</f>
        <v>235651.68000000002</v>
      </c>
      <c r="M107" s="196">
        <f>SUM(+K107*D107)</f>
        <v>277865.27999999997</v>
      </c>
      <c r="N107" s="196"/>
      <c r="O107" s="196"/>
      <c r="P107" s="154"/>
      <c r="Q107" s="196"/>
      <c r="R107" s="411"/>
      <c r="S107" s="196"/>
      <c r="T107" s="196"/>
      <c r="U107" s="409"/>
    </row>
    <row r="108" spans="2:21" x14ac:dyDescent="0.2">
      <c r="B108" s="195" t="s">
        <v>143</v>
      </c>
      <c r="C108" s="410">
        <f>'Exh JDT-5 (JDT-INTRPL-RD)'!E13</f>
        <v>1.3</v>
      </c>
      <c r="D108" s="170">
        <f>'Exh JDT-5 (JDT-INTRPL-RD)'!$H$13</f>
        <v>1.44</v>
      </c>
      <c r="E108" s="169">
        <v>94536</v>
      </c>
      <c r="F108" s="411">
        <f t="shared" ref="F108:F109" si="6">SUM(+E108*C108)</f>
        <v>122896.8</v>
      </c>
      <c r="G108" s="196">
        <f>SUM(+E108*D108)</f>
        <v>136131.84</v>
      </c>
      <c r="H108" s="196"/>
      <c r="I108" s="196"/>
      <c r="J108" s="154"/>
      <c r="K108" s="169">
        <v>94536</v>
      </c>
      <c r="L108" s="411">
        <f t="shared" ref="L108:L109" si="7">SUM(+K108*C108)</f>
        <v>122896.8</v>
      </c>
      <c r="M108" s="196">
        <f>SUM(+K108*D108)</f>
        <v>136131.84</v>
      </c>
      <c r="N108" s="196"/>
      <c r="O108" s="196"/>
      <c r="P108" s="154"/>
      <c r="Q108" s="196"/>
      <c r="R108" s="411"/>
      <c r="S108" s="196"/>
      <c r="T108" s="196"/>
      <c r="U108" s="409"/>
    </row>
    <row r="109" spans="2:21" x14ac:dyDescent="0.2">
      <c r="B109" s="195" t="s">
        <v>68</v>
      </c>
      <c r="C109" s="412">
        <f>'Exh JDT-5 (JDT-INTRPL-RD)'!E14</f>
        <v>7.0499999999999998E-3</v>
      </c>
      <c r="D109" s="174">
        <f>'Exh JDT-5 (JDT-INTRPL-RD)'!$H$14</f>
        <v>7.8399999999999997E-3</v>
      </c>
      <c r="E109" s="169">
        <f>E116</f>
        <v>11124640</v>
      </c>
      <c r="F109" s="411">
        <f t="shared" si="6"/>
        <v>78428.712</v>
      </c>
      <c r="G109" s="196">
        <f>SUM(+E109*D109)</f>
        <v>87217.177599999995</v>
      </c>
      <c r="H109" s="196"/>
      <c r="I109" s="196"/>
      <c r="J109" s="154"/>
      <c r="K109" s="169">
        <f>K116</f>
        <v>10745378</v>
      </c>
      <c r="L109" s="411">
        <f t="shared" si="7"/>
        <v>75754.914900000003</v>
      </c>
      <c r="M109" s="196">
        <f>SUM(+K109*D109)</f>
        <v>84243.763519999993</v>
      </c>
      <c r="N109" s="196"/>
      <c r="O109" s="196"/>
      <c r="P109" s="154"/>
      <c r="Q109" s="196"/>
      <c r="R109" s="411"/>
      <c r="S109" s="196"/>
      <c r="T109" s="196"/>
      <c r="U109" s="409"/>
    </row>
    <row r="110" spans="2:21" x14ac:dyDescent="0.2">
      <c r="B110" s="195" t="s">
        <v>154</v>
      </c>
      <c r="C110" s="412"/>
      <c r="D110" s="174"/>
      <c r="E110" s="169"/>
      <c r="F110" s="425">
        <f>'Exh JDT-5 (JDT-INTRPL-RD)'!F15</f>
        <v>9677.49</v>
      </c>
      <c r="G110" s="196">
        <v>9677.49</v>
      </c>
      <c r="H110" s="196"/>
      <c r="I110" s="196"/>
      <c r="J110" s="154"/>
      <c r="K110" s="169"/>
      <c r="L110" s="425">
        <f>F110</f>
        <v>9677.49</v>
      </c>
      <c r="M110" s="196">
        <v>9677.49</v>
      </c>
      <c r="N110" s="196"/>
      <c r="O110" s="196"/>
      <c r="P110" s="154"/>
      <c r="Q110" s="196"/>
      <c r="R110" s="411"/>
      <c r="S110" s="196"/>
      <c r="T110" s="196"/>
      <c r="U110" s="409"/>
    </row>
    <row r="111" spans="2:21" x14ac:dyDescent="0.2">
      <c r="B111" s="195"/>
      <c r="C111" s="412"/>
      <c r="D111" s="174"/>
      <c r="E111" s="154"/>
      <c r="F111" s="398"/>
      <c r="G111" s="154"/>
      <c r="H111" s="154"/>
      <c r="I111" s="154"/>
      <c r="J111" s="154"/>
      <c r="K111" s="154"/>
      <c r="L111" s="398"/>
      <c r="M111" s="154"/>
      <c r="N111" s="154"/>
      <c r="O111" s="154"/>
      <c r="P111" s="154"/>
      <c r="Q111" s="154"/>
      <c r="R111" s="398"/>
      <c r="S111" s="154"/>
      <c r="T111" s="154"/>
      <c r="U111" s="431"/>
    </row>
    <row r="112" spans="2:21" x14ac:dyDescent="0.2">
      <c r="B112" s="195" t="s">
        <v>145</v>
      </c>
      <c r="C112" s="412"/>
      <c r="D112" s="174"/>
      <c r="E112" s="154"/>
      <c r="F112" s="398"/>
      <c r="G112" s="154"/>
      <c r="H112" s="154"/>
      <c r="I112" s="154"/>
      <c r="J112" s="154"/>
      <c r="K112" s="154"/>
      <c r="L112" s="398"/>
      <c r="M112" s="154"/>
      <c r="N112" s="154"/>
      <c r="O112" s="154"/>
      <c r="P112" s="154"/>
      <c r="Q112" s="154"/>
      <c r="R112" s="398"/>
      <c r="S112" s="154"/>
      <c r="T112" s="154"/>
      <c r="U112" s="431"/>
    </row>
    <row r="113" spans="2:21" x14ac:dyDescent="0.2">
      <c r="B113" s="195" t="s">
        <v>96</v>
      </c>
      <c r="C113" s="412">
        <f>'Exh JDT-5 (JDT-INTRPL-RD)'!E18</f>
        <v>0.1084</v>
      </c>
      <c r="D113" s="174">
        <f>'Exh JDT-5 (JDT-INTRPL-RD)'!$H$18</f>
        <v>0.12581999999999999</v>
      </c>
      <c r="E113" s="169">
        <v>4674926.706264955</v>
      </c>
      <c r="F113" s="425">
        <f>SUM(+E113*C113)</f>
        <v>506762.0549591211</v>
      </c>
      <c r="G113" s="196">
        <f>SUM(+E113*D113)</f>
        <v>588199.27818225662</v>
      </c>
      <c r="H113" s="196"/>
      <c r="I113" s="196"/>
      <c r="J113" s="154"/>
      <c r="K113" s="169">
        <v>4513873.5650214646</v>
      </c>
      <c r="L113" s="411">
        <f t="shared" ref="L113:L115" si="8">SUM(+K113*C113)</f>
        <v>489303.89444832673</v>
      </c>
      <c r="M113" s="196">
        <f>SUM(+K113*D113)</f>
        <v>567935.5719510006</v>
      </c>
      <c r="N113" s="196"/>
      <c r="O113" s="196"/>
      <c r="P113" s="154"/>
      <c r="Q113" s="196"/>
      <c r="R113" s="411"/>
      <c r="S113" s="196"/>
      <c r="T113" s="196"/>
      <c r="U113" s="409"/>
    </row>
    <row r="114" spans="2:21" x14ac:dyDescent="0.2">
      <c r="B114" s="195" t="s">
        <v>97</v>
      </c>
      <c r="C114" s="412">
        <f>'Exh JDT-5 (JDT-INTRPL-RD)'!E19</f>
        <v>5.3650000000000003E-2</v>
      </c>
      <c r="D114" s="174">
        <f>'Exh JDT-5 (JDT-INTRPL-RD)'!$H$19</f>
        <v>5.9630000000000002E-2</v>
      </c>
      <c r="E114" s="169">
        <v>2569738.4472592678</v>
      </c>
      <c r="F114" s="425">
        <f t="shared" ref="F114:F115" si="9">SUM(+E114*C114)</f>
        <v>137866.46769545972</v>
      </c>
      <c r="G114" s="196">
        <f>SUM(+E114*D114)</f>
        <v>153233.50361007015</v>
      </c>
      <c r="H114" s="196"/>
      <c r="I114" s="196"/>
      <c r="J114" s="154"/>
      <c r="K114" s="169">
        <v>2478939.5524124894</v>
      </c>
      <c r="L114" s="411">
        <f t="shared" si="8"/>
        <v>132995.10698693007</v>
      </c>
      <c r="M114" s="196">
        <f>SUM(+K114*D114)</f>
        <v>147819.16551035675</v>
      </c>
      <c r="N114" s="196"/>
      <c r="O114" s="196"/>
      <c r="P114" s="154"/>
      <c r="Q114" s="196"/>
      <c r="R114" s="411"/>
      <c r="S114" s="196"/>
      <c r="T114" s="196"/>
      <c r="U114" s="409"/>
    </row>
    <row r="115" spans="2:21" x14ac:dyDescent="0.2">
      <c r="B115" s="195" t="s">
        <v>98</v>
      </c>
      <c r="C115" s="412">
        <f>'Exh JDT-5 (JDT-INTRPL-RD)'!E20</f>
        <v>5.1319999999999998E-2</v>
      </c>
      <c r="D115" s="174">
        <f>'Exh JDT-5 (JDT-INTRPL-RD)'!$H$20</f>
        <v>5.704E-2</v>
      </c>
      <c r="E115" s="169">
        <v>3879974.8464757777</v>
      </c>
      <c r="F115" s="425">
        <f t="shared" si="9"/>
        <v>199120.3091211369</v>
      </c>
      <c r="G115" s="196">
        <f>SUM(+E115*D115)</f>
        <v>221313.76524297835</v>
      </c>
      <c r="H115" s="196"/>
      <c r="I115" s="196"/>
      <c r="J115" s="154"/>
      <c r="K115" s="169">
        <v>3752564.882566046</v>
      </c>
      <c r="L115" s="411">
        <f t="shared" si="8"/>
        <v>192581.62977328946</v>
      </c>
      <c r="M115" s="196">
        <f>SUM(+K115*D115)</f>
        <v>214046.30090156727</v>
      </c>
      <c r="N115" s="196"/>
      <c r="O115" s="196"/>
      <c r="P115" s="154"/>
      <c r="Q115" s="196"/>
      <c r="R115" s="402"/>
      <c r="S115" s="189"/>
      <c r="T115" s="196"/>
      <c r="U115" s="409"/>
    </row>
    <row r="116" spans="2:21" x14ac:dyDescent="0.2">
      <c r="B116" s="203" t="s">
        <v>182</v>
      </c>
      <c r="C116" s="423"/>
      <c r="D116" s="170"/>
      <c r="E116" s="273">
        <f>SUM(E113:E115)</f>
        <v>11124640</v>
      </c>
      <c r="F116" s="434">
        <f>SUM(F107:F115)</f>
        <v>1290403.5137757179</v>
      </c>
      <c r="G116" s="311">
        <f>SUM(G107:G115)</f>
        <v>1473638.3346353052</v>
      </c>
      <c r="H116" s="199"/>
      <c r="I116" s="199"/>
      <c r="J116" s="154"/>
      <c r="K116" s="273">
        <f>SUM(K113:K115)</f>
        <v>10745378</v>
      </c>
      <c r="L116" s="434">
        <f>SUM(L107:L115)</f>
        <v>1258861.5161085464</v>
      </c>
      <c r="M116" s="311">
        <f>SUM(M107:M115)</f>
        <v>1437719.4118829246</v>
      </c>
      <c r="N116" s="199"/>
      <c r="O116" s="199"/>
      <c r="P116" s="154"/>
      <c r="Q116" s="311"/>
      <c r="R116" s="436"/>
      <c r="S116" s="199"/>
      <c r="T116" s="199"/>
      <c r="U116" s="409"/>
    </row>
    <row r="117" spans="2:21" x14ac:dyDescent="0.2">
      <c r="B117" s="195" t="s">
        <v>183</v>
      </c>
      <c r="C117" s="398"/>
      <c r="D117" s="170"/>
      <c r="E117" s="169"/>
      <c r="F117" s="425"/>
      <c r="G117" s="199"/>
      <c r="H117" s="189">
        <f>H$102*E116</f>
        <v>-3003.6527999999998</v>
      </c>
      <c r="I117" s="189">
        <f>I$102*E116</f>
        <v>142061.65280000001</v>
      </c>
      <c r="J117" s="154"/>
      <c r="K117" s="169"/>
      <c r="L117" s="425"/>
      <c r="M117" s="199"/>
      <c r="N117" s="189">
        <f>N$102*K116</f>
        <v>-86930.10802</v>
      </c>
      <c r="O117" s="189">
        <f>O$102*K116</f>
        <v>283248.16408000002</v>
      </c>
      <c r="P117" s="154"/>
      <c r="Q117" s="199"/>
      <c r="R117" s="436"/>
      <c r="S117" s="199"/>
      <c r="T117" s="189"/>
      <c r="U117" s="419"/>
    </row>
    <row r="118" spans="2:21" x14ac:dyDescent="0.2">
      <c r="B118" s="203" t="str">
        <f>"Total "&amp;B105</f>
        <v>Total Schedule 85 - Sales</v>
      </c>
      <c r="C118" s="423"/>
      <c r="D118" s="170"/>
      <c r="E118" s="169"/>
      <c r="F118" s="425"/>
      <c r="G118" s="199"/>
      <c r="H118" s="196"/>
      <c r="I118" s="415">
        <f>G116+H117+I117</f>
        <v>1612696.3346353052</v>
      </c>
      <c r="J118" s="154"/>
      <c r="K118" s="169"/>
      <c r="L118" s="425"/>
      <c r="M118" s="199"/>
      <c r="N118" s="196"/>
      <c r="O118" s="415">
        <f>M116+N117+O117</f>
        <v>1634037.4679429247</v>
      </c>
      <c r="P118" s="154"/>
      <c r="Q118" s="199"/>
      <c r="R118" s="436"/>
      <c r="S118" s="199"/>
      <c r="T118" s="196"/>
      <c r="U118" s="416"/>
    </row>
    <row r="119" spans="2:21" x14ac:dyDescent="0.2">
      <c r="B119" s="187"/>
      <c r="C119" s="400"/>
      <c r="D119" s="325"/>
      <c r="E119" s="188"/>
      <c r="F119" s="400"/>
      <c r="G119" s="188"/>
      <c r="H119" s="188"/>
      <c r="I119" s="188"/>
      <c r="J119" s="188"/>
      <c r="K119" s="188"/>
      <c r="L119" s="400"/>
      <c r="M119" s="188"/>
      <c r="N119" s="188"/>
      <c r="O119" s="188"/>
      <c r="P119" s="188"/>
      <c r="Q119" s="188"/>
      <c r="R119" s="400"/>
      <c r="S119" s="188"/>
      <c r="T119" s="188"/>
      <c r="U119" s="432"/>
    </row>
    <row r="120" spans="2:21" x14ac:dyDescent="0.2">
      <c r="B120" s="154"/>
      <c r="C120" s="398"/>
      <c r="D120" s="174"/>
      <c r="G120" s="130"/>
      <c r="H120" s="130"/>
      <c r="I120" s="130"/>
      <c r="J120" s="130"/>
      <c r="M120" s="130"/>
      <c r="N120" s="130"/>
      <c r="O120" s="130"/>
      <c r="P120" s="130"/>
      <c r="S120" s="130"/>
      <c r="T120" s="130"/>
      <c r="U120" s="130"/>
    </row>
    <row r="121" spans="2:21" x14ac:dyDescent="0.2">
      <c r="B121" s="192" t="s">
        <v>99</v>
      </c>
      <c r="C121" s="420"/>
      <c r="D121" s="435"/>
      <c r="E121" s="158"/>
      <c r="F121" s="421"/>
      <c r="G121" s="158"/>
      <c r="H121" s="158"/>
      <c r="I121" s="158"/>
      <c r="J121" s="158"/>
      <c r="K121" s="158"/>
      <c r="L121" s="421"/>
      <c r="M121" s="158"/>
      <c r="N121" s="158"/>
      <c r="O121" s="158"/>
      <c r="P121" s="158"/>
      <c r="Q121" s="158"/>
      <c r="R121" s="421"/>
      <c r="S121" s="158"/>
      <c r="T121" s="158"/>
      <c r="U121" s="422"/>
    </row>
    <row r="122" spans="2:21" x14ac:dyDescent="0.2">
      <c r="B122" s="195"/>
      <c r="C122" s="398"/>
      <c r="D122" s="174"/>
      <c r="E122" s="154"/>
      <c r="F122" s="398"/>
      <c r="G122" s="154"/>
      <c r="H122" s="154"/>
      <c r="I122" s="154"/>
      <c r="J122" s="154"/>
      <c r="K122" s="154"/>
      <c r="L122" s="398"/>
      <c r="M122" s="154"/>
      <c r="N122" s="154"/>
      <c r="O122" s="154"/>
      <c r="P122" s="154"/>
      <c r="Q122" s="154"/>
      <c r="R122" s="398"/>
      <c r="S122" s="154"/>
      <c r="T122" s="154"/>
      <c r="U122" s="431"/>
    </row>
    <row r="123" spans="2:21" x14ac:dyDescent="0.2">
      <c r="B123" s="167" t="s">
        <v>66</v>
      </c>
      <c r="C123" s="410">
        <f>'Exh JDT-5 (JDT-INTRPL-RD)'!E28</f>
        <v>903.09</v>
      </c>
      <c r="D123" s="170">
        <f>'Exh JDT-5 (JDT-INTRPL-RD)'!$H$28</f>
        <v>903.09</v>
      </c>
      <c r="E123" s="169">
        <v>876</v>
      </c>
      <c r="F123" s="411">
        <f>SUM(+E123*C123)</f>
        <v>791106.84000000008</v>
      </c>
      <c r="G123" s="196">
        <f>SUM(+E123*D123)</f>
        <v>791106.84000000008</v>
      </c>
      <c r="H123" s="196"/>
      <c r="I123" s="196"/>
      <c r="J123" s="154"/>
      <c r="K123" s="169">
        <v>876</v>
      </c>
      <c r="L123" s="411">
        <f>SUM(+K123*C123)</f>
        <v>791106.84000000008</v>
      </c>
      <c r="M123" s="196">
        <f>SUM(+K123*D123)</f>
        <v>791106.84000000008</v>
      </c>
      <c r="N123" s="196"/>
      <c r="O123" s="196"/>
      <c r="P123" s="154"/>
      <c r="Q123" s="169"/>
      <c r="R123" s="411"/>
      <c r="S123" s="196"/>
      <c r="T123" s="196"/>
      <c r="U123" s="409"/>
    </row>
    <row r="124" spans="2:21" x14ac:dyDescent="0.2">
      <c r="B124" s="195" t="s">
        <v>143</v>
      </c>
      <c r="C124" s="410">
        <f>'Exh JDT-5 (JDT-INTRPL-RD)'!E29</f>
        <v>1.3</v>
      </c>
      <c r="D124" s="170">
        <f>'Exh JDT-5 (JDT-INTRPL-RD)'!$H$29</f>
        <v>1.44</v>
      </c>
      <c r="E124" s="169">
        <v>650832</v>
      </c>
      <c r="F124" s="411">
        <f>SUM(+E124*C124)</f>
        <v>846081.6</v>
      </c>
      <c r="G124" s="196">
        <f>SUM(+E124*D124)</f>
        <v>937198.07999999996</v>
      </c>
      <c r="H124" s="196"/>
      <c r="I124" s="196"/>
      <c r="J124" s="154"/>
      <c r="K124" s="169">
        <v>650832</v>
      </c>
      <c r="L124" s="411">
        <f>SUM(+K124*C124)</f>
        <v>846081.6</v>
      </c>
      <c r="M124" s="196">
        <f>SUM(+K124*D124)</f>
        <v>937198.07999999996</v>
      </c>
      <c r="N124" s="196"/>
      <c r="O124" s="196"/>
      <c r="P124" s="154"/>
      <c r="Q124" s="169"/>
      <c r="R124" s="411"/>
      <c r="S124" s="196"/>
      <c r="T124" s="196"/>
      <c r="U124" s="409"/>
    </row>
    <row r="125" spans="2:21" x14ac:dyDescent="0.2">
      <c r="B125" s="195" t="s">
        <v>154</v>
      </c>
      <c r="C125" s="398"/>
      <c r="D125" s="170"/>
      <c r="E125" s="169"/>
      <c r="F125" s="411">
        <f>G125</f>
        <v>-10601.630000000003</v>
      </c>
      <c r="G125" s="196">
        <v>-10601.630000000003</v>
      </c>
      <c r="H125" s="196"/>
      <c r="I125" s="196"/>
      <c r="J125" s="154"/>
      <c r="K125" s="169"/>
      <c r="L125" s="411">
        <f>M125</f>
        <v>-10601.630000000003</v>
      </c>
      <c r="M125" s="196">
        <v>-10601.630000000003</v>
      </c>
      <c r="N125" s="196"/>
      <c r="O125" s="196"/>
      <c r="P125" s="154"/>
      <c r="Q125" s="169"/>
      <c r="R125" s="411"/>
      <c r="S125" s="196"/>
      <c r="T125" s="196"/>
      <c r="U125" s="409"/>
    </row>
    <row r="126" spans="2:21" x14ac:dyDescent="0.2">
      <c r="B126" s="195"/>
      <c r="C126" s="398"/>
      <c r="D126" s="170"/>
      <c r="E126" s="169"/>
      <c r="F126" s="425"/>
      <c r="G126" s="196"/>
      <c r="H126" s="196"/>
      <c r="I126" s="196"/>
      <c r="J126" s="154"/>
      <c r="K126" s="169"/>
      <c r="L126" s="425"/>
      <c r="M126" s="196"/>
      <c r="N126" s="196"/>
      <c r="O126" s="196"/>
      <c r="P126" s="154"/>
      <c r="Q126" s="169"/>
      <c r="R126" s="425"/>
      <c r="S126" s="196"/>
      <c r="T126" s="196"/>
      <c r="U126" s="409"/>
    </row>
    <row r="127" spans="2:21" x14ac:dyDescent="0.2">
      <c r="B127" s="195" t="s">
        <v>145</v>
      </c>
      <c r="C127" s="398"/>
      <c r="D127" s="170"/>
      <c r="E127" s="154"/>
      <c r="F127" s="398"/>
      <c r="G127" s="154"/>
      <c r="H127" s="154"/>
      <c r="I127" s="154"/>
      <c r="J127" s="154"/>
      <c r="K127" s="154"/>
      <c r="L127" s="398"/>
      <c r="M127" s="154"/>
      <c r="N127" s="154"/>
      <c r="O127" s="154"/>
      <c r="P127" s="154"/>
      <c r="Q127" s="154"/>
      <c r="R127" s="398"/>
      <c r="S127" s="154"/>
      <c r="T127" s="154"/>
      <c r="U127" s="431"/>
    </row>
    <row r="128" spans="2:21" x14ac:dyDescent="0.2">
      <c r="B128" s="195" t="s">
        <v>96</v>
      </c>
      <c r="C128" s="412">
        <f>'Exh JDT-5 (JDT-INTRPL-RD)'!E33</f>
        <v>0.1084</v>
      </c>
      <c r="D128" s="174">
        <f>'Exh JDT-5 (JDT-INTRPL-RD)'!$H$33</f>
        <v>0.12581999999999999</v>
      </c>
      <c r="E128" s="169">
        <v>22292868.215119526</v>
      </c>
      <c r="F128" s="411">
        <f t="shared" ref="F128:F130" si="10">SUM(+E128*C128)</f>
        <v>2416546.9145189566</v>
      </c>
      <c r="G128" s="196">
        <f>SUM(+E128*D128)</f>
        <v>2804888.6788263386</v>
      </c>
      <c r="H128" s="196"/>
      <c r="I128" s="196"/>
      <c r="J128" s="154"/>
      <c r="K128" s="169">
        <v>22106956.690598253</v>
      </c>
      <c r="L128" s="411">
        <f>SUM(+K128*C128)</f>
        <v>2396394.1052608504</v>
      </c>
      <c r="M128" s="196">
        <f>SUM(+K128*D128)</f>
        <v>2781497.2908110721</v>
      </c>
      <c r="N128" s="196"/>
      <c r="O128" s="196"/>
      <c r="P128" s="154"/>
      <c r="Q128" s="169"/>
      <c r="R128" s="411"/>
      <c r="S128" s="196"/>
      <c r="T128" s="196"/>
      <c r="U128" s="409"/>
    </row>
    <row r="129" spans="2:21" x14ac:dyDescent="0.2">
      <c r="B129" s="195" t="s">
        <v>97</v>
      </c>
      <c r="C129" s="412">
        <f>'Exh JDT-5 (JDT-INTRPL-RD)'!E34</f>
        <v>5.3650000000000003E-2</v>
      </c>
      <c r="D129" s="174">
        <f>'Exh JDT-5 (JDT-INTRPL-RD)'!$H$34</f>
        <v>5.9630000000000002E-2</v>
      </c>
      <c r="E129" s="169">
        <v>15820769.939721871</v>
      </c>
      <c r="F129" s="411">
        <f t="shared" si="10"/>
        <v>848784.30726607842</v>
      </c>
      <c r="G129" s="196">
        <f>SUM(+E129*D129)</f>
        <v>943392.5115056152</v>
      </c>
      <c r="H129" s="196"/>
      <c r="I129" s="196"/>
      <c r="J129" s="154"/>
      <c r="K129" s="169">
        <v>15692698.519526683</v>
      </c>
      <c r="L129" s="411">
        <f t="shared" ref="L129:L130" si="11">SUM(+K129*C129)</f>
        <v>841913.2755726066</v>
      </c>
      <c r="M129" s="196">
        <f>SUM(+K129*D129)</f>
        <v>935755.61271937611</v>
      </c>
      <c r="N129" s="196"/>
      <c r="O129" s="196"/>
      <c r="P129" s="154"/>
      <c r="Q129" s="169"/>
      <c r="R129" s="411"/>
      <c r="S129" s="196"/>
      <c r="T129" s="196"/>
      <c r="U129" s="409"/>
    </row>
    <row r="130" spans="2:21" x14ac:dyDescent="0.2">
      <c r="B130" s="195" t="s">
        <v>107</v>
      </c>
      <c r="C130" s="412">
        <f>'Exh JDT-5 (JDT-INTRPL-RD)'!E35</f>
        <v>5.1319999999999998E-2</v>
      </c>
      <c r="D130" s="174">
        <f>'Exh JDT-5 (JDT-INTRPL-RD)'!$H$35</f>
        <v>5.704E-2</v>
      </c>
      <c r="E130" s="169">
        <v>24673879.845158603</v>
      </c>
      <c r="F130" s="411">
        <f t="shared" si="10"/>
        <v>1266263.5136535394</v>
      </c>
      <c r="G130" s="196">
        <f>SUM(+E130*D130)</f>
        <v>1407398.1063678467</v>
      </c>
      <c r="H130" s="196"/>
      <c r="I130" s="196"/>
      <c r="J130" s="154"/>
      <c r="K130" s="169">
        <v>24489270.789875064</v>
      </c>
      <c r="L130" s="411">
        <f t="shared" si="11"/>
        <v>1256789.3769363882</v>
      </c>
      <c r="M130" s="196">
        <f>SUM(+K130*D130)</f>
        <v>1396868.0058544737</v>
      </c>
      <c r="N130" s="196"/>
      <c r="O130" s="196"/>
      <c r="P130" s="154"/>
      <c r="Q130" s="169"/>
      <c r="R130" s="402"/>
      <c r="S130" s="189"/>
      <c r="T130" s="196"/>
      <c r="U130" s="409"/>
    </row>
    <row r="131" spans="2:21" x14ac:dyDescent="0.2">
      <c r="B131" s="167" t="s">
        <v>130</v>
      </c>
      <c r="C131" s="424"/>
      <c r="D131" s="170"/>
      <c r="E131" s="273">
        <f>SUM(E128:E130)</f>
        <v>62787518</v>
      </c>
      <c r="F131" s="434">
        <f>SUM(F123:F130)</f>
        <v>6158181.5454385746</v>
      </c>
      <c r="G131" s="311">
        <f>SUM(G123:G130)</f>
        <v>6873382.5866998006</v>
      </c>
      <c r="H131" s="199"/>
      <c r="I131" s="199"/>
      <c r="J131" s="154"/>
      <c r="K131" s="273">
        <f>SUM(K128:K130)</f>
        <v>62288926</v>
      </c>
      <c r="L131" s="434">
        <f>SUM(L123:L130)</f>
        <v>6121683.567769845</v>
      </c>
      <c r="M131" s="311">
        <f>SUM(M123:M130)</f>
        <v>6831824.1993849212</v>
      </c>
      <c r="N131" s="199"/>
      <c r="O131" s="199"/>
      <c r="P131" s="154"/>
      <c r="Q131" s="273"/>
      <c r="R131" s="436"/>
      <c r="S131" s="199"/>
      <c r="T131" s="199"/>
      <c r="U131" s="409"/>
    </row>
    <row r="132" spans="2:21" x14ac:dyDescent="0.2">
      <c r="B132" s="167"/>
      <c r="C132" s="424"/>
      <c r="D132" s="170"/>
      <c r="E132" s="169"/>
      <c r="F132" s="425"/>
      <c r="G132" s="199"/>
      <c r="H132" s="199"/>
      <c r="I132" s="199"/>
      <c r="J132" s="154"/>
      <c r="K132" s="169"/>
      <c r="L132" s="425"/>
      <c r="M132" s="199"/>
      <c r="N132" s="199"/>
      <c r="O132" s="199"/>
      <c r="P132" s="154"/>
      <c r="Q132" s="169"/>
      <c r="R132" s="437"/>
      <c r="S132" s="323"/>
      <c r="T132" s="199"/>
      <c r="U132" s="438"/>
    </row>
    <row r="133" spans="2:21" x14ac:dyDescent="0.2">
      <c r="B133" s="439" t="s">
        <v>187</v>
      </c>
      <c r="C133" s="440"/>
      <c r="D133" s="170"/>
      <c r="E133" s="169"/>
      <c r="F133" s="434">
        <f>F131</f>
        <v>6158181.5454385746</v>
      </c>
      <c r="G133" s="311">
        <f>G131</f>
        <v>6873382.5866998006</v>
      </c>
      <c r="H133" s="199"/>
      <c r="I133" s="199"/>
      <c r="J133" s="154"/>
      <c r="K133" s="169"/>
      <c r="L133" s="434">
        <f>L131</f>
        <v>6121683.567769845</v>
      </c>
      <c r="M133" s="311">
        <f>M131</f>
        <v>6831824.1993849212</v>
      </c>
      <c r="N133" s="199"/>
      <c r="O133" s="199"/>
      <c r="P133" s="154"/>
      <c r="Q133" s="169"/>
      <c r="R133" s="436"/>
      <c r="S133" s="199"/>
      <c r="T133" s="199"/>
      <c r="U133" s="438"/>
    </row>
    <row r="134" spans="2:21" x14ac:dyDescent="0.2">
      <c r="B134" s="195" t="s">
        <v>183</v>
      </c>
      <c r="C134" s="398"/>
      <c r="D134" s="170"/>
      <c r="E134" s="169"/>
      <c r="F134" s="425"/>
      <c r="G134" s="199"/>
      <c r="H134" s="189">
        <f>H$102*E131</f>
        <v>-16952.629860000001</v>
      </c>
      <c r="I134" s="189">
        <f>I$102*E131</f>
        <v>801796.60485999996</v>
      </c>
      <c r="J134" s="154"/>
      <c r="K134" s="169"/>
      <c r="L134" s="425"/>
      <c r="M134" s="199"/>
      <c r="N134" s="189">
        <f>N$102*K131</f>
        <v>-503917.41133999999</v>
      </c>
      <c r="O134" s="189">
        <f>O$102*K131</f>
        <v>1641936.0893600001</v>
      </c>
      <c r="P134" s="154"/>
      <c r="Q134" s="169"/>
      <c r="R134" s="425"/>
      <c r="S134" s="169"/>
      <c r="T134" s="189"/>
      <c r="U134" s="419"/>
    </row>
    <row r="135" spans="2:21" x14ac:dyDescent="0.2">
      <c r="B135" s="203" t="str">
        <f>"Total "&amp;B121</f>
        <v>Total Schedule 85 - Transportation</v>
      </c>
      <c r="C135" s="423"/>
      <c r="D135" s="170"/>
      <c r="E135" s="169"/>
      <c r="F135" s="425"/>
      <c r="G135" s="199"/>
      <c r="H135" s="196"/>
      <c r="I135" s="415">
        <f>G133+H134+I134</f>
        <v>7658226.5616998011</v>
      </c>
      <c r="J135" s="154"/>
      <c r="K135" s="169"/>
      <c r="L135" s="425"/>
      <c r="M135" s="199"/>
      <c r="N135" s="196"/>
      <c r="O135" s="415">
        <f>M133+N134+O134</f>
        <v>7969842.8774049208</v>
      </c>
      <c r="P135" s="154"/>
      <c r="Q135" s="169"/>
      <c r="R135" s="425"/>
      <c r="S135" s="169"/>
      <c r="T135" s="415"/>
      <c r="U135" s="441"/>
    </row>
    <row r="136" spans="2:21" x14ac:dyDescent="0.2">
      <c r="B136" s="187"/>
      <c r="C136" s="400"/>
      <c r="D136" s="325"/>
      <c r="E136" s="188"/>
      <c r="F136" s="400"/>
      <c r="G136" s="188"/>
      <c r="H136" s="188"/>
      <c r="I136" s="188"/>
      <c r="J136" s="188"/>
      <c r="K136" s="188"/>
      <c r="L136" s="400"/>
      <c r="M136" s="188"/>
      <c r="N136" s="188"/>
      <c r="O136" s="188"/>
      <c r="P136" s="188"/>
      <c r="Q136" s="188"/>
      <c r="R136" s="400"/>
      <c r="S136" s="188"/>
      <c r="T136" s="188"/>
      <c r="U136" s="432"/>
    </row>
    <row r="137" spans="2:21" x14ac:dyDescent="0.2">
      <c r="B137" s="154"/>
      <c r="C137" s="398"/>
      <c r="D137" s="174"/>
      <c r="G137" s="130"/>
      <c r="H137" s="196"/>
      <c r="I137" s="196"/>
      <c r="J137" s="130"/>
      <c r="M137" s="130"/>
      <c r="N137" s="130"/>
      <c r="O137" s="130"/>
      <c r="P137" s="130"/>
      <c r="S137" s="130"/>
      <c r="T137" s="130"/>
      <c r="U137" s="130"/>
    </row>
    <row r="138" spans="2:21" x14ac:dyDescent="0.2">
      <c r="B138" s="391" t="s">
        <v>188</v>
      </c>
      <c r="C138" s="392"/>
      <c r="D138" s="393"/>
      <c r="E138" s="273">
        <f>E146+E166</f>
        <v>6233899</v>
      </c>
      <c r="F138" s="394"/>
      <c r="G138" s="254"/>
      <c r="H138" s="254">
        <f>'Exh JDT-5 (JDT-Rate Spread)'!J70</f>
        <v>-1349.5964513007489</v>
      </c>
      <c r="I138" s="254">
        <f>'Exh JDT-5 (JDT-Rate Spread)'!J81</f>
        <v>64890.101082274654</v>
      </c>
      <c r="J138" s="395"/>
      <c r="K138" s="273">
        <f>K146+K166</f>
        <v>6068110</v>
      </c>
      <c r="L138" s="394"/>
      <c r="M138" s="395"/>
      <c r="N138" s="254">
        <f>'Exh JDT-5 (JDT-Rate Spread)'!J74</f>
        <v>-40649.234324825084</v>
      </c>
      <c r="O138" s="254">
        <f>'Exh JDT-5 (JDT-Rate Spread)'!J82</f>
        <v>132390.84291748612</v>
      </c>
      <c r="P138" s="395"/>
      <c r="Q138" s="273"/>
      <c r="R138" s="394"/>
      <c r="S138" s="396"/>
      <c r="T138" s="254"/>
      <c r="U138" s="397"/>
    </row>
    <row r="139" spans="2:21" x14ac:dyDescent="0.2">
      <c r="B139" s="195"/>
      <c r="C139" s="398"/>
      <c r="D139" s="154"/>
      <c r="E139" s="154"/>
      <c r="F139" s="398"/>
      <c r="G139" s="318" t="s">
        <v>181</v>
      </c>
      <c r="H139" s="174">
        <f>ROUND(H138/E138, 5)</f>
        <v>-2.2000000000000001E-4</v>
      </c>
      <c r="I139" s="174">
        <f>ROUND(I138/E138, 5)</f>
        <v>1.0410000000000001E-2</v>
      </c>
      <c r="K139" s="154"/>
      <c r="L139" s="398"/>
      <c r="M139" s="170"/>
      <c r="N139" s="174">
        <f>ROUND(N138/K138, 5)</f>
        <v>-6.7000000000000002E-3</v>
      </c>
      <c r="O139" s="174">
        <f>ROUND(O138/K138, 5)</f>
        <v>2.1819999999999999E-2</v>
      </c>
      <c r="Q139" s="154"/>
      <c r="R139" s="398"/>
      <c r="S139" s="170"/>
      <c r="T139" s="174"/>
      <c r="U139" s="399"/>
    </row>
    <row r="140" spans="2:21" x14ac:dyDescent="0.2">
      <c r="B140" s="187"/>
      <c r="C140" s="400"/>
      <c r="D140" s="188"/>
      <c r="E140" s="401" t="s">
        <v>129</v>
      </c>
      <c r="F140" s="402">
        <f>F152+F168</f>
        <v>1247670.0419045878</v>
      </c>
      <c r="G140" s="189">
        <f>G152+G168</f>
        <v>1303841.3137276205</v>
      </c>
      <c r="H140" s="403"/>
      <c r="I140" s="403"/>
      <c r="J140" s="316"/>
      <c r="K140" s="401" t="s">
        <v>129</v>
      </c>
      <c r="L140" s="402">
        <f>L152+L168</f>
        <v>1211985.7785573273</v>
      </c>
      <c r="M140" s="189">
        <f>M152+M168</f>
        <v>1266648.761613443</v>
      </c>
      <c r="N140" s="403"/>
      <c r="O140" s="403"/>
      <c r="P140" s="316"/>
      <c r="Q140" s="401"/>
      <c r="R140" s="402"/>
      <c r="S140" s="189"/>
      <c r="T140" s="403"/>
      <c r="U140" s="419"/>
    </row>
    <row r="141" spans="2:21" x14ac:dyDescent="0.2">
      <c r="B141" s="428"/>
      <c r="C141" s="429"/>
      <c r="D141" s="430"/>
      <c r="E141" s="158"/>
      <c r="F141" s="421"/>
      <c r="G141" s="158"/>
      <c r="H141" s="158"/>
      <c r="I141" s="158"/>
      <c r="J141" s="158"/>
      <c r="K141" s="158"/>
      <c r="L141" s="421"/>
      <c r="M141" s="158"/>
      <c r="N141" s="158"/>
      <c r="O141" s="158"/>
      <c r="P141" s="158"/>
      <c r="Q141" s="158"/>
      <c r="R141" s="421"/>
      <c r="S141" s="158"/>
      <c r="T141" s="158"/>
      <c r="U141" s="158"/>
    </row>
    <row r="142" spans="2:21" x14ac:dyDescent="0.2">
      <c r="B142" s="192" t="s">
        <v>101</v>
      </c>
      <c r="C142" s="420"/>
      <c r="D142" s="435"/>
      <c r="E142" s="158"/>
      <c r="F142" s="421"/>
      <c r="G142" s="158"/>
      <c r="H142" s="158"/>
      <c r="I142" s="158"/>
      <c r="J142" s="158"/>
      <c r="K142" s="158"/>
      <c r="L142" s="421"/>
      <c r="M142" s="158"/>
      <c r="N142" s="158"/>
      <c r="O142" s="158"/>
      <c r="P142" s="158"/>
      <c r="Q142" s="158"/>
      <c r="R142" s="421"/>
      <c r="S142" s="158"/>
      <c r="T142" s="158"/>
      <c r="U142" s="422"/>
    </row>
    <row r="143" spans="2:21" x14ac:dyDescent="0.2">
      <c r="B143" s="195"/>
      <c r="C143" s="398"/>
      <c r="D143" s="174"/>
      <c r="E143" s="154"/>
      <c r="F143" s="398"/>
      <c r="G143" s="154"/>
      <c r="H143" s="154"/>
      <c r="I143" s="154"/>
      <c r="J143" s="154"/>
      <c r="K143" s="154"/>
      <c r="L143" s="398"/>
      <c r="M143" s="154"/>
      <c r="N143" s="154"/>
      <c r="O143" s="154"/>
      <c r="P143" s="154"/>
      <c r="Q143" s="154"/>
      <c r="R143" s="398"/>
      <c r="S143" s="154"/>
      <c r="T143" s="154"/>
      <c r="U143" s="431"/>
    </row>
    <row r="144" spans="2:21" x14ac:dyDescent="0.2">
      <c r="B144" s="167" t="s">
        <v>66</v>
      </c>
      <c r="C144" s="410">
        <f>'Exh JDT-5 (JDT-INTRPL-RD)'!E59</f>
        <v>148.82</v>
      </c>
      <c r="D144" s="170">
        <f>'Exh JDT-5 (JDT-INTRPL-RD)'!$H$59</f>
        <v>148.82</v>
      </c>
      <c r="E144" s="169">
        <v>1194</v>
      </c>
      <c r="F144" s="411">
        <f t="shared" ref="F144:F146" si="12">SUM(+E144*C144)</f>
        <v>177691.08</v>
      </c>
      <c r="G144" s="196">
        <f>SUM(+E144*D144)</f>
        <v>177691.08</v>
      </c>
      <c r="H144" s="196"/>
      <c r="I144" s="196"/>
      <c r="J144" s="154"/>
      <c r="K144" s="169">
        <v>1128</v>
      </c>
      <c r="L144" s="411">
        <f t="shared" ref="L144:L146" si="13">SUM(+K144*C144)</f>
        <v>167868.96</v>
      </c>
      <c r="M144" s="196">
        <f>SUM(+K144*D144)</f>
        <v>167868.96</v>
      </c>
      <c r="N144" s="196"/>
      <c r="O144" s="196"/>
      <c r="P144" s="154"/>
      <c r="Q144" s="169"/>
      <c r="R144" s="411"/>
      <c r="S144" s="196"/>
      <c r="T144" s="196"/>
      <c r="U144" s="409"/>
    </row>
    <row r="145" spans="2:21" x14ac:dyDescent="0.2">
      <c r="B145" s="195" t="s">
        <v>143</v>
      </c>
      <c r="C145" s="412">
        <f>'Exh JDT-5 (JDT-INTRPL-RD)'!E60</f>
        <v>1.35</v>
      </c>
      <c r="D145" s="174">
        <f>'Exh JDT-5 (JDT-INTRPL-RD)'!$H$60</f>
        <v>1.35</v>
      </c>
      <c r="E145" s="169">
        <v>38184</v>
      </c>
      <c r="F145" s="411">
        <f t="shared" si="12"/>
        <v>51548.4</v>
      </c>
      <c r="G145" s="196">
        <f>SUM(+E145*D145)</f>
        <v>51548.4</v>
      </c>
      <c r="H145" s="196"/>
      <c r="I145" s="196"/>
      <c r="J145" s="154"/>
      <c r="K145" s="169">
        <v>38184</v>
      </c>
      <c r="L145" s="411">
        <f t="shared" si="13"/>
        <v>51548.4</v>
      </c>
      <c r="M145" s="196">
        <f>SUM(+K145*D145)</f>
        <v>51548.4</v>
      </c>
      <c r="N145" s="196"/>
      <c r="O145" s="196"/>
      <c r="P145" s="154"/>
      <c r="Q145" s="169"/>
      <c r="R145" s="411"/>
      <c r="S145" s="196"/>
      <c r="T145" s="196"/>
      <c r="U145" s="409"/>
    </row>
    <row r="146" spans="2:21" x14ac:dyDescent="0.2">
      <c r="B146" s="195" t="s">
        <v>68</v>
      </c>
      <c r="C146" s="412">
        <f>'Exh JDT-5 (JDT-INTRPL-RD)'!E61</f>
        <v>1.222E-2</v>
      </c>
      <c r="D146" s="174">
        <f>'Exh JDT-5 (JDT-INTRPL-RD)'!$H$61</f>
        <v>1.222E-2</v>
      </c>
      <c r="E146" s="169">
        <f>E152</f>
        <v>5691490</v>
      </c>
      <c r="F146" s="411">
        <f t="shared" si="12"/>
        <v>69550.007800000007</v>
      </c>
      <c r="G146" s="196">
        <f>SUM(+E146*D146)</f>
        <v>69550.007800000007</v>
      </c>
      <c r="H146" s="196"/>
      <c r="I146" s="196"/>
      <c r="J146" s="154"/>
      <c r="K146" s="169">
        <f>K152</f>
        <v>5489408</v>
      </c>
      <c r="L146" s="411">
        <f t="shared" si="13"/>
        <v>67080.565759999998</v>
      </c>
      <c r="M146" s="196">
        <f>SUM(+K146*D146)</f>
        <v>67080.565759999998</v>
      </c>
      <c r="N146" s="196"/>
      <c r="O146" s="196"/>
      <c r="P146" s="154"/>
      <c r="Q146" s="169"/>
      <c r="R146" s="411"/>
      <c r="S146" s="196"/>
      <c r="T146" s="196"/>
      <c r="U146" s="409"/>
    </row>
    <row r="147" spans="2:21" x14ac:dyDescent="0.2">
      <c r="B147" s="195" t="s">
        <v>154</v>
      </c>
      <c r="C147" s="398"/>
      <c r="D147" s="174"/>
      <c r="E147" s="169"/>
      <c r="F147" s="425">
        <f>G147</f>
        <v>7612.77</v>
      </c>
      <c r="G147" s="196">
        <v>7612.77</v>
      </c>
      <c r="H147" s="196"/>
      <c r="I147" s="196"/>
      <c r="J147" s="154"/>
      <c r="K147" s="169"/>
      <c r="L147" s="425">
        <f>M147</f>
        <v>7612.77</v>
      </c>
      <c r="M147" s="196">
        <v>7612.77</v>
      </c>
      <c r="N147" s="196"/>
      <c r="O147" s="196"/>
      <c r="P147" s="154"/>
      <c r="Q147" s="169"/>
      <c r="R147" s="425"/>
      <c r="S147" s="196"/>
      <c r="T147" s="196"/>
      <c r="U147" s="409"/>
    </row>
    <row r="148" spans="2:21" x14ac:dyDescent="0.2">
      <c r="B148" s="195"/>
      <c r="C148" s="398"/>
      <c r="D148" s="174"/>
      <c r="E148" s="154"/>
      <c r="F148" s="398"/>
      <c r="G148" s="154"/>
      <c r="H148" s="154"/>
      <c r="I148" s="154"/>
      <c r="J148" s="154"/>
      <c r="K148" s="154"/>
      <c r="L148" s="398"/>
      <c r="M148" s="154"/>
      <c r="N148" s="154"/>
      <c r="O148" s="154"/>
      <c r="P148" s="154"/>
      <c r="Q148" s="154"/>
      <c r="R148" s="398"/>
      <c r="S148" s="154"/>
      <c r="T148" s="154"/>
      <c r="U148" s="431"/>
    </row>
    <row r="149" spans="2:21" x14ac:dyDescent="0.2">
      <c r="B149" s="195" t="s">
        <v>145</v>
      </c>
      <c r="C149" s="398"/>
      <c r="D149" s="174"/>
      <c r="E149" s="154"/>
      <c r="F149" s="398"/>
      <c r="G149" s="154"/>
      <c r="H149" s="154"/>
      <c r="I149" s="154"/>
      <c r="J149" s="154"/>
      <c r="K149" s="154"/>
      <c r="L149" s="398"/>
      <c r="M149" s="154"/>
      <c r="N149" s="154"/>
      <c r="O149" s="154"/>
      <c r="P149" s="154"/>
      <c r="Q149" s="154"/>
      <c r="R149" s="398"/>
      <c r="S149" s="154"/>
      <c r="T149" s="154"/>
      <c r="U149" s="431"/>
    </row>
    <row r="150" spans="2:21" x14ac:dyDescent="0.2">
      <c r="B150" s="195" t="s">
        <v>102</v>
      </c>
      <c r="C150" s="412">
        <f>'Exh JDT-5 (JDT-INTRPL-RD)'!E65</f>
        <v>0.18382000000000001</v>
      </c>
      <c r="D150" s="174">
        <f>'Exh JDT-5 (JDT-INTRPL-RD)'!$H$65</f>
        <v>0.19567999999999999</v>
      </c>
      <c r="E150" s="169">
        <v>1046420.020336004</v>
      </c>
      <c r="F150" s="411">
        <f t="shared" ref="F150:F151" si="14">SUM(+E150*C150)</f>
        <v>192352.92813816425</v>
      </c>
      <c r="G150" s="196">
        <f>SUM(+E150*D150)</f>
        <v>204763.46957934924</v>
      </c>
      <c r="H150" s="196"/>
      <c r="I150" s="196"/>
      <c r="J150" s="154"/>
      <c r="K150" s="169">
        <v>1009396.7998300681</v>
      </c>
      <c r="L150" s="411">
        <f t="shared" ref="L150:L151" si="15">SUM(+K150*C150)</f>
        <v>185547.31974476314</v>
      </c>
      <c r="M150" s="196">
        <f>SUM(+K150*D150)</f>
        <v>197518.76579074771</v>
      </c>
      <c r="N150" s="196"/>
      <c r="O150" s="196"/>
      <c r="P150" s="154"/>
      <c r="Q150" s="169"/>
      <c r="R150" s="411"/>
      <c r="S150" s="196"/>
      <c r="T150" s="196"/>
      <c r="U150" s="431"/>
    </row>
    <row r="151" spans="2:21" x14ac:dyDescent="0.2">
      <c r="B151" s="195" t="s">
        <v>103</v>
      </c>
      <c r="C151" s="412">
        <f>'Exh JDT-5 (JDT-INTRPL-RD)'!E66</f>
        <v>0.13031000000000001</v>
      </c>
      <c r="D151" s="174">
        <f>'Exh JDT-5 (JDT-INTRPL-RD)'!$H$66</f>
        <v>0.13871</v>
      </c>
      <c r="E151" s="169">
        <v>4645069.979663996</v>
      </c>
      <c r="F151" s="411">
        <f t="shared" si="14"/>
        <v>605299.06905001542</v>
      </c>
      <c r="G151" s="196">
        <f>SUM(+E151*D151)</f>
        <v>644317.65687919292</v>
      </c>
      <c r="H151" s="196"/>
      <c r="I151" s="196"/>
      <c r="J151" s="154"/>
      <c r="K151" s="169">
        <v>4480011.2001699321</v>
      </c>
      <c r="L151" s="411">
        <f t="shared" si="15"/>
        <v>583790.25949414389</v>
      </c>
      <c r="M151" s="196">
        <f>SUM(+K151*D151)</f>
        <v>621422.35357557132</v>
      </c>
      <c r="N151" s="196"/>
      <c r="O151" s="196"/>
      <c r="P151" s="154"/>
      <c r="Q151" s="169"/>
      <c r="R151" s="402"/>
      <c r="S151" s="189"/>
      <c r="T151" s="196"/>
      <c r="U151" s="431"/>
    </row>
    <row r="152" spans="2:21" x14ac:dyDescent="0.2">
      <c r="B152" s="439" t="s">
        <v>187</v>
      </c>
      <c r="C152" s="440"/>
      <c r="D152" s="174"/>
      <c r="E152" s="273">
        <f>SUM(E150:E151)</f>
        <v>5691490</v>
      </c>
      <c r="F152" s="434">
        <f>SUM(F144:F151)</f>
        <v>1104054.2549881795</v>
      </c>
      <c r="G152" s="311">
        <f>SUM(G144:G151)</f>
        <v>1155483.3842585422</v>
      </c>
      <c r="H152" s="199"/>
      <c r="I152" s="199"/>
      <c r="J152" s="154"/>
      <c r="K152" s="273">
        <f>SUM(K150:K151)</f>
        <v>5489408</v>
      </c>
      <c r="L152" s="434">
        <f>SUM(L144:L151)</f>
        <v>1063448.274998907</v>
      </c>
      <c r="M152" s="311">
        <f>SUM(M144:M151)</f>
        <v>1113051.815126319</v>
      </c>
      <c r="N152" s="199"/>
      <c r="O152" s="199"/>
      <c r="P152" s="154"/>
      <c r="Q152" s="273"/>
      <c r="R152" s="436"/>
      <c r="S152" s="199"/>
      <c r="T152" s="199"/>
      <c r="U152" s="431"/>
    </row>
    <row r="153" spans="2:21" x14ac:dyDescent="0.2">
      <c r="B153" s="195" t="s">
        <v>183</v>
      </c>
      <c r="C153" s="398"/>
      <c r="D153" s="170"/>
      <c r="E153" s="169"/>
      <c r="F153" s="425"/>
      <c r="G153" s="199"/>
      <c r="H153" s="189">
        <f>H$139*E152</f>
        <v>-1252.1278</v>
      </c>
      <c r="I153" s="189">
        <f>I$139*E152</f>
        <v>59248.410900000003</v>
      </c>
      <c r="J153" s="154"/>
      <c r="K153" s="169"/>
      <c r="L153" s="425"/>
      <c r="M153" s="199"/>
      <c r="N153" s="189">
        <f>N$139*K152</f>
        <v>-36779.033600000002</v>
      </c>
      <c r="O153" s="189">
        <f>O$139*K152</f>
        <v>119778.88256</v>
      </c>
      <c r="P153" s="154"/>
      <c r="Q153" s="169"/>
      <c r="R153" s="425"/>
      <c r="S153" s="169"/>
      <c r="T153" s="189"/>
      <c r="U153" s="419"/>
    </row>
    <row r="154" spans="2:21" x14ac:dyDescent="0.2">
      <c r="B154" s="203" t="str">
        <f>"Total "&amp;B142</f>
        <v>Total Schedule 86 - Sales</v>
      </c>
      <c r="C154" s="423"/>
      <c r="D154" s="170"/>
      <c r="E154" s="169"/>
      <c r="F154" s="425"/>
      <c r="G154" s="199"/>
      <c r="H154" s="196"/>
      <c r="I154" s="415">
        <f>G152+H153+I153</f>
        <v>1213479.6673585423</v>
      </c>
      <c r="J154" s="154"/>
      <c r="K154" s="169"/>
      <c r="L154" s="425"/>
      <c r="M154" s="199"/>
      <c r="N154" s="196"/>
      <c r="O154" s="415">
        <f>M152+N153+O153</f>
        <v>1196051.664086319</v>
      </c>
      <c r="P154" s="154"/>
      <c r="Q154" s="169"/>
      <c r="R154" s="425"/>
      <c r="S154" s="169"/>
      <c r="T154" s="415"/>
      <c r="U154" s="441"/>
    </row>
    <row r="155" spans="2:21" x14ac:dyDescent="0.2">
      <c r="B155" s="187"/>
      <c r="C155" s="400"/>
      <c r="D155" s="332"/>
      <c r="E155" s="188"/>
      <c r="F155" s="400"/>
      <c r="G155" s="188"/>
      <c r="H155" s="188"/>
      <c r="I155" s="188"/>
      <c r="J155" s="188"/>
      <c r="K155" s="188"/>
      <c r="L155" s="400"/>
      <c r="M155" s="188"/>
      <c r="N155" s="188"/>
      <c r="O155" s="188"/>
      <c r="P155" s="188"/>
      <c r="Q155" s="188"/>
      <c r="R155" s="400"/>
      <c r="S155" s="188"/>
      <c r="T155" s="188"/>
      <c r="U155" s="432"/>
    </row>
    <row r="156" spans="2:21" x14ac:dyDescent="0.2">
      <c r="B156" s="154"/>
      <c r="C156" s="398"/>
      <c r="D156" s="333"/>
      <c r="E156" s="154"/>
      <c r="F156" s="398"/>
      <c r="G156" s="154"/>
      <c r="H156" s="154"/>
      <c r="I156" s="154"/>
      <c r="J156" s="154"/>
      <c r="K156" s="154"/>
      <c r="L156" s="398"/>
      <c r="M156" s="154"/>
      <c r="N156" s="154"/>
      <c r="O156" s="154"/>
      <c r="P156" s="154"/>
      <c r="Q156" s="154"/>
      <c r="R156" s="398"/>
      <c r="S156" s="154"/>
      <c r="T156" s="154"/>
      <c r="U156" s="154"/>
    </row>
    <row r="157" spans="2:21" x14ac:dyDescent="0.2">
      <c r="B157" s="192" t="s">
        <v>104</v>
      </c>
      <c r="C157" s="420"/>
      <c r="D157" s="435"/>
      <c r="E157" s="158"/>
      <c r="F157" s="421"/>
      <c r="G157" s="158"/>
      <c r="H157" s="158"/>
      <c r="I157" s="158"/>
      <c r="J157" s="158"/>
      <c r="K157" s="158"/>
      <c r="L157" s="421"/>
      <c r="M157" s="158"/>
      <c r="N157" s="158"/>
      <c r="O157" s="158"/>
      <c r="P157" s="158"/>
      <c r="Q157" s="158"/>
      <c r="R157" s="421"/>
      <c r="S157" s="158"/>
      <c r="T157" s="158"/>
      <c r="U157" s="422"/>
    </row>
    <row r="158" spans="2:21" x14ac:dyDescent="0.2">
      <c r="B158" s="195"/>
      <c r="C158" s="398"/>
      <c r="D158" s="174"/>
      <c r="E158" s="154"/>
      <c r="F158" s="398"/>
      <c r="G158" s="154"/>
      <c r="H158" s="154"/>
      <c r="I158" s="154"/>
      <c r="J158" s="154"/>
      <c r="K158" s="154"/>
      <c r="L158" s="398"/>
      <c r="M158" s="154"/>
      <c r="N158" s="154"/>
      <c r="O158" s="154"/>
      <c r="P158" s="154"/>
      <c r="Q158" s="154"/>
      <c r="R158" s="398"/>
      <c r="S158" s="154"/>
      <c r="T158" s="154"/>
      <c r="U158" s="431"/>
    </row>
    <row r="159" spans="2:21" x14ac:dyDescent="0.2">
      <c r="B159" s="167" t="s">
        <v>66</v>
      </c>
      <c r="C159" s="410">
        <f>'Exh JDT-5 (JDT-INTRPL-RD)'!E74</f>
        <v>457.76</v>
      </c>
      <c r="D159" s="170">
        <f>'Exh JDT-5 (JDT-INTRPL-RD)'!$H$74</f>
        <v>457.76</v>
      </c>
      <c r="E159" s="169">
        <v>96</v>
      </c>
      <c r="F159" s="411">
        <f t="shared" ref="F159:F160" si="16">SUM(+E159*C159)</f>
        <v>43944.959999999999</v>
      </c>
      <c r="G159" s="196">
        <f>SUM(+E159*D159)</f>
        <v>43944.959999999999</v>
      </c>
      <c r="H159" s="196"/>
      <c r="I159" s="196"/>
      <c r="J159" s="154"/>
      <c r="K159" s="169">
        <v>96</v>
      </c>
      <c r="L159" s="411">
        <f t="shared" ref="L159:L160" si="17">SUM(+K159*C159)</f>
        <v>43944.959999999999</v>
      </c>
      <c r="M159" s="196">
        <f>SUM(+K159*D159)</f>
        <v>43944.959999999999</v>
      </c>
      <c r="N159" s="196"/>
      <c r="O159" s="196"/>
      <c r="P159" s="154"/>
      <c r="Q159" s="169"/>
      <c r="R159" s="411"/>
      <c r="S159" s="196"/>
      <c r="T159" s="196"/>
      <c r="U159" s="409"/>
    </row>
    <row r="160" spans="2:21" x14ac:dyDescent="0.2">
      <c r="B160" s="195" t="s">
        <v>143</v>
      </c>
      <c r="C160" s="410">
        <f>'Exh JDT-5 (JDT-INTRPL-RD)'!E75</f>
        <v>1.35</v>
      </c>
      <c r="D160" s="170">
        <f>'Exh JDT-5 (JDT-INTRPL-RD)'!$H$75</f>
        <v>1.35</v>
      </c>
      <c r="E160" s="169">
        <v>19344</v>
      </c>
      <c r="F160" s="411">
        <f t="shared" si="16"/>
        <v>26114.400000000001</v>
      </c>
      <c r="G160" s="196">
        <f>SUM(+E160*D160)</f>
        <v>26114.400000000001</v>
      </c>
      <c r="H160" s="196"/>
      <c r="I160" s="196"/>
      <c r="J160" s="154"/>
      <c r="K160" s="169">
        <v>19344</v>
      </c>
      <c r="L160" s="411">
        <f t="shared" si="17"/>
        <v>26114.400000000001</v>
      </c>
      <c r="M160" s="196">
        <f>SUM(+K160*D160)</f>
        <v>26114.400000000001</v>
      </c>
      <c r="N160" s="196"/>
      <c r="O160" s="196"/>
      <c r="P160" s="154"/>
      <c r="Q160" s="169"/>
      <c r="R160" s="411"/>
      <c r="S160" s="196"/>
      <c r="T160" s="196"/>
      <c r="U160" s="409"/>
    </row>
    <row r="161" spans="2:21" x14ac:dyDescent="0.2">
      <c r="B161" s="195" t="s">
        <v>154</v>
      </c>
      <c r="C161" s="412"/>
      <c r="D161" s="174"/>
      <c r="E161" s="169"/>
      <c r="F161" s="425"/>
      <c r="G161" s="196">
        <v>0</v>
      </c>
      <c r="H161" s="196"/>
      <c r="I161" s="196"/>
      <c r="J161" s="154"/>
      <c r="K161" s="169"/>
      <c r="L161" s="425"/>
      <c r="M161" s="196">
        <v>0</v>
      </c>
      <c r="N161" s="196"/>
      <c r="O161" s="196"/>
      <c r="P161" s="154"/>
      <c r="Q161" s="169"/>
      <c r="R161" s="425"/>
      <c r="S161" s="196"/>
      <c r="T161" s="196"/>
      <c r="U161" s="409"/>
    </row>
    <row r="162" spans="2:21" x14ac:dyDescent="0.2">
      <c r="B162" s="195"/>
      <c r="C162" s="412"/>
      <c r="D162" s="174"/>
      <c r="E162" s="169"/>
      <c r="F162" s="425"/>
      <c r="G162" s="196"/>
      <c r="H162" s="196"/>
      <c r="I162" s="196"/>
      <c r="J162" s="154"/>
      <c r="K162" s="169"/>
      <c r="L162" s="425"/>
      <c r="M162" s="196"/>
      <c r="N162" s="196"/>
      <c r="O162" s="196"/>
      <c r="P162" s="154"/>
      <c r="Q162" s="169"/>
      <c r="R162" s="425"/>
      <c r="S162" s="196"/>
      <c r="T162" s="196"/>
      <c r="U162" s="409"/>
    </row>
    <row r="163" spans="2:21" x14ac:dyDescent="0.2">
      <c r="B163" s="195" t="s">
        <v>145</v>
      </c>
      <c r="C163" s="412"/>
      <c r="D163" s="174"/>
      <c r="E163" s="154"/>
      <c r="F163" s="398"/>
      <c r="G163" s="154"/>
      <c r="H163" s="154"/>
      <c r="I163" s="154"/>
      <c r="J163" s="154"/>
      <c r="K163" s="154"/>
      <c r="L163" s="398"/>
      <c r="M163" s="154"/>
      <c r="N163" s="154"/>
      <c r="O163" s="154"/>
      <c r="P163" s="154"/>
      <c r="Q163" s="154"/>
      <c r="R163" s="398"/>
      <c r="S163" s="154"/>
      <c r="T163" s="154"/>
      <c r="U163" s="431"/>
    </row>
    <row r="164" spans="2:21" x14ac:dyDescent="0.2">
      <c r="B164" s="195" t="s">
        <v>102</v>
      </c>
      <c r="C164" s="412">
        <f>'Exh JDT-5 (JDT-INTRPL-RD)'!E79</f>
        <v>0.18382000000000001</v>
      </c>
      <c r="D164" s="174">
        <f>'Exh JDT-5 (JDT-INTRPL-RD)'!$H$79</f>
        <v>0.19567999999999999</v>
      </c>
      <c r="E164" s="169">
        <v>53730.333141622155</v>
      </c>
      <c r="F164" s="411">
        <f t="shared" ref="F164:F165" si="18">SUM(+E164*C164)</f>
        <v>9876.7098380929856</v>
      </c>
      <c r="G164" s="196">
        <f>SUM(+E164*D164)</f>
        <v>10513.951589152623</v>
      </c>
      <c r="H164" s="196"/>
      <c r="I164" s="196"/>
      <c r="J164" s="154"/>
      <c r="K164" s="169">
        <v>57325.470723610815</v>
      </c>
      <c r="L164" s="411">
        <f t="shared" ref="L164:L165" si="19">SUM(+K164*C164)</f>
        <v>10537.56802841414</v>
      </c>
      <c r="M164" s="196">
        <f>SUM(+K164*D164)</f>
        <v>11217.448111196163</v>
      </c>
      <c r="N164" s="196"/>
      <c r="O164" s="196"/>
      <c r="P164" s="154"/>
      <c r="Q164" s="169"/>
      <c r="R164" s="411"/>
      <c r="S164" s="196"/>
      <c r="T164" s="196"/>
      <c r="U164" s="431"/>
    </row>
    <row r="165" spans="2:21" x14ac:dyDescent="0.2">
      <c r="B165" s="195" t="s">
        <v>103</v>
      </c>
      <c r="C165" s="412">
        <f>'Exh JDT-5 (JDT-INTRPL-RD)'!E80</f>
        <v>0.13031000000000001</v>
      </c>
      <c r="D165" s="174">
        <f>'Exh JDT-5 (JDT-INTRPL-RD)'!$H$80</f>
        <v>0.13871</v>
      </c>
      <c r="E165" s="169">
        <v>488678.66685837781</v>
      </c>
      <c r="F165" s="411">
        <f t="shared" si="18"/>
        <v>63679.717078315218</v>
      </c>
      <c r="G165" s="196">
        <f>SUM(+E165*D165)</f>
        <v>67784.617879925587</v>
      </c>
      <c r="H165" s="196"/>
      <c r="I165" s="196"/>
      <c r="J165" s="154"/>
      <c r="K165" s="169">
        <v>521376.5292763891</v>
      </c>
      <c r="L165" s="411">
        <f t="shared" si="19"/>
        <v>67940.575530006274</v>
      </c>
      <c r="M165" s="196">
        <f>SUM(+K165*D165)</f>
        <v>72320.138375927927</v>
      </c>
      <c r="N165" s="196"/>
      <c r="O165" s="196"/>
      <c r="P165" s="154"/>
      <c r="Q165" s="169"/>
      <c r="R165" s="402"/>
      <c r="S165" s="189"/>
      <c r="T165" s="196"/>
      <c r="U165" s="431"/>
    </row>
    <row r="166" spans="2:21" x14ac:dyDescent="0.2">
      <c r="B166" s="167" t="s">
        <v>130</v>
      </c>
      <c r="C166" s="424"/>
      <c r="D166" s="174"/>
      <c r="E166" s="273">
        <f>SUM(E164:E165)</f>
        <v>542409</v>
      </c>
      <c r="F166" s="434">
        <f>SUM(F159:F165)</f>
        <v>143615.78691640819</v>
      </c>
      <c r="G166" s="311">
        <f>SUM(G159:G165)</f>
        <v>148357.9294690782</v>
      </c>
      <c r="H166" s="199"/>
      <c r="I166" s="199"/>
      <c r="J166" s="154"/>
      <c r="K166" s="273">
        <f>SUM(K164:K165)</f>
        <v>578701.99999999988</v>
      </c>
      <c r="L166" s="434">
        <f>SUM(L159:L165)</f>
        <v>148537.5035584204</v>
      </c>
      <c r="M166" s="311">
        <f>SUM(M159:M165)</f>
        <v>153596.94648712408</v>
      </c>
      <c r="N166" s="199"/>
      <c r="O166" s="199"/>
      <c r="P166" s="154"/>
      <c r="Q166" s="273"/>
      <c r="R166" s="436"/>
      <c r="S166" s="199"/>
      <c r="T166" s="199"/>
      <c r="U166" s="431"/>
    </row>
    <row r="167" spans="2:21" x14ac:dyDescent="0.2">
      <c r="B167" s="167"/>
      <c r="C167" s="424"/>
      <c r="D167" s="174"/>
      <c r="E167" s="169"/>
      <c r="F167" s="425"/>
      <c r="G167" s="199"/>
      <c r="H167" s="199"/>
      <c r="I167" s="199"/>
      <c r="J167" s="154"/>
      <c r="K167" s="169"/>
      <c r="L167" s="425"/>
      <c r="M167" s="199"/>
      <c r="N167" s="199"/>
      <c r="O167" s="199"/>
      <c r="P167" s="154"/>
      <c r="Q167" s="169"/>
      <c r="R167" s="425"/>
      <c r="S167" s="199"/>
      <c r="T167" s="199"/>
      <c r="U167" s="431"/>
    </row>
    <row r="168" spans="2:21" x14ac:dyDescent="0.2">
      <c r="B168" s="439" t="s">
        <v>187</v>
      </c>
      <c r="C168" s="440"/>
      <c r="D168" s="170"/>
      <c r="E168" s="170"/>
      <c r="F168" s="434">
        <f>F166</f>
        <v>143615.78691640819</v>
      </c>
      <c r="G168" s="311">
        <f>G166</f>
        <v>148357.9294690782</v>
      </c>
      <c r="H168" s="199"/>
      <c r="I168" s="199"/>
      <c r="J168" s="154"/>
      <c r="K168" s="169"/>
      <c r="L168" s="434">
        <f>L166</f>
        <v>148537.5035584204</v>
      </c>
      <c r="M168" s="311">
        <f>M166</f>
        <v>153596.94648712408</v>
      </c>
      <c r="N168" s="199"/>
      <c r="O168" s="199"/>
      <c r="P168" s="154"/>
      <c r="Q168" s="169"/>
      <c r="R168" s="434"/>
      <c r="S168" s="311"/>
      <c r="T168" s="199"/>
      <c r="U168" s="431"/>
    </row>
    <row r="169" spans="2:21" x14ac:dyDescent="0.2">
      <c r="B169" s="195" t="s">
        <v>183</v>
      </c>
      <c r="C169" s="398"/>
      <c r="D169" s="170"/>
      <c r="E169" s="169"/>
      <c r="F169" s="425"/>
      <c r="G169" s="199"/>
      <c r="H169" s="189">
        <f>H$139*E166</f>
        <v>-119.32998000000001</v>
      </c>
      <c r="I169" s="189">
        <f>I$139*E166</f>
        <v>5646.4776900000006</v>
      </c>
      <c r="J169" s="154"/>
      <c r="K169" s="169"/>
      <c r="L169" s="425"/>
      <c r="M169" s="199"/>
      <c r="N169" s="189">
        <f>N$139*K166</f>
        <v>-3877.3033999999993</v>
      </c>
      <c r="O169" s="189">
        <f>O$139*K166</f>
        <v>12627.277639999997</v>
      </c>
      <c r="P169" s="154"/>
      <c r="Q169" s="169"/>
      <c r="R169" s="425"/>
      <c r="S169" s="169"/>
      <c r="T169" s="189"/>
      <c r="U169" s="419"/>
    </row>
    <row r="170" spans="2:21" x14ac:dyDescent="0.2">
      <c r="B170" s="203" t="str">
        <f>"Total "&amp;B157</f>
        <v>Total Schedule 86 - Transportation</v>
      </c>
      <c r="C170" s="423"/>
      <c r="D170" s="170"/>
      <c r="E170" s="169"/>
      <c r="F170" s="425"/>
      <c r="G170" s="199"/>
      <c r="H170" s="196"/>
      <c r="I170" s="415">
        <f>G168+H169+I169</f>
        <v>153885.07717907819</v>
      </c>
      <c r="J170" s="154"/>
      <c r="K170" s="169"/>
      <c r="L170" s="425"/>
      <c r="M170" s="199"/>
      <c r="N170" s="196"/>
      <c r="O170" s="415">
        <f>M168+N169+O169</f>
        <v>162346.92072712406</v>
      </c>
      <c r="P170" s="154"/>
      <c r="Q170" s="169"/>
      <c r="R170" s="425"/>
      <c r="S170" s="169"/>
      <c r="T170" s="415"/>
      <c r="U170" s="441"/>
    </row>
    <row r="171" spans="2:21" x14ac:dyDescent="0.2">
      <c r="B171" s="187"/>
      <c r="C171" s="400"/>
      <c r="D171" s="325"/>
      <c r="E171" s="188"/>
      <c r="F171" s="400"/>
      <c r="G171" s="188"/>
      <c r="H171" s="188"/>
      <c r="I171" s="188"/>
      <c r="J171" s="188"/>
      <c r="K171" s="188"/>
      <c r="L171" s="400"/>
      <c r="M171" s="188"/>
      <c r="N171" s="188"/>
      <c r="O171" s="188"/>
      <c r="P171" s="188"/>
      <c r="Q171" s="188"/>
      <c r="R171" s="400"/>
      <c r="S171" s="188"/>
      <c r="T171" s="188"/>
      <c r="U171" s="432"/>
    </row>
    <row r="172" spans="2:21" x14ac:dyDescent="0.2">
      <c r="B172" s="154"/>
      <c r="C172" s="398"/>
      <c r="D172" s="174"/>
      <c r="E172" s="154"/>
      <c r="F172" s="398"/>
      <c r="G172" s="154"/>
      <c r="H172" s="154"/>
      <c r="I172" s="154"/>
      <c r="J172" s="154"/>
      <c r="K172" s="154"/>
      <c r="L172" s="398"/>
      <c r="M172" s="154"/>
      <c r="N172" s="154"/>
      <c r="O172" s="154"/>
      <c r="P172" s="154"/>
      <c r="Q172" s="154"/>
      <c r="R172" s="398"/>
      <c r="S172" s="154"/>
      <c r="T172" s="154"/>
      <c r="U172" s="154"/>
    </row>
    <row r="173" spans="2:21" x14ac:dyDescent="0.2">
      <c r="B173" s="391" t="s">
        <v>189</v>
      </c>
      <c r="C173" s="392"/>
      <c r="D173" s="393"/>
      <c r="E173" s="273">
        <f>E191+E209</f>
        <v>150772868.4078348</v>
      </c>
      <c r="F173" s="394"/>
      <c r="G173" s="254"/>
      <c r="H173" s="254">
        <f>'Exh JDT-5 (JDT-Rate Spread)'!K70</f>
        <v>-12835.58216776257</v>
      </c>
      <c r="I173" s="254">
        <f>'Exh JDT-5 (JDT-Rate Spread)'!K81</f>
        <v>617149.0918734998</v>
      </c>
      <c r="J173" s="395"/>
      <c r="K173" s="273">
        <f>K191+K209</f>
        <v>163828422.4078348</v>
      </c>
      <c r="L173" s="394"/>
      <c r="M173" s="395"/>
      <c r="N173" s="254">
        <f>'Exh JDT-5 (JDT-Rate Spread)'!K74</f>
        <v>-386601.92587943975</v>
      </c>
      <c r="O173" s="254">
        <f>'Exh JDT-5 (JDT-Rate Spread)'!K82</f>
        <v>1259127.1567800376</v>
      </c>
      <c r="P173" s="395"/>
      <c r="Q173" s="273"/>
      <c r="R173" s="394"/>
      <c r="S173" s="396"/>
      <c r="T173" s="254"/>
      <c r="U173" s="397"/>
    </row>
    <row r="174" spans="2:21" x14ac:dyDescent="0.2">
      <c r="B174" s="195"/>
      <c r="C174" s="398"/>
      <c r="D174" s="154"/>
      <c r="E174" s="154"/>
      <c r="F174" s="398"/>
      <c r="G174" s="442" t="s">
        <v>190</v>
      </c>
      <c r="H174" s="443">
        <f>H173/SUM(G185:G190,G203:G208)</f>
        <v>-1.9962646345806074E-3</v>
      </c>
      <c r="I174" s="443">
        <f>I173/SUM(G185:G190,G203:G208)</f>
        <v>9.5982627844091006E-2</v>
      </c>
      <c r="K174" s="154"/>
      <c r="L174" s="398"/>
      <c r="M174" s="170"/>
      <c r="N174" s="443">
        <f>N173/SUM(M185:M190,M203:M208)</f>
        <v>-5.7236273609936272E-2</v>
      </c>
      <c r="O174" s="443">
        <f>O173/SUM(M185:M190,M203:M208)</f>
        <v>0.18641331465492333</v>
      </c>
      <c r="Q174" s="154"/>
      <c r="R174" s="398"/>
      <c r="S174" s="170"/>
      <c r="T174" s="174"/>
      <c r="U174" s="399"/>
    </row>
    <row r="175" spans="2:21" x14ac:dyDescent="0.2">
      <c r="B175" s="187"/>
      <c r="C175" s="400"/>
      <c r="D175" s="188"/>
      <c r="E175" s="401" t="s">
        <v>129</v>
      </c>
      <c r="F175" s="402">
        <f>F191+F211</f>
        <v>6484148.915463971</v>
      </c>
      <c r="G175" s="189">
        <f>G191+G211</f>
        <v>7307073.8799999999</v>
      </c>
      <c r="H175" s="444">
        <f>H174*0.33</f>
        <v>-6.5876732941160053E-4</v>
      </c>
      <c r="I175" s="444">
        <f>I174*0.33</f>
        <v>3.1674267188550036E-2</v>
      </c>
      <c r="J175" s="316"/>
      <c r="K175" s="401" t="s">
        <v>129</v>
      </c>
      <c r="L175" s="402">
        <f>L191+L211</f>
        <v>6797351.655923971</v>
      </c>
      <c r="M175" s="189">
        <f>M191+M211</f>
        <v>7631765.5099999998</v>
      </c>
      <c r="N175" s="444">
        <f>N174*0.33</f>
        <v>-1.888797029127897E-2</v>
      </c>
      <c r="O175" s="444">
        <f>O174*0.33</f>
        <v>6.15163938361247E-2</v>
      </c>
      <c r="P175" s="316"/>
      <c r="Q175" s="401"/>
      <c r="R175" s="402"/>
      <c r="S175" s="189"/>
      <c r="T175" s="403"/>
      <c r="U175" s="419"/>
    </row>
    <row r="176" spans="2:21" x14ac:dyDescent="0.2">
      <c r="B176" s="428"/>
      <c r="C176" s="429"/>
      <c r="D176" s="430"/>
      <c r="E176" s="158"/>
      <c r="F176" s="421"/>
      <c r="G176" s="158"/>
      <c r="H176" s="443">
        <f>((H173-SUM(H190*E190,H208*E208)))/SUM(G185:G189,G203:G207)</f>
        <v>-2.5649541870232514E-3</v>
      </c>
      <c r="I176" s="443">
        <f>((I173-SUM(I190*E190,I208*E208)))/SUM(G185:G189,G203:G207)</f>
        <v>0.12661790715906024</v>
      </c>
      <c r="J176" s="158"/>
      <c r="K176" s="158"/>
      <c r="L176" s="421"/>
      <c r="M176" s="158"/>
      <c r="N176" s="443">
        <f>((N173-SUM(N190*K190,N208*K208)))/SUM(M185:M189,M203:M207)</f>
        <v>-7.8385188403230346E-2</v>
      </c>
      <c r="O176" s="443">
        <f>((O173-SUM(O190*K190,O208*K208)))/SUM(M185:M189,M203:M207)</f>
        <v>0.25530996893054242</v>
      </c>
      <c r="P176" s="158"/>
      <c r="Q176" s="158"/>
      <c r="R176" s="421"/>
      <c r="S176" s="158"/>
      <c r="T176" s="158"/>
      <c r="U176" s="422"/>
    </row>
    <row r="177" spans="2:21" x14ac:dyDescent="0.2">
      <c r="B177" s="192" t="s">
        <v>106</v>
      </c>
      <c r="C177" s="420"/>
      <c r="D177" s="435"/>
      <c r="E177" s="158"/>
      <c r="F177" s="421"/>
      <c r="G177" s="158"/>
      <c r="H177" s="158"/>
      <c r="I177" s="158"/>
      <c r="J177" s="158"/>
      <c r="K177" s="158"/>
      <c r="L177" s="421"/>
      <c r="M177" s="158"/>
      <c r="N177" s="158"/>
      <c r="O177" s="158"/>
      <c r="P177" s="158"/>
      <c r="Q177" s="158"/>
      <c r="R177" s="421"/>
      <c r="S177" s="158"/>
      <c r="T177" s="158"/>
      <c r="U177" s="422"/>
    </row>
    <row r="178" spans="2:21" x14ac:dyDescent="0.2">
      <c r="B178" s="195"/>
      <c r="C178" s="398"/>
      <c r="D178" s="174"/>
      <c r="E178" s="154"/>
      <c r="F178" s="398"/>
      <c r="G178" s="154"/>
      <c r="H178" s="154"/>
      <c r="I178" s="154"/>
      <c r="J178" s="154"/>
      <c r="K178" s="154"/>
      <c r="L178" s="398"/>
      <c r="M178" s="154"/>
      <c r="N178" s="154"/>
      <c r="O178" s="154"/>
      <c r="P178" s="154"/>
      <c r="Q178" s="154"/>
      <c r="R178" s="398"/>
      <c r="S178" s="154"/>
      <c r="T178" s="154"/>
      <c r="U178" s="431"/>
    </row>
    <row r="179" spans="2:21" x14ac:dyDescent="0.2">
      <c r="B179" s="167" t="s">
        <v>66</v>
      </c>
      <c r="C179" s="410">
        <f>'Exh JDT-5 (JDT-INTRPL-RD)'!E104</f>
        <v>606.5</v>
      </c>
      <c r="D179" s="170">
        <f>'Exh JDT-5 (JDT-INTRPL-RD)'!$H$104</f>
        <v>715.15</v>
      </c>
      <c r="E179" s="169">
        <v>60</v>
      </c>
      <c r="F179" s="411">
        <f t="shared" ref="F179:F180" si="20">SUM(+E179*C179)</f>
        <v>36390</v>
      </c>
      <c r="G179" s="196">
        <f>ROUND(E179*D179,2)</f>
        <v>42909</v>
      </c>
      <c r="H179" s="196"/>
      <c r="I179" s="196"/>
      <c r="J179" s="154"/>
      <c r="K179" s="169">
        <v>60</v>
      </c>
      <c r="L179" s="411">
        <f t="shared" ref="L179:L181" si="21">SUM(+K179*C179)</f>
        <v>36390</v>
      </c>
      <c r="M179" s="196">
        <f>ROUND(K179*D179,2)</f>
        <v>42909</v>
      </c>
      <c r="N179" s="196"/>
      <c r="O179" s="196"/>
      <c r="P179" s="154"/>
      <c r="Q179" s="169"/>
      <c r="R179" s="411"/>
      <c r="S179" s="196"/>
      <c r="T179" s="196"/>
      <c r="U179" s="409"/>
    </row>
    <row r="180" spans="2:21" x14ac:dyDescent="0.2">
      <c r="B180" s="195" t="s">
        <v>143</v>
      </c>
      <c r="C180" s="410">
        <f>'Exh JDT-5 (JDT-INTRPL-RD)'!E105</f>
        <v>1.45</v>
      </c>
      <c r="D180" s="170">
        <f>'Exh JDT-5 (JDT-INTRPL-RD)'!$H$105</f>
        <v>1.45</v>
      </c>
      <c r="E180" s="169">
        <v>0</v>
      </c>
      <c r="F180" s="411">
        <f t="shared" si="20"/>
        <v>0</v>
      </c>
      <c r="G180" s="196">
        <f>ROUND(E180*D180,2)</f>
        <v>0</v>
      </c>
      <c r="H180" s="196"/>
      <c r="I180" s="196"/>
      <c r="J180" s="154"/>
      <c r="K180" s="169">
        <v>0</v>
      </c>
      <c r="L180" s="411">
        <f t="shared" si="21"/>
        <v>0</v>
      </c>
      <c r="M180" s="196">
        <f>ROUND(K180*D180,2)</f>
        <v>0</v>
      </c>
      <c r="N180" s="196"/>
      <c r="O180" s="196"/>
      <c r="P180" s="154"/>
      <c r="Q180" s="169"/>
      <c r="R180" s="411"/>
      <c r="S180" s="196"/>
      <c r="T180" s="196"/>
      <c r="U180" s="409"/>
    </row>
    <row r="181" spans="2:21" x14ac:dyDescent="0.2">
      <c r="B181" s="195" t="s">
        <v>68</v>
      </c>
      <c r="C181" s="412">
        <f>'Exh JDT-5 (JDT-INTRPL-RD)'!E106</f>
        <v>8.43E-3</v>
      </c>
      <c r="D181" s="174">
        <f>'Exh JDT-5 (JDT-INTRPL-RD)'!$H$106</f>
        <v>9.3699999999999999E-3</v>
      </c>
      <c r="E181" s="169">
        <f>E191</f>
        <v>21819455.762355208</v>
      </c>
      <c r="F181" s="411">
        <f>SUM(+E181*C181)</f>
        <v>183938.01207665441</v>
      </c>
      <c r="G181" s="196">
        <f>ROUND(E181*D181,2)</f>
        <v>204448.3</v>
      </c>
      <c r="H181" s="196"/>
      <c r="I181" s="196"/>
      <c r="J181" s="154"/>
      <c r="K181" s="169">
        <f>K191</f>
        <v>21819455.762355208</v>
      </c>
      <c r="L181" s="411">
        <f t="shared" si="21"/>
        <v>183938.01207665441</v>
      </c>
      <c r="M181" s="196">
        <f>ROUND(K181*D181,2)</f>
        <v>204448.3</v>
      </c>
      <c r="N181" s="196"/>
      <c r="O181" s="196"/>
      <c r="P181" s="154"/>
      <c r="Q181" s="169"/>
      <c r="R181" s="411"/>
      <c r="S181" s="196"/>
      <c r="T181" s="196"/>
      <c r="U181" s="409"/>
    </row>
    <row r="182" spans="2:21" x14ac:dyDescent="0.2">
      <c r="B182" s="195" t="s">
        <v>154</v>
      </c>
      <c r="C182" s="398"/>
      <c r="D182" s="170"/>
      <c r="E182" s="154"/>
      <c r="F182" s="411">
        <f>G182</f>
        <v>51086.770000000004</v>
      </c>
      <c r="G182" s="196">
        <v>51086.770000000004</v>
      </c>
      <c r="H182" s="196"/>
      <c r="I182" s="196"/>
      <c r="J182" s="154"/>
      <c r="K182" s="154"/>
      <c r="L182" s="411">
        <f>M182</f>
        <v>51086.770000000004</v>
      </c>
      <c r="M182" s="196">
        <v>51086.770000000004</v>
      </c>
      <c r="N182" s="196"/>
      <c r="O182" s="196"/>
      <c r="P182" s="154"/>
      <c r="Q182" s="154"/>
      <c r="R182" s="411"/>
      <c r="S182" s="196"/>
      <c r="T182" s="196"/>
      <c r="U182" s="409"/>
    </row>
    <row r="183" spans="2:21" x14ac:dyDescent="0.2">
      <c r="B183" s="195"/>
      <c r="C183" s="398"/>
      <c r="D183" s="170"/>
      <c r="E183" s="154"/>
      <c r="F183" s="398"/>
      <c r="G183" s="154"/>
      <c r="H183" s="154"/>
      <c r="I183" s="154"/>
      <c r="J183" s="154"/>
      <c r="K183" s="154"/>
      <c r="L183" s="398"/>
      <c r="M183" s="154"/>
      <c r="N183" s="154"/>
      <c r="O183" s="154"/>
      <c r="P183" s="154"/>
      <c r="Q183" s="154"/>
      <c r="R183" s="398"/>
      <c r="S183" s="154"/>
      <c r="T183" s="154"/>
      <c r="U183" s="431"/>
    </row>
    <row r="184" spans="2:21" x14ac:dyDescent="0.2">
      <c r="B184" s="195" t="s">
        <v>145</v>
      </c>
      <c r="C184" s="398"/>
      <c r="D184" s="170"/>
      <c r="E184" s="154"/>
      <c r="F184" s="398"/>
      <c r="G184" s="154"/>
      <c r="H184" s="154"/>
      <c r="I184" s="154"/>
      <c r="J184" s="154"/>
      <c r="K184" s="154"/>
      <c r="L184" s="398"/>
      <c r="M184" s="154"/>
      <c r="N184" s="154"/>
      <c r="O184" s="154"/>
      <c r="P184" s="154"/>
      <c r="Q184" s="154"/>
      <c r="R184" s="398"/>
      <c r="S184" s="154"/>
      <c r="T184" s="154"/>
      <c r="U184" s="431"/>
    </row>
    <row r="185" spans="2:21" x14ac:dyDescent="0.2">
      <c r="B185" s="195" t="s">
        <v>96</v>
      </c>
      <c r="C185" s="412">
        <f>'Exh JDT-5 (JDT-INTRPL-RD)'!E110</f>
        <v>0.17533000000000001</v>
      </c>
      <c r="D185" s="174">
        <f>'Exh JDT-5 (JDT-INTRPL-RD)'!$H$110</f>
        <v>0.20896999999999999</v>
      </c>
      <c r="E185" s="169">
        <v>1512193</v>
      </c>
      <c r="F185" s="411">
        <f t="shared" ref="F185:F190" si="22">SUM(+E185*C185)</f>
        <v>265132.79869000003</v>
      </c>
      <c r="G185" s="196">
        <f t="shared" ref="G185:G190" si="23">ROUND(E185*D185,2)</f>
        <v>316002.96999999997</v>
      </c>
      <c r="H185" s="445">
        <f>ROUND((G185*H$176)/E185,5)</f>
        <v>-5.4000000000000001E-4</v>
      </c>
      <c r="I185" s="445">
        <f>ROUND((G185*I$176)/E185,5)</f>
        <v>2.6460000000000001E-2</v>
      </c>
      <c r="J185" s="154"/>
      <c r="K185" s="169">
        <v>1512193</v>
      </c>
      <c r="L185" s="411">
        <f t="shared" ref="L185:L190" si="24">SUM(+K185*C185)</f>
        <v>265132.79869000003</v>
      </c>
      <c r="M185" s="196">
        <f t="shared" ref="M185:M190" si="25">ROUND(K185*D185,2)</f>
        <v>316002.96999999997</v>
      </c>
      <c r="N185" s="445">
        <f>ROUND((M185*N$176)/K185,5)</f>
        <v>-1.6379999999999999E-2</v>
      </c>
      <c r="O185" s="445">
        <f>ROUND((M185*O$176)/K185,5)</f>
        <v>5.3350000000000002E-2</v>
      </c>
      <c r="P185" s="154"/>
      <c r="Q185" s="169"/>
      <c r="R185" s="411"/>
      <c r="S185" s="196"/>
      <c r="T185" s="196"/>
      <c r="U185" s="409"/>
    </row>
    <row r="186" spans="2:21" x14ac:dyDescent="0.2">
      <c r="B186" s="195" t="s">
        <v>97</v>
      </c>
      <c r="C186" s="412">
        <f>'Exh JDT-5 (JDT-INTRPL-RD)'!E111</f>
        <v>0.10595</v>
      </c>
      <c r="D186" s="174">
        <f>'Exh JDT-5 (JDT-INTRPL-RD)'!$H$111</f>
        <v>0.12628</v>
      </c>
      <c r="E186" s="169">
        <v>1398016.115</v>
      </c>
      <c r="F186" s="411">
        <f t="shared" si="22"/>
        <v>148119.80738425002</v>
      </c>
      <c r="G186" s="196">
        <f t="shared" si="23"/>
        <v>176541.48</v>
      </c>
      <c r="H186" s="445">
        <f t="shared" ref="H186:H188" si="26">ROUND((G186*H$176)/E186,5)</f>
        <v>-3.2000000000000003E-4</v>
      </c>
      <c r="I186" s="445">
        <f t="shared" ref="I186:I189" si="27">ROUND((G186*I$176)/E186,5)</f>
        <v>1.5990000000000001E-2</v>
      </c>
      <c r="J186" s="154"/>
      <c r="K186" s="169">
        <v>1398016.115</v>
      </c>
      <c r="L186" s="411">
        <f t="shared" si="24"/>
        <v>148119.80738425002</v>
      </c>
      <c r="M186" s="196">
        <f t="shared" si="25"/>
        <v>176541.48</v>
      </c>
      <c r="N186" s="445">
        <f t="shared" ref="N186:N188" si="28">ROUND((M186*N$176)/K186,5)</f>
        <v>-9.9000000000000008E-3</v>
      </c>
      <c r="O186" s="445">
        <f t="shared" ref="O186:O189" si="29">ROUND((M186*O$176)/K186,5)</f>
        <v>3.2239999999999998E-2</v>
      </c>
      <c r="P186" s="154"/>
      <c r="Q186" s="169"/>
      <c r="R186" s="411"/>
      <c r="S186" s="196"/>
      <c r="T186" s="196"/>
      <c r="U186" s="409"/>
    </row>
    <row r="187" spans="2:21" x14ac:dyDescent="0.2">
      <c r="B187" s="195" t="s">
        <v>107</v>
      </c>
      <c r="C187" s="412">
        <f>'Exh JDT-5 (JDT-INTRPL-RD)'!E112</f>
        <v>6.7419999999999994E-2</v>
      </c>
      <c r="D187" s="174">
        <f>'Exh JDT-5 (JDT-INTRPL-RD)'!$H$112</f>
        <v>8.0350000000000005E-2</v>
      </c>
      <c r="E187" s="169">
        <v>2316890.0959999999</v>
      </c>
      <c r="F187" s="411">
        <f t="shared" si="22"/>
        <v>156204.73027231998</v>
      </c>
      <c r="G187" s="196">
        <f t="shared" si="23"/>
        <v>186162.12</v>
      </c>
      <c r="H187" s="445">
        <f t="shared" si="26"/>
        <v>-2.1000000000000001E-4</v>
      </c>
      <c r="I187" s="445">
        <f t="shared" si="27"/>
        <v>1.017E-2</v>
      </c>
      <c r="J187" s="154"/>
      <c r="K187" s="169">
        <v>2316890.0959999999</v>
      </c>
      <c r="L187" s="411">
        <f t="shared" si="24"/>
        <v>156204.73027231998</v>
      </c>
      <c r="M187" s="196">
        <f t="shared" si="25"/>
        <v>186162.12</v>
      </c>
      <c r="N187" s="445">
        <f t="shared" si="28"/>
        <v>-6.3E-3</v>
      </c>
      <c r="O187" s="445">
        <f t="shared" si="29"/>
        <v>2.051E-2</v>
      </c>
      <c r="P187" s="154"/>
      <c r="Q187" s="169"/>
      <c r="R187" s="411"/>
      <c r="S187" s="196"/>
      <c r="T187" s="196"/>
      <c r="U187" s="409"/>
    </row>
    <row r="188" spans="2:21" x14ac:dyDescent="0.2">
      <c r="B188" s="195" t="s">
        <v>108</v>
      </c>
      <c r="C188" s="412">
        <f>'Exh JDT-5 (JDT-INTRPL-RD)'!E113</f>
        <v>4.3229999999999998E-2</v>
      </c>
      <c r="D188" s="174">
        <f>'Exh JDT-5 (JDT-INTRPL-RD)'!$H$113</f>
        <v>5.1520000000000003E-2</v>
      </c>
      <c r="E188" s="169">
        <v>3045256.878</v>
      </c>
      <c r="F188" s="411">
        <f t="shared" si="22"/>
        <v>131646.45483594001</v>
      </c>
      <c r="G188" s="196">
        <f t="shared" si="23"/>
        <v>156891.63</v>
      </c>
      <c r="H188" s="445">
        <f t="shared" si="26"/>
        <v>-1.2999999999999999E-4</v>
      </c>
      <c r="I188" s="445">
        <f t="shared" si="27"/>
        <v>6.5199999999999998E-3</v>
      </c>
      <c r="J188" s="154"/>
      <c r="K188" s="169">
        <v>3045256.878</v>
      </c>
      <c r="L188" s="411">
        <f t="shared" si="24"/>
        <v>131646.45483594001</v>
      </c>
      <c r="M188" s="196">
        <f t="shared" si="25"/>
        <v>156891.63</v>
      </c>
      <c r="N188" s="445">
        <f t="shared" si="28"/>
        <v>-4.0400000000000002E-3</v>
      </c>
      <c r="O188" s="445">
        <f t="shared" si="29"/>
        <v>1.315E-2</v>
      </c>
      <c r="P188" s="154"/>
      <c r="Q188" s="169"/>
      <c r="R188" s="411"/>
      <c r="S188" s="196"/>
      <c r="T188" s="196"/>
      <c r="U188" s="409"/>
    </row>
    <row r="189" spans="2:21" x14ac:dyDescent="0.2">
      <c r="B189" s="195" t="s">
        <v>109</v>
      </c>
      <c r="C189" s="412">
        <f>'Exh JDT-5 (JDT-INTRPL-RD)'!E114</f>
        <v>3.1109999999999999E-2</v>
      </c>
      <c r="D189" s="174">
        <f>'Exh JDT-5 (JDT-INTRPL-RD)'!$H$114</f>
        <v>3.7080000000000002E-2</v>
      </c>
      <c r="E189" s="169">
        <v>3792042.2029999997</v>
      </c>
      <c r="F189" s="411">
        <f t="shared" si="22"/>
        <v>117970.43293532998</v>
      </c>
      <c r="G189" s="196">
        <f t="shared" si="23"/>
        <v>140608.92000000001</v>
      </c>
      <c r="H189" s="445">
        <f>ROUND((G189*H$176)/E189,5)</f>
        <v>-1E-4</v>
      </c>
      <c r="I189" s="445">
        <f t="shared" si="27"/>
        <v>4.6899999999999997E-3</v>
      </c>
      <c r="J189" s="154"/>
      <c r="K189" s="169">
        <v>3792042.2029999997</v>
      </c>
      <c r="L189" s="411">
        <f t="shared" si="24"/>
        <v>117970.43293532998</v>
      </c>
      <c r="M189" s="196">
        <f t="shared" si="25"/>
        <v>140608.92000000001</v>
      </c>
      <c r="N189" s="445">
        <f>ROUND((M189*N$176)/K189,5)</f>
        <v>-2.9099999999999998E-3</v>
      </c>
      <c r="O189" s="445">
        <f t="shared" si="29"/>
        <v>9.4699999999999993E-3</v>
      </c>
      <c r="P189" s="154"/>
      <c r="Q189" s="169"/>
      <c r="R189" s="411"/>
      <c r="S189" s="196"/>
      <c r="T189" s="196"/>
      <c r="U189" s="409"/>
    </row>
    <row r="190" spans="2:21" x14ac:dyDescent="0.2">
      <c r="B190" s="195" t="s">
        <v>110</v>
      </c>
      <c r="C190" s="412">
        <f>'Exh JDT-5 (JDT-INTRPL-RD)'!E115</f>
        <v>2.3990000000000001E-2</v>
      </c>
      <c r="D190" s="174">
        <f>'Exh JDT-5 (JDT-INTRPL-RD)'!$H$115</f>
        <v>2.487E-2</v>
      </c>
      <c r="E190" s="190">
        <v>9755057.4703552071</v>
      </c>
      <c r="F190" s="411">
        <f t="shared" si="22"/>
        <v>234023.82871382142</v>
      </c>
      <c r="G190" s="196">
        <f t="shared" si="23"/>
        <v>242608.28</v>
      </c>
      <c r="H190" s="445">
        <f>ROUND((G190*H$175)/E190,5)</f>
        <v>-2.0000000000000002E-5</v>
      </c>
      <c r="I190" s="445">
        <f>ROUND((G190*I$175)/E190,5)</f>
        <v>7.9000000000000001E-4</v>
      </c>
      <c r="J190" s="154"/>
      <c r="K190" s="190">
        <v>9755057.4703552071</v>
      </c>
      <c r="L190" s="411">
        <f t="shared" si="24"/>
        <v>234023.82871382142</v>
      </c>
      <c r="M190" s="196">
        <f t="shared" si="25"/>
        <v>242608.28</v>
      </c>
      <c r="N190" s="445">
        <f>ROUND((M190*N$175)/K190,5)</f>
        <v>-4.6999999999999999E-4</v>
      </c>
      <c r="O190" s="445">
        <f>ROUND((M190*O$175)/K190,5)</f>
        <v>1.5299999999999999E-3</v>
      </c>
      <c r="P190" s="154"/>
      <c r="Q190" s="190"/>
      <c r="R190" s="402"/>
      <c r="S190" s="189"/>
      <c r="T190" s="196"/>
      <c r="U190" s="409"/>
    </row>
    <row r="191" spans="2:21" x14ac:dyDescent="0.2">
      <c r="B191" s="439" t="s">
        <v>187</v>
      </c>
      <c r="C191" s="440"/>
      <c r="D191" s="174"/>
      <c r="E191" s="169">
        <f>SUM(E185:E190)</f>
        <v>21819455.762355208</v>
      </c>
      <c r="F191" s="434">
        <f>SUM(F179:F190)</f>
        <v>1324512.8349083159</v>
      </c>
      <c r="G191" s="311">
        <f>SUM(G179:G190)</f>
        <v>1517259.47</v>
      </c>
      <c r="H191" s="199"/>
      <c r="I191" s="199"/>
      <c r="J191" s="154"/>
      <c r="K191" s="169">
        <f>SUM(K185:K190)</f>
        <v>21819455.762355208</v>
      </c>
      <c r="L191" s="434">
        <f>SUM(L179:L190)</f>
        <v>1324512.8349083159</v>
      </c>
      <c r="M191" s="311">
        <f>SUM(M179:M190)</f>
        <v>1517259.47</v>
      </c>
      <c r="N191" s="199"/>
      <c r="O191" s="199"/>
      <c r="P191" s="154"/>
      <c r="Q191" s="169"/>
      <c r="R191" s="434"/>
      <c r="S191" s="311"/>
      <c r="T191" s="199"/>
      <c r="U191" s="409"/>
    </row>
    <row r="192" spans="2:21" x14ac:dyDescent="0.2">
      <c r="B192" s="195" t="s">
        <v>183</v>
      </c>
      <c r="C192" s="398"/>
      <c r="D192" s="170"/>
      <c r="E192" s="169"/>
      <c r="F192" s="425"/>
      <c r="G192" s="199"/>
      <c r="H192" s="189">
        <f>SUMPRODUCT(E185:E190,H185:H190)</f>
        <v>-2720.685060807104</v>
      </c>
      <c r="I192" s="189">
        <f>SUMPRODUCT(E185:E190,I185:I190)</f>
        <v>131275.92491338062</v>
      </c>
      <c r="J192" s="154"/>
      <c r="K192" s="169"/>
      <c r="L192" s="425"/>
      <c r="M192" s="199"/>
      <c r="N192" s="189">
        <f>SUMPRODUCT(K185:K190,N185:N190)</f>
        <v>-81129.046092216944</v>
      </c>
      <c r="O192" s="189">
        <f>SUMPRODUCT(K185:K190,O185:O190)</f>
        <v>264147.95750431344</v>
      </c>
      <c r="P192" s="154"/>
      <c r="Q192" s="169"/>
      <c r="R192" s="425"/>
      <c r="S192" s="169"/>
      <c r="T192" s="189"/>
      <c r="U192" s="419"/>
    </row>
    <row r="193" spans="2:21" x14ac:dyDescent="0.2">
      <c r="B193" s="203" t="str">
        <f>"Total "&amp;B177</f>
        <v>Total Schedule 87 - Sales</v>
      </c>
      <c r="C193" s="423"/>
      <c r="D193" s="170"/>
      <c r="E193" s="169"/>
      <c r="F193" s="425"/>
      <c r="G193" s="199"/>
      <c r="H193" s="196"/>
      <c r="I193" s="415">
        <f>G191+H192+I192</f>
        <v>1645814.7098525735</v>
      </c>
      <c r="J193" s="154"/>
      <c r="K193" s="169"/>
      <c r="L193" s="425"/>
      <c r="M193" s="199"/>
      <c r="N193" s="196"/>
      <c r="O193" s="415">
        <f>M191+N192+O192</f>
        <v>1700278.3814120966</v>
      </c>
      <c r="P193" s="154"/>
      <c r="Q193" s="169"/>
      <c r="R193" s="425"/>
      <c r="S193" s="169"/>
      <c r="T193" s="415"/>
      <c r="U193" s="441"/>
    </row>
    <row r="194" spans="2:21" x14ac:dyDescent="0.2">
      <c r="B194" s="187"/>
      <c r="C194" s="400"/>
      <c r="D194" s="325"/>
      <c r="E194" s="188"/>
      <c r="F194" s="400"/>
      <c r="G194" s="188"/>
      <c r="H194" s="188"/>
      <c r="I194" s="188"/>
      <c r="J194" s="188"/>
      <c r="K194" s="188"/>
      <c r="L194" s="400"/>
      <c r="M194" s="188"/>
      <c r="N194" s="188"/>
      <c r="O194" s="188"/>
      <c r="P194" s="188"/>
      <c r="Q194" s="188"/>
      <c r="R194" s="400"/>
      <c r="S194" s="188"/>
      <c r="T194" s="188"/>
      <c r="U194" s="432"/>
    </row>
    <row r="195" spans="2:21" x14ac:dyDescent="0.2">
      <c r="B195" s="187"/>
      <c r="C195" s="400"/>
      <c r="D195" s="325"/>
      <c r="E195" s="188"/>
      <c r="F195" s="400"/>
      <c r="G195" s="188"/>
      <c r="H195" s="188"/>
      <c r="I195" s="188"/>
      <c r="J195" s="188"/>
      <c r="K195" s="188"/>
      <c r="L195" s="400"/>
      <c r="M195" s="188"/>
      <c r="N195" s="188"/>
      <c r="O195" s="188"/>
      <c r="P195" s="188"/>
      <c r="Q195" s="188"/>
      <c r="R195" s="400"/>
      <c r="S195" s="188"/>
      <c r="T195" s="188"/>
      <c r="U195" s="432"/>
    </row>
    <row r="196" spans="2:21" x14ac:dyDescent="0.2">
      <c r="B196" s="192" t="s">
        <v>111</v>
      </c>
      <c r="C196" s="420"/>
      <c r="D196" s="435"/>
      <c r="E196" s="158"/>
      <c r="F196" s="421"/>
      <c r="G196" s="158"/>
      <c r="H196" s="158"/>
      <c r="I196" s="158"/>
      <c r="J196" s="158"/>
      <c r="K196" s="158"/>
      <c r="L196" s="421"/>
      <c r="M196" s="158"/>
      <c r="N196" s="158"/>
      <c r="O196" s="158"/>
      <c r="P196" s="158"/>
      <c r="Q196" s="158"/>
      <c r="R196" s="421"/>
      <c r="S196" s="158"/>
      <c r="T196" s="158"/>
      <c r="U196" s="422"/>
    </row>
    <row r="197" spans="2:21" x14ac:dyDescent="0.2">
      <c r="B197" s="195"/>
      <c r="C197" s="398"/>
      <c r="D197" s="174"/>
      <c r="E197" s="154"/>
      <c r="F197" s="398"/>
      <c r="G197" s="154"/>
      <c r="H197" s="154"/>
      <c r="I197" s="154"/>
      <c r="J197" s="154"/>
      <c r="K197" s="154"/>
      <c r="L197" s="398"/>
      <c r="M197" s="154"/>
      <c r="N197" s="154"/>
      <c r="O197" s="154"/>
      <c r="P197" s="154"/>
      <c r="Q197" s="154"/>
      <c r="R197" s="398"/>
      <c r="S197" s="154"/>
      <c r="T197" s="154"/>
      <c r="U197" s="431"/>
    </row>
    <row r="198" spans="2:21" x14ac:dyDescent="0.2">
      <c r="B198" s="167" t="s">
        <v>66</v>
      </c>
      <c r="C198" s="424">
        <f>'Exh JDT-5 (JDT-INTRPL-RD)'!E123</f>
        <v>918.31</v>
      </c>
      <c r="D198" s="170">
        <f>'Exh JDT-5 (JDT-INTRPL-RD)'!$H$123</f>
        <v>1082.81</v>
      </c>
      <c r="E198" s="169">
        <v>132</v>
      </c>
      <c r="F198" s="411">
        <f t="shared" ref="F198:F199" si="30">SUM(+E198*C198)</f>
        <v>121216.92</v>
      </c>
      <c r="G198" s="196">
        <f>ROUND(E198*D198,2)</f>
        <v>142930.92000000001</v>
      </c>
      <c r="H198" s="196"/>
      <c r="I198" s="196"/>
      <c r="J198" s="154"/>
      <c r="K198" s="169">
        <v>132</v>
      </c>
      <c r="L198" s="411">
        <f t="shared" ref="L198:L199" si="31">SUM(+K198*C198)</f>
        <v>121216.92</v>
      </c>
      <c r="M198" s="196">
        <f>ROUND(K198*D198,2)</f>
        <v>142930.92000000001</v>
      </c>
      <c r="N198" s="196"/>
      <c r="O198" s="196"/>
      <c r="P198" s="154"/>
      <c r="Q198" s="169"/>
      <c r="R198" s="411"/>
      <c r="S198" s="196"/>
      <c r="T198" s="196"/>
      <c r="U198" s="409"/>
    </row>
    <row r="199" spans="2:21" x14ac:dyDescent="0.2">
      <c r="B199" s="195" t="s">
        <v>143</v>
      </c>
      <c r="C199" s="424">
        <f>'Exh JDT-5 (JDT-INTRPL-RD)'!E124</f>
        <v>1.45</v>
      </c>
      <c r="D199" s="170">
        <f>'Exh JDT-5 (JDT-INTRPL-RD)'!$H$124</f>
        <v>1.45</v>
      </c>
      <c r="E199" s="169">
        <v>287208</v>
      </c>
      <c r="F199" s="411">
        <f t="shared" si="30"/>
        <v>416451.6</v>
      </c>
      <c r="G199" s="196">
        <f>ROUND(E199*D199,2)</f>
        <v>416451.6</v>
      </c>
      <c r="H199" s="196"/>
      <c r="I199" s="196"/>
      <c r="J199" s="154"/>
      <c r="K199" s="169">
        <v>287208</v>
      </c>
      <c r="L199" s="411">
        <f t="shared" si="31"/>
        <v>416451.6</v>
      </c>
      <c r="M199" s="196">
        <f>ROUND(K199*D199,2)</f>
        <v>416451.6</v>
      </c>
      <c r="N199" s="196"/>
      <c r="O199" s="196"/>
      <c r="P199" s="154"/>
      <c r="Q199" s="169"/>
      <c r="R199" s="411"/>
      <c r="S199" s="196"/>
      <c r="T199" s="196"/>
      <c r="U199" s="409"/>
    </row>
    <row r="200" spans="2:21" x14ac:dyDescent="0.2">
      <c r="B200" s="195" t="s">
        <v>154</v>
      </c>
      <c r="C200" s="398"/>
      <c r="D200" s="170"/>
      <c r="E200" s="169"/>
      <c r="F200" s="425">
        <f>G200</f>
        <v>19447.379999999997</v>
      </c>
      <c r="G200" s="196">
        <v>19447.379999999997</v>
      </c>
      <c r="H200" s="196"/>
      <c r="I200" s="196"/>
      <c r="J200" s="154"/>
      <c r="K200" s="169"/>
      <c r="L200" s="425">
        <f>M200</f>
        <v>19447.379999999997</v>
      </c>
      <c r="M200" s="196">
        <v>19447.379999999997</v>
      </c>
      <c r="N200" s="196"/>
      <c r="O200" s="196"/>
      <c r="P200" s="154"/>
      <c r="Q200" s="169"/>
      <c r="R200" s="425"/>
      <c r="S200" s="196"/>
      <c r="T200" s="196"/>
      <c r="U200" s="409"/>
    </row>
    <row r="201" spans="2:21" x14ac:dyDescent="0.2">
      <c r="B201" s="195"/>
      <c r="C201" s="398"/>
      <c r="D201" s="174"/>
      <c r="E201" s="154"/>
      <c r="F201" s="398"/>
      <c r="G201" s="154"/>
      <c r="H201" s="154"/>
      <c r="I201" s="154"/>
      <c r="J201" s="154"/>
      <c r="K201" s="154"/>
      <c r="L201" s="398"/>
      <c r="M201" s="154"/>
      <c r="N201" s="154"/>
      <c r="O201" s="154"/>
      <c r="P201" s="154"/>
      <c r="Q201" s="154"/>
      <c r="R201" s="398"/>
      <c r="S201" s="154"/>
      <c r="T201" s="154"/>
      <c r="U201" s="431"/>
    </row>
    <row r="202" spans="2:21" x14ac:dyDescent="0.2">
      <c r="B202" s="195" t="s">
        <v>145</v>
      </c>
      <c r="C202" s="398"/>
      <c r="D202" s="170"/>
      <c r="E202" s="154"/>
      <c r="F202" s="398"/>
      <c r="G202" s="154"/>
      <c r="H202" s="154"/>
      <c r="I202" s="154"/>
      <c r="J202" s="154"/>
      <c r="K202" s="154"/>
      <c r="L202" s="398"/>
      <c r="M202" s="154"/>
      <c r="N202" s="154"/>
      <c r="O202" s="154"/>
      <c r="P202" s="154"/>
      <c r="Q202" s="154"/>
      <c r="R202" s="398"/>
      <c r="S202" s="154"/>
      <c r="T202" s="154"/>
      <c r="U202" s="431"/>
    </row>
    <row r="203" spans="2:21" x14ac:dyDescent="0.2">
      <c r="B203" s="195" t="s">
        <v>96</v>
      </c>
      <c r="C203" s="424">
        <f>'Exh JDT-5 (JDT-INTRPL-RD)'!E128</f>
        <v>0.17533000000000001</v>
      </c>
      <c r="D203" s="174">
        <f>'Exh JDT-5 (JDT-INTRPL-RD)'!$H$128</f>
        <v>0.20896999999999999</v>
      </c>
      <c r="E203" s="169">
        <v>3298789.67</v>
      </c>
      <c r="F203" s="411">
        <f t="shared" ref="F203:F208" si="32">SUM(+E203*C203)</f>
        <v>578376.79284110002</v>
      </c>
      <c r="G203" s="196">
        <f t="shared" ref="G203:G208" si="33">ROUND(E203*D203,2)</f>
        <v>689348.08</v>
      </c>
      <c r="H203" s="445">
        <f>ROUND((G203*H$176)/E203,5)</f>
        <v>-5.4000000000000001E-4</v>
      </c>
      <c r="I203" s="445">
        <f>ROUND((G203*I$176)/E203,5)</f>
        <v>2.6460000000000001E-2</v>
      </c>
      <c r="J203" s="154"/>
      <c r="K203" s="169">
        <v>3298789.67</v>
      </c>
      <c r="L203" s="411">
        <f t="shared" ref="L203:L208" si="34">SUM(+K203*C203)</f>
        <v>578376.79284110002</v>
      </c>
      <c r="M203" s="196">
        <f t="shared" ref="M203:M208" si="35">ROUND(K203*D203,2)</f>
        <v>689348.08</v>
      </c>
      <c r="N203" s="445">
        <f>ROUND((M203*N$176)/K203,5)</f>
        <v>-1.6379999999999999E-2</v>
      </c>
      <c r="O203" s="445">
        <f>ROUND((M203*O$176)/K203,5)</f>
        <v>5.3350000000000002E-2</v>
      </c>
      <c r="P203" s="154"/>
      <c r="Q203" s="169"/>
      <c r="R203" s="411"/>
      <c r="S203" s="196"/>
      <c r="T203" s="196"/>
      <c r="U203" s="409"/>
    </row>
    <row r="204" spans="2:21" x14ac:dyDescent="0.2">
      <c r="B204" s="195" t="s">
        <v>97</v>
      </c>
      <c r="C204" s="424">
        <f>'Exh JDT-5 (JDT-INTRPL-RD)'!E129</f>
        <v>0.10595</v>
      </c>
      <c r="D204" s="174">
        <f>'Exh JDT-5 (JDT-INTRPL-RD)'!$H$129</f>
        <v>0.12628</v>
      </c>
      <c r="E204" s="169">
        <v>3300000</v>
      </c>
      <c r="F204" s="411">
        <f t="shared" si="32"/>
        <v>349635</v>
      </c>
      <c r="G204" s="196">
        <f t="shared" si="33"/>
        <v>416724</v>
      </c>
      <c r="H204" s="445">
        <f t="shared" ref="H204:H207" si="36">ROUND((G204*H$176)/E204,5)</f>
        <v>-3.2000000000000003E-4</v>
      </c>
      <c r="I204" s="445">
        <f t="shared" ref="I204:I207" si="37">ROUND((G204*I$176)/E204,5)</f>
        <v>1.5990000000000001E-2</v>
      </c>
      <c r="J204" s="154"/>
      <c r="K204" s="169">
        <v>3300000</v>
      </c>
      <c r="L204" s="411">
        <f t="shared" si="34"/>
        <v>349635</v>
      </c>
      <c r="M204" s="196">
        <f t="shared" si="35"/>
        <v>416724</v>
      </c>
      <c r="N204" s="445">
        <f t="shared" ref="N204:N207" si="38">ROUND((M204*N$176)/K204,5)</f>
        <v>-9.9000000000000008E-3</v>
      </c>
      <c r="O204" s="445">
        <f t="shared" ref="O204:O207" si="39">ROUND((M204*O$176)/K204,5)</f>
        <v>3.2239999999999998E-2</v>
      </c>
      <c r="P204" s="154"/>
      <c r="Q204" s="169"/>
      <c r="R204" s="411"/>
      <c r="S204" s="196"/>
      <c r="T204" s="196"/>
      <c r="U204" s="409"/>
    </row>
    <row r="205" spans="2:21" x14ac:dyDescent="0.2">
      <c r="B205" s="195" t="s">
        <v>107</v>
      </c>
      <c r="C205" s="424">
        <f>'Exh JDT-5 (JDT-INTRPL-RD)'!E130</f>
        <v>6.7419999999999994E-2</v>
      </c>
      <c r="D205" s="174">
        <f>'Exh JDT-5 (JDT-INTRPL-RD)'!$H$130</f>
        <v>8.0350000000000005E-2</v>
      </c>
      <c r="E205" s="169">
        <v>6600000</v>
      </c>
      <c r="F205" s="411">
        <f t="shared" si="32"/>
        <v>444971.99999999994</v>
      </c>
      <c r="G205" s="196">
        <f t="shared" si="33"/>
        <v>530310</v>
      </c>
      <c r="H205" s="445">
        <f t="shared" si="36"/>
        <v>-2.1000000000000001E-4</v>
      </c>
      <c r="I205" s="445">
        <f t="shared" si="37"/>
        <v>1.017E-2</v>
      </c>
      <c r="J205" s="154"/>
      <c r="K205" s="169">
        <v>6600000</v>
      </c>
      <c r="L205" s="411">
        <f t="shared" si="34"/>
        <v>444971.99999999994</v>
      </c>
      <c r="M205" s="196">
        <f t="shared" si="35"/>
        <v>530310</v>
      </c>
      <c r="N205" s="445">
        <f t="shared" si="38"/>
        <v>-6.3E-3</v>
      </c>
      <c r="O205" s="445">
        <f t="shared" si="39"/>
        <v>2.051E-2</v>
      </c>
      <c r="P205" s="154"/>
      <c r="Q205" s="169"/>
      <c r="R205" s="411"/>
      <c r="S205" s="196"/>
      <c r="T205" s="196"/>
      <c r="U205" s="409"/>
    </row>
    <row r="206" spans="2:21" x14ac:dyDescent="0.2">
      <c r="B206" s="195" t="s">
        <v>108</v>
      </c>
      <c r="C206" s="424">
        <f>'Exh JDT-5 (JDT-INTRPL-RD)'!E131</f>
        <v>4.3229999999999998E-2</v>
      </c>
      <c r="D206" s="174">
        <f>'Exh JDT-5 (JDT-INTRPL-RD)'!$H$131</f>
        <v>5.1520000000000003E-2</v>
      </c>
      <c r="E206" s="169">
        <v>12663691.02</v>
      </c>
      <c r="F206" s="411">
        <f t="shared" si="32"/>
        <v>547451.36279459996</v>
      </c>
      <c r="G206" s="196">
        <f t="shared" si="33"/>
        <v>652433.36</v>
      </c>
      <c r="H206" s="445">
        <f t="shared" si="36"/>
        <v>-1.2999999999999999E-4</v>
      </c>
      <c r="I206" s="445">
        <f t="shared" si="37"/>
        <v>6.5199999999999998E-3</v>
      </c>
      <c r="J206" s="154"/>
      <c r="K206" s="169">
        <v>12663691.02</v>
      </c>
      <c r="L206" s="411">
        <f t="shared" si="34"/>
        <v>547451.36279459996</v>
      </c>
      <c r="M206" s="196">
        <f t="shared" si="35"/>
        <v>652433.36</v>
      </c>
      <c r="N206" s="445">
        <f t="shared" si="38"/>
        <v>-4.0400000000000002E-3</v>
      </c>
      <c r="O206" s="445">
        <f t="shared" si="39"/>
        <v>1.315E-2</v>
      </c>
      <c r="P206" s="154"/>
      <c r="Q206" s="169"/>
      <c r="R206" s="411"/>
      <c r="S206" s="196"/>
      <c r="T206" s="196"/>
      <c r="U206" s="409"/>
    </row>
    <row r="207" spans="2:21" x14ac:dyDescent="0.2">
      <c r="B207" s="195" t="s">
        <v>109</v>
      </c>
      <c r="C207" s="424">
        <f>'Exh JDT-5 (JDT-INTRPL-RD)'!E132</f>
        <v>3.1109999999999999E-2</v>
      </c>
      <c r="D207" s="174">
        <f>'Exh JDT-5 (JDT-INTRPL-RD)'!$H$132</f>
        <v>3.7080000000000002E-2</v>
      </c>
      <c r="E207" s="169">
        <v>29344602.150000002</v>
      </c>
      <c r="F207" s="411">
        <f t="shared" si="32"/>
        <v>912910.57288650004</v>
      </c>
      <c r="G207" s="196">
        <f t="shared" si="33"/>
        <v>1088097.8500000001</v>
      </c>
      <c r="H207" s="445">
        <f t="shared" si="36"/>
        <v>-1E-4</v>
      </c>
      <c r="I207" s="445">
        <f t="shared" si="37"/>
        <v>4.6899999999999997E-3</v>
      </c>
      <c r="J207" s="154"/>
      <c r="K207" s="169">
        <v>29344602.150000002</v>
      </c>
      <c r="L207" s="411">
        <f t="shared" si="34"/>
        <v>912910.57288650004</v>
      </c>
      <c r="M207" s="196">
        <f t="shared" si="35"/>
        <v>1088097.8500000001</v>
      </c>
      <c r="N207" s="445">
        <f t="shared" si="38"/>
        <v>-2.9099999999999998E-3</v>
      </c>
      <c r="O207" s="445">
        <f t="shared" si="39"/>
        <v>9.4699999999999993E-3</v>
      </c>
      <c r="P207" s="154"/>
      <c r="Q207" s="169"/>
      <c r="R207" s="411"/>
      <c r="S207" s="196"/>
      <c r="T207" s="196"/>
      <c r="U207" s="409"/>
    </row>
    <row r="208" spans="2:21" x14ac:dyDescent="0.2">
      <c r="B208" s="195" t="s">
        <v>110</v>
      </c>
      <c r="C208" s="424">
        <f>'Exh JDT-5 (JDT-INTRPL-RD)'!E133</f>
        <v>2.3990000000000001E-2</v>
      </c>
      <c r="D208" s="174">
        <f>'Exh JDT-5 (JDT-INTRPL-RD)'!$H$133</f>
        <v>2.487E-2</v>
      </c>
      <c r="E208" s="169">
        <v>73746329.805479586</v>
      </c>
      <c r="F208" s="411">
        <f t="shared" si="32"/>
        <v>1769174.4520334553</v>
      </c>
      <c r="G208" s="196">
        <f t="shared" si="33"/>
        <v>1834071.22</v>
      </c>
      <c r="H208" s="445">
        <f>ROUND((G208*H$175)/E208,5)</f>
        <v>-2.0000000000000002E-5</v>
      </c>
      <c r="I208" s="445">
        <f>ROUND((G208*I$175)/E208,5)</f>
        <v>7.9000000000000001E-4</v>
      </c>
      <c r="J208" s="154"/>
      <c r="K208" s="169">
        <v>86801883.805479586</v>
      </c>
      <c r="L208" s="411">
        <f t="shared" si="34"/>
        <v>2082377.1924934553</v>
      </c>
      <c r="M208" s="196">
        <f t="shared" si="35"/>
        <v>2158762.85</v>
      </c>
      <c r="N208" s="445">
        <f>ROUND((M208*N$175)/K208,5)</f>
        <v>-4.6999999999999999E-4</v>
      </c>
      <c r="O208" s="445">
        <f>ROUND((M208*O$175)/K208,5)</f>
        <v>1.5299999999999999E-3</v>
      </c>
      <c r="P208" s="154"/>
      <c r="Q208" s="169"/>
      <c r="R208" s="402"/>
      <c r="S208" s="189"/>
      <c r="T208" s="196"/>
      <c r="U208" s="409"/>
    </row>
    <row r="209" spans="2:21" x14ac:dyDescent="0.2">
      <c r="B209" s="167" t="s">
        <v>130</v>
      </c>
      <c r="C209" s="424"/>
      <c r="D209" s="174"/>
      <c r="E209" s="273">
        <f>SUM(E203:E208)</f>
        <v>128953412.64547959</v>
      </c>
      <c r="F209" s="394">
        <f>SUM(F198:F208)</f>
        <v>5159636.0805556551</v>
      </c>
      <c r="G209" s="311">
        <f>SUM(G198:G208)</f>
        <v>5789814.4100000001</v>
      </c>
      <c r="H209" s="199"/>
      <c r="I209" s="199"/>
      <c r="J209" s="154"/>
      <c r="K209" s="273">
        <f>SUM(K203:K208)</f>
        <v>142008966.64547959</v>
      </c>
      <c r="L209" s="434">
        <f>SUM(L198:L208)</f>
        <v>5472838.8210156551</v>
      </c>
      <c r="M209" s="311">
        <f>SUM(M198:M208)</f>
        <v>6114506.04</v>
      </c>
      <c r="N209" s="199"/>
      <c r="O209" s="199"/>
      <c r="P209" s="154"/>
      <c r="Q209" s="273"/>
      <c r="R209" s="436"/>
      <c r="S209" s="199"/>
      <c r="T209" s="199"/>
      <c r="U209" s="409"/>
    </row>
    <row r="210" spans="2:21" x14ac:dyDescent="0.2">
      <c r="B210" s="167"/>
      <c r="C210" s="424"/>
      <c r="D210" s="174"/>
      <c r="E210" s="154"/>
      <c r="F210" s="398"/>
      <c r="G210" s="154"/>
      <c r="H210" s="154"/>
      <c r="I210" s="154"/>
      <c r="J210" s="154"/>
      <c r="K210" s="154"/>
      <c r="L210" s="398"/>
      <c r="M210" s="154"/>
      <c r="N210" s="154"/>
      <c r="O210" s="154"/>
      <c r="P210" s="154"/>
      <c r="Q210" s="154"/>
      <c r="R210" s="398"/>
      <c r="S210" s="154"/>
      <c r="T210" s="154"/>
      <c r="U210" s="409"/>
    </row>
    <row r="211" spans="2:21" x14ac:dyDescent="0.2">
      <c r="B211" s="439" t="s">
        <v>187</v>
      </c>
      <c r="C211" s="440"/>
      <c r="D211" s="170"/>
      <c r="E211" s="154"/>
      <c r="F211" s="434">
        <f>F209</f>
        <v>5159636.0805556551</v>
      </c>
      <c r="G211" s="311">
        <f>G209</f>
        <v>5789814.4100000001</v>
      </c>
      <c r="H211" s="199"/>
      <c r="I211" s="199"/>
      <c r="J211" s="154"/>
      <c r="K211" s="154"/>
      <c r="L211" s="434">
        <f>L209</f>
        <v>5472838.8210156551</v>
      </c>
      <c r="M211" s="311">
        <f>M209</f>
        <v>6114506.04</v>
      </c>
      <c r="N211" s="199"/>
      <c r="O211" s="199"/>
      <c r="P211" s="154"/>
      <c r="Q211" s="199"/>
      <c r="R211" s="434"/>
      <c r="S211" s="311"/>
      <c r="T211" s="199"/>
      <c r="U211" s="409"/>
    </row>
    <row r="212" spans="2:21" x14ac:dyDescent="0.2">
      <c r="B212" s="195" t="s">
        <v>183</v>
      </c>
      <c r="C212" s="398"/>
      <c r="D212" s="170"/>
      <c r="E212" s="169"/>
      <c r="F212" s="425"/>
      <c r="G212" s="199"/>
      <c r="H212" s="189">
        <f>SUMPRODUCT(E203:E208,H203:H208)</f>
        <v>-10279.013065509593</v>
      </c>
      <c r="I212" s="189">
        <f>SUMPRODUCT(E203:E208,I203:I208)</f>
        <v>485628.0247484289</v>
      </c>
      <c r="J212" s="154"/>
      <c r="K212" s="169"/>
      <c r="L212" s="425"/>
      <c r="M212" s="199"/>
      <c r="N212" s="189">
        <f>SUMPRODUCT(K203:K208,N203:N208)</f>
        <v>-305635.16416047537</v>
      </c>
      <c r="O212" s="189">
        <f>SUMPRODUCT(K203:K208,O203:O208)</f>
        <v>994976.23039038386</v>
      </c>
      <c r="P212" s="154"/>
      <c r="Q212" s="169"/>
      <c r="R212" s="425"/>
      <c r="S212" s="169"/>
      <c r="T212" s="189"/>
      <c r="U212" s="419"/>
    </row>
    <row r="213" spans="2:21" x14ac:dyDescent="0.2">
      <c r="B213" s="203" t="str">
        <f>"Total "&amp;B196</f>
        <v>Total Schedule 87 - Transportation</v>
      </c>
      <c r="C213" s="423"/>
      <c r="D213" s="170"/>
      <c r="E213" s="169"/>
      <c r="F213" s="425"/>
      <c r="G213" s="199"/>
      <c r="H213" s="196"/>
      <c r="I213" s="415">
        <f>G211+H212+I212</f>
        <v>6265163.4216829194</v>
      </c>
      <c r="J213" s="154"/>
      <c r="K213" s="169"/>
      <c r="L213" s="425"/>
      <c r="M213" s="199"/>
      <c r="N213" s="196"/>
      <c r="O213" s="415">
        <f>M211+N212+O212</f>
        <v>6803847.1062299088</v>
      </c>
      <c r="P213" s="154"/>
      <c r="Q213" s="169"/>
      <c r="R213" s="425"/>
      <c r="S213" s="169"/>
      <c r="T213" s="415"/>
      <c r="U213" s="441"/>
    </row>
    <row r="214" spans="2:21" x14ac:dyDescent="0.2">
      <c r="B214" s="203"/>
      <c r="C214" s="423"/>
      <c r="D214" s="170"/>
      <c r="E214" s="169"/>
      <c r="F214" s="425"/>
      <c r="G214" s="199"/>
      <c r="H214" s="196"/>
      <c r="I214" s="205"/>
      <c r="J214" s="154"/>
      <c r="K214" s="169"/>
      <c r="L214" s="425"/>
      <c r="M214" s="199"/>
      <c r="N214" s="196"/>
      <c r="O214" s="205"/>
      <c r="P214" s="154"/>
      <c r="Q214" s="169"/>
      <c r="R214" s="425"/>
      <c r="S214" s="169"/>
      <c r="T214" s="205"/>
      <c r="U214" s="441"/>
    </row>
    <row r="215" spans="2:21" x14ac:dyDescent="0.2">
      <c r="B215" s="446" t="s">
        <v>11</v>
      </c>
      <c r="C215" s="447"/>
      <c r="D215" s="306"/>
      <c r="E215" s="248">
        <v>31066759.999999996</v>
      </c>
      <c r="F215" s="448">
        <v>1620924.2085755297</v>
      </c>
      <c r="G215" s="327">
        <v>1641017.2645532298</v>
      </c>
      <c r="H215" s="319">
        <v>0</v>
      </c>
      <c r="I215" s="319">
        <v>0</v>
      </c>
      <c r="J215" s="158"/>
      <c r="K215" s="248">
        <v>30967899.999999996</v>
      </c>
      <c r="L215" s="448">
        <v>1618329.5363931155</v>
      </c>
      <c r="M215" s="327">
        <v>1638422.5923708156</v>
      </c>
      <c r="N215" s="319">
        <v>0</v>
      </c>
      <c r="O215" s="319">
        <v>0</v>
      </c>
      <c r="P215" s="158"/>
      <c r="Q215" s="248"/>
      <c r="R215" s="448"/>
      <c r="S215" s="327"/>
      <c r="T215" s="319"/>
      <c r="U215" s="319"/>
    </row>
    <row r="216" spans="2:21" x14ac:dyDescent="0.2">
      <c r="B216" s="187"/>
      <c r="C216" s="400"/>
      <c r="D216" s="325"/>
      <c r="E216" s="188"/>
      <c r="F216" s="400"/>
      <c r="G216" s="188"/>
      <c r="H216" s="188"/>
      <c r="I216" s="188"/>
      <c r="J216" s="188"/>
      <c r="K216" s="188"/>
      <c r="L216" s="400"/>
      <c r="M216" s="188"/>
      <c r="N216" s="188"/>
      <c r="O216" s="188"/>
      <c r="P216" s="188"/>
      <c r="Q216" s="188"/>
      <c r="R216" s="400"/>
      <c r="S216" s="188"/>
      <c r="T216" s="188"/>
      <c r="U216" s="432"/>
    </row>
    <row r="217" spans="2:21" x14ac:dyDescent="0.2">
      <c r="B217" s="63" t="s">
        <v>60</v>
      </c>
    </row>
    <row r="219" spans="2:21" s="371" customFormat="1" x14ac:dyDescent="0.2">
      <c r="B219" s="398" t="s">
        <v>180</v>
      </c>
      <c r="C219" s="449"/>
      <c r="E219" s="450">
        <f t="shared" ref="E219:E225" si="40">SUMIF($B$10:$B$216,$B219,E$10:E$216)</f>
        <v>636378193</v>
      </c>
      <c r="G219" s="451"/>
      <c r="H219" s="452">
        <f t="shared" ref="H219:I225" si="41">SUMIF($B$10:$B$216,$B219,H$10:H$216)</f>
        <v>-643946.22419724427</v>
      </c>
      <c r="I219" s="452">
        <f t="shared" si="41"/>
        <v>30961651.936351005</v>
      </c>
      <c r="J219" s="410"/>
      <c r="K219" s="450">
        <f t="shared" ref="K219:K225" si="42">SUMIF($B$10:$B$216,$B219,K$10:K$216)</f>
        <v>639473381</v>
      </c>
      <c r="M219" s="451"/>
      <c r="N219" s="452">
        <f t="shared" ref="N219:O225" si="43">SUMIF($B$10:$B$216,$B219,N$10:N$216)</f>
        <v>-19395368.841368567</v>
      </c>
      <c r="O219" s="452">
        <f t="shared" si="43"/>
        <v>63168944.563272029</v>
      </c>
      <c r="P219" s="410"/>
      <c r="Q219" s="450"/>
      <c r="S219" s="451"/>
      <c r="T219" s="452"/>
      <c r="U219" s="452"/>
    </row>
    <row r="220" spans="2:21" s="371" customFormat="1" x14ac:dyDescent="0.2">
      <c r="B220" s="398" t="s">
        <v>184</v>
      </c>
      <c r="C220" s="449"/>
      <c r="E220" s="450">
        <f t="shared" si="40"/>
        <v>243226645</v>
      </c>
      <c r="G220" s="451"/>
      <c r="H220" s="452">
        <f t="shared" si="41"/>
        <v>-227176.73551591771</v>
      </c>
      <c r="I220" s="452">
        <f t="shared" si="41"/>
        <v>10922910.561124483</v>
      </c>
      <c r="J220" s="410"/>
      <c r="K220" s="450">
        <f t="shared" si="42"/>
        <v>245970110</v>
      </c>
      <c r="M220" s="451"/>
      <c r="N220" s="452">
        <f t="shared" si="43"/>
        <v>-6842460.4601138579</v>
      </c>
      <c r="O220" s="452">
        <f t="shared" si="43"/>
        <v>22285268.664723899</v>
      </c>
      <c r="P220" s="410"/>
      <c r="Q220" s="450"/>
      <c r="S220" s="451"/>
      <c r="T220" s="452"/>
      <c r="U220" s="452"/>
    </row>
    <row r="221" spans="2:21" s="371" customFormat="1" x14ac:dyDescent="0.2">
      <c r="B221" s="398" t="s">
        <v>185</v>
      </c>
      <c r="C221" s="449"/>
      <c r="E221" s="450">
        <f t="shared" si="40"/>
        <v>92387406</v>
      </c>
      <c r="G221" s="451"/>
      <c r="H221" s="452">
        <f t="shared" si="41"/>
        <v>-41249.330497328236</v>
      </c>
      <c r="I221" s="452">
        <f t="shared" si="41"/>
        <v>1983313.7698072565</v>
      </c>
      <c r="J221" s="410"/>
      <c r="K221" s="450">
        <f t="shared" si="42"/>
        <v>93400775</v>
      </c>
      <c r="M221" s="451"/>
      <c r="N221" s="452">
        <f t="shared" si="43"/>
        <v>-1242411.1663245589</v>
      </c>
      <c r="O221" s="452">
        <f t="shared" si="43"/>
        <v>4046419.6753480462</v>
      </c>
      <c r="P221" s="410"/>
      <c r="Q221" s="450"/>
      <c r="S221" s="451"/>
      <c r="T221" s="452"/>
      <c r="U221" s="452"/>
    </row>
    <row r="222" spans="2:21" s="371" customFormat="1" x14ac:dyDescent="0.2">
      <c r="B222" s="398" t="s">
        <v>186</v>
      </c>
      <c r="C222" s="449"/>
      <c r="E222" s="450">
        <f t="shared" si="40"/>
        <v>73912158</v>
      </c>
      <c r="G222" s="451"/>
      <c r="H222" s="452">
        <f t="shared" si="41"/>
        <v>-19625.651479471497</v>
      </c>
      <c r="I222" s="452">
        <f t="shared" si="41"/>
        <v>943623.18979201652</v>
      </c>
      <c r="J222" s="410"/>
      <c r="K222" s="450">
        <f t="shared" si="42"/>
        <v>73034304</v>
      </c>
      <c r="M222" s="451"/>
      <c r="N222" s="452">
        <f t="shared" si="43"/>
        <v>-591115.74055896036</v>
      </c>
      <c r="O222" s="452">
        <f t="shared" si="43"/>
        <v>1925209.969000604</v>
      </c>
      <c r="P222" s="410"/>
      <c r="Q222" s="450"/>
      <c r="S222" s="451"/>
      <c r="T222" s="452"/>
      <c r="U222" s="452"/>
    </row>
    <row r="223" spans="2:21" s="371" customFormat="1" x14ac:dyDescent="0.2">
      <c r="B223" s="398" t="s">
        <v>188</v>
      </c>
      <c r="C223" s="449"/>
      <c r="E223" s="450">
        <f t="shared" si="40"/>
        <v>6233899</v>
      </c>
      <c r="G223" s="451"/>
      <c r="H223" s="452">
        <f t="shared" si="41"/>
        <v>-1349.5964513007489</v>
      </c>
      <c r="I223" s="452">
        <f t="shared" si="41"/>
        <v>64890.101082274654</v>
      </c>
      <c r="J223" s="410"/>
      <c r="K223" s="450">
        <f t="shared" si="42"/>
        <v>6068110</v>
      </c>
      <c r="M223" s="451"/>
      <c r="N223" s="452">
        <f t="shared" si="43"/>
        <v>-40649.234324825084</v>
      </c>
      <c r="O223" s="452">
        <f t="shared" si="43"/>
        <v>132390.84291748612</v>
      </c>
      <c r="P223" s="410"/>
      <c r="Q223" s="450"/>
      <c r="S223" s="451"/>
      <c r="T223" s="452"/>
      <c r="U223" s="452"/>
    </row>
    <row r="224" spans="2:21" s="371" customFormat="1" x14ac:dyDescent="0.2">
      <c r="B224" s="398" t="s">
        <v>189</v>
      </c>
      <c r="C224" s="449"/>
      <c r="E224" s="450">
        <f t="shared" si="40"/>
        <v>150772868.4078348</v>
      </c>
      <c r="G224" s="451"/>
      <c r="H224" s="452">
        <f t="shared" si="41"/>
        <v>-12835.58216776257</v>
      </c>
      <c r="I224" s="452">
        <f t="shared" si="41"/>
        <v>617149.0918734998</v>
      </c>
      <c r="J224" s="410"/>
      <c r="K224" s="450">
        <f t="shared" si="42"/>
        <v>163828422.4078348</v>
      </c>
      <c r="L224" s="398"/>
      <c r="M224" s="410"/>
      <c r="N224" s="452">
        <f t="shared" si="43"/>
        <v>-386601.92587943975</v>
      </c>
      <c r="O224" s="452">
        <f t="shared" si="43"/>
        <v>1259127.1567800376</v>
      </c>
      <c r="P224" s="410"/>
      <c r="Q224" s="450"/>
      <c r="R224" s="398"/>
      <c r="S224" s="410"/>
      <c r="T224" s="452"/>
      <c r="U224" s="452"/>
    </row>
    <row r="225" spans="2:21" s="371" customFormat="1" x14ac:dyDescent="0.2">
      <c r="B225" s="398" t="s">
        <v>11</v>
      </c>
      <c r="C225" s="449"/>
      <c r="E225" s="450">
        <f t="shared" si="40"/>
        <v>31066759.999999996</v>
      </c>
      <c r="G225" s="451"/>
      <c r="H225" s="452">
        <f t="shared" si="41"/>
        <v>0</v>
      </c>
      <c r="I225" s="452">
        <f t="shared" si="41"/>
        <v>0</v>
      </c>
      <c r="J225" s="410"/>
      <c r="K225" s="450">
        <f t="shared" si="42"/>
        <v>30967899.999999996</v>
      </c>
      <c r="M225" s="451"/>
      <c r="N225" s="452">
        <f t="shared" si="43"/>
        <v>0</v>
      </c>
      <c r="O225" s="452">
        <f t="shared" si="43"/>
        <v>0</v>
      </c>
      <c r="P225" s="410"/>
      <c r="Q225" s="450"/>
      <c r="S225" s="451"/>
      <c r="T225" s="452"/>
      <c r="U225" s="452"/>
    </row>
    <row r="226" spans="2:21" s="371" customFormat="1" x14ac:dyDescent="0.2">
      <c r="B226" s="449"/>
      <c r="C226" s="449"/>
      <c r="E226" s="453">
        <f>SUM(E219:E225)</f>
        <v>1233977929.4078348</v>
      </c>
      <c r="G226" s="451"/>
      <c r="H226" s="454">
        <f>SUM(H219:H225)</f>
        <v>-946183.12030902493</v>
      </c>
      <c r="I226" s="454">
        <f>SUM(I219:I225)</f>
        <v>45493538.650030531</v>
      </c>
      <c r="J226" s="410"/>
      <c r="K226" s="453">
        <f>SUM(K219:K225)</f>
        <v>1252743002.4078348</v>
      </c>
      <c r="M226" s="451"/>
      <c r="N226" s="454">
        <f>SUM(N219:N225)</f>
        <v>-28498607.368570209</v>
      </c>
      <c r="O226" s="454">
        <f>SUM(O219:O225)</f>
        <v>92817360.872042105</v>
      </c>
      <c r="P226" s="410"/>
      <c r="Q226" s="453"/>
      <c r="S226" s="451"/>
      <c r="T226" s="454"/>
      <c r="U226" s="454"/>
    </row>
    <row r="227" spans="2:21" s="371" customFormat="1" x14ac:dyDescent="0.2">
      <c r="B227" s="449"/>
      <c r="C227" s="449"/>
      <c r="G227" s="451"/>
      <c r="H227" s="451"/>
      <c r="I227" s="451"/>
      <c r="J227" s="410"/>
      <c r="M227" s="451"/>
      <c r="N227" s="451"/>
      <c r="O227" s="451"/>
      <c r="P227" s="410"/>
      <c r="S227" s="451"/>
      <c r="T227" s="451"/>
      <c r="U227" s="451"/>
    </row>
    <row r="228" spans="2:21" s="371" customFormat="1" x14ac:dyDescent="0.2">
      <c r="B228" s="371" t="s">
        <v>191</v>
      </c>
      <c r="C228" s="449"/>
      <c r="E228" s="455">
        <v>1233977929.6218345</v>
      </c>
      <c r="F228" s="455"/>
      <c r="G228" s="455"/>
      <c r="H228" s="455"/>
      <c r="I228" s="455"/>
      <c r="J228" s="450"/>
      <c r="K228" s="455">
        <v>1252743002.6218348</v>
      </c>
      <c r="L228" s="455"/>
      <c r="M228" s="455"/>
      <c r="N228" s="455"/>
      <c r="O228" s="455"/>
      <c r="P228" s="450"/>
      <c r="Q228" s="455"/>
      <c r="S228" s="451"/>
      <c r="T228" s="455"/>
      <c r="U228" s="455"/>
    </row>
    <row r="229" spans="2:21" s="371" customFormat="1" x14ac:dyDescent="0.2">
      <c r="B229" s="371" t="s">
        <v>137</v>
      </c>
      <c r="C229" s="449"/>
      <c r="E229" s="455">
        <f>E228-E226</f>
        <v>0.21399974822998047</v>
      </c>
      <c r="F229" s="455"/>
      <c r="G229" s="455"/>
      <c r="H229" s="455"/>
      <c r="I229" s="455"/>
      <c r="J229" s="450"/>
      <c r="K229" s="455">
        <f>K228-K226</f>
        <v>0.21399998664855957</v>
      </c>
      <c r="L229" s="455"/>
      <c r="M229" s="455"/>
      <c r="N229" s="455"/>
      <c r="O229" s="455"/>
      <c r="P229" s="450"/>
      <c r="Q229" s="455"/>
      <c r="S229" s="451"/>
      <c r="T229" s="455"/>
      <c r="U229" s="455"/>
    </row>
    <row r="230" spans="2:21" s="371" customFormat="1" x14ac:dyDescent="0.2">
      <c r="C230" s="449"/>
      <c r="G230" s="451"/>
      <c r="H230" s="451"/>
      <c r="I230" s="451"/>
      <c r="J230" s="410"/>
      <c r="M230" s="451"/>
      <c r="N230" s="451"/>
      <c r="O230" s="451"/>
      <c r="P230" s="410"/>
      <c r="S230" s="451"/>
      <c r="T230" s="451"/>
      <c r="U230" s="451"/>
    </row>
    <row r="231" spans="2:21" s="371" customFormat="1" x14ac:dyDescent="0.2">
      <c r="C231" s="449"/>
      <c r="G231" s="451"/>
      <c r="H231" s="451"/>
      <c r="I231" s="451"/>
      <c r="J231" s="410"/>
      <c r="M231" s="451"/>
      <c r="N231" s="451"/>
      <c r="O231" s="451"/>
      <c r="P231" s="410"/>
      <c r="S231" s="451"/>
      <c r="T231" s="451"/>
      <c r="U231" s="451"/>
    </row>
    <row r="232" spans="2:21" s="371" customFormat="1" x14ac:dyDescent="0.2">
      <c r="B232" s="371" t="s">
        <v>129</v>
      </c>
      <c r="C232" s="449"/>
      <c r="F232" s="456">
        <f>SUMIF($E$10:$E$216,$B232,F10:F216)+F215</f>
        <v>539600736.19147825</v>
      </c>
      <c r="G232" s="456">
        <f>SUMIF($E$10:$E$216,$B232,G10:G216)+G215</f>
        <v>590142996.18104589</v>
      </c>
      <c r="H232" s="451"/>
      <c r="I232" s="451"/>
      <c r="J232" s="410"/>
      <c r="L232" s="455">
        <f>SUMIF($E$10:$E$216,$B232,L10:L216)+L215</f>
        <v>543745909.19024289</v>
      </c>
      <c r="M232" s="455">
        <f>SUMIF($E$10:$E$216,$B232,M10:M216)+M215</f>
        <v>594649705.05038214</v>
      </c>
      <c r="N232" s="451"/>
      <c r="O232" s="451"/>
      <c r="P232" s="410"/>
      <c r="R232" s="455"/>
      <c r="S232" s="455"/>
      <c r="T232" s="451"/>
      <c r="U232" s="451"/>
    </row>
    <row r="233" spans="2:21" s="371" customFormat="1" x14ac:dyDescent="0.2">
      <c r="B233" s="371" t="s">
        <v>192</v>
      </c>
      <c r="C233" s="449"/>
      <c r="F233" s="456">
        <v>541636319.26357377</v>
      </c>
      <c r="G233" s="456"/>
      <c r="H233" s="451"/>
      <c r="I233" s="451"/>
      <c r="J233" s="410"/>
      <c r="L233" s="455">
        <v>545781492.25652039</v>
      </c>
      <c r="M233" s="451"/>
      <c r="N233" s="451"/>
      <c r="O233" s="451"/>
      <c r="P233" s="410"/>
      <c r="R233" s="455"/>
      <c r="S233" s="451"/>
      <c r="T233" s="451"/>
      <c r="U233" s="451"/>
    </row>
    <row r="234" spans="2:21" s="371" customFormat="1" x14ac:dyDescent="0.2">
      <c r="B234" s="371" t="s">
        <v>137</v>
      </c>
      <c r="C234" s="449"/>
      <c r="F234" s="456">
        <f>F232-F233</f>
        <v>-2035583.0720955133</v>
      </c>
      <c r="G234" s="456"/>
      <c r="H234" s="451"/>
      <c r="I234" s="451"/>
      <c r="J234" s="410"/>
      <c r="L234" s="455">
        <f>L232-L233</f>
        <v>-2035583.066277504</v>
      </c>
      <c r="M234" s="451"/>
      <c r="N234" s="451"/>
      <c r="O234" s="451"/>
      <c r="P234" s="410"/>
      <c r="R234" s="455"/>
      <c r="S234" s="451"/>
      <c r="T234" s="451"/>
      <c r="U234" s="451"/>
    </row>
    <row r="235" spans="2:21" s="371" customFormat="1" x14ac:dyDescent="0.2">
      <c r="B235" s="449"/>
      <c r="C235" s="449"/>
      <c r="G235" s="451"/>
      <c r="H235" s="451"/>
      <c r="I235" s="451"/>
      <c r="J235" s="410"/>
      <c r="M235" s="451"/>
      <c r="N235" s="451"/>
      <c r="O235" s="451"/>
      <c r="P235" s="410"/>
      <c r="S235" s="451"/>
      <c r="T235" s="451"/>
      <c r="U235" s="451"/>
    </row>
    <row r="236" spans="2:21" s="371" customFormat="1" x14ac:dyDescent="0.2">
      <c r="B236" s="449"/>
      <c r="C236" s="449"/>
      <c r="G236" s="451"/>
      <c r="H236" s="451"/>
      <c r="I236" s="451"/>
      <c r="J236" s="410"/>
      <c r="M236" s="451"/>
      <c r="N236" s="451"/>
      <c r="O236" s="451"/>
      <c r="P236" s="410"/>
      <c r="S236" s="451"/>
      <c r="T236" s="451"/>
      <c r="U236" s="451"/>
    </row>
    <row r="237" spans="2:21" s="371" customFormat="1" x14ac:dyDescent="0.2">
      <c r="B237" s="449"/>
      <c r="C237" s="449"/>
      <c r="G237" s="451"/>
      <c r="H237" s="451"/>
      <c r="I237" s="451"/>
      <c r="J237" s="410"/>
      <c r="M237" s="451"/>
      <c r="N237" s="451"/>
      <c r="O237" s="451"/>
      <c r="P237" s="410"/>
      <c r="S237" s="451"/>
      <c r="T237" s="451"/>
      <c r="U237" s="451"/>
    </row>
    <row r="238" spans="2:21" s="371" customFormat="1" x14ac:dyDescent="0.2"/>
    <row r="239" spans="2:21" s="456" customFormat="1" x14ac:dyDescent="0.2">
      <c r="B239" s="452" t="s">
        <v>193</v>
      </c>
      <c r="C239" s="457"/>
      <c r="I239" s="456">
        <f>SUMIF($B$10:$B$216,$B239,I$10:I$216)</f>
        <v>446253915.19985998</v>
      </c>
      <c r="J239" s="452"/>
      <c r="O239" s="456">
        <f t="shared" ref="O239:O251" si="44">SUMIF($B$10:$B$216,$B239,O$10:O$216)</f>
        <v>462565604.84142995</v>
      </c>
      <c r="P239" s="452"/>
    </row>
    <row r="240" spans="2:21" s="456" customFormat="1" x14ac:dyDescent="0.2">
      <c r="B240" s="452" t="s">
        <v>194</v>
      </c>
      <c r="C240" s="457"/>
      <c r="I240" s="456">
        <f t="shared" ref="I240:I251" si="45">SUMIF($B$10:$B$216,$B240,I$10:I$216)</f>
        <v>0</v>
      </c>
      <c r="J240" s="452"/>
      <c r="O240" s="456">
        <f t="shared" si="44"/>
        <v>0</v>
      </c>
      <c r="P240" s="452"/>
    </row>
    <row r="241" spans="2:21" s="456" customFormat="1" x14ac:dyDescent="0.2">
      <c r="B241" s="452" t="s">
        <v>195</v>
      </c>
      <c r="C241" s="457"/>
      <c r="I241" s="456">
        <f t="shared" si="45"/>
        <v>6087.1864800000003</v>
      </c>
      <c r="J241" s="452"/>
      <c r="O241" s="456">
        <f t="shared" si="44"/>
        <v>6270.9804000000004</v>
      </c>
      <c r="P241" s="452"/>
    </row>
    <row r="242" spans="2:21" s="456" customFormat="1" x14ac:dyDescent="0.2">
      <c r="B242" s="452" t="s">
        <v>196</v>
      </c>
      <c r="C242" s="457"/>
      <c r="I242" s="456">
        <f t="shared" si="45"/>
        <v>142843198.04231998</v>
      </c>
      <c r="J242" s="452"/>
      <c r="O242" s="456">
        <f t="shared" si="44"/>
        <v>148913745.97152001</v>
      </c>
      <c r="P242" s="452"/>
    </row>
    <row r="243" spans="2:21" s="456" customFormat="1" x14ac:dyDescent="0.2">
      <c r="B243" s="452" t="s">
        <v>197</v>
      </c>
      <c r="C243" s="457"/>
      <c r="I243" s="456">
        <f t="shared" si="45"/>
        <v>24522.431240000002</v>
      </c>
      <c r="J243" s="452"/>
      <c r="O243" s="456">
        <f t="shared" si="44"/>
        <v>24915.90324</v>
      </c>
      <c r="P243" s="452"/>
    </row>
    <row r="244" spans="2:21" s="456" customFormat="1" x14ac:dyDescent="0.2">
      <c r="B244" s="452" t="s">
        <v>198</v>
      </c>
      <c r="C244" s="457"/>
      <c r="I244" s="456">
        <f t="shared" si="45"/>
        <v>19734756.155849997</v>
      </c>
      <c r="J244" s="452"/>
      <c r="O244" s="456">
        <f t="shared" si="44"/>
        <v>20328562.214609999</v>
      </c>
      <c r="P244" s="452"/>
    </row>
    <row r="245" spans="2:21" s="456" customFormat="1" x14ac:dyDescent="0.2">
      <c r="B245" s="452" t="s">
        <v>199</v>
      </c>
      <c r="C245" s="457"/>
      <c r="I245" s="456">
        <f t="shared" si="45"/>
        <v>5637712.0214200001</v>
      </c>
      <c r="J245" s="452"/>
      <c r="O245" s="456">
        <f t="shared" si="44"/>
        <v>6022072.3646799996</v>
      </c>
      <c r="P245" s="452"/>
    </row>
    <row r="246" spans="2:21" s="456" customFormat="1" x14ac:dyDescent="0.2">
      <c r="B246" s="452" t="s">
        <v>200</v>
      </c>
      <c r="C246" s="457"/>
      <c r="I246" s="456">
        <f t="shared" si="45"/>
        <v>1612696.3346353052</v>
      </c>
      <c r="J246" s="452"/>
      <c r="O246" s="456">
        <f t="shared" si="44"/>
        <v>1634037.4679429247</v>
      </c>
      <c r="P246" s="452"/>
    </row>
    <row r="247" spans="2:21" s="456" customFormat="1" x14ac:dyDescent="0.2">
      <c r="B247" s="452" t="s">
        <v>201</v>
      </c>
      <c r="C247" s="457"/>
      <c r="I247" s="456">
        <f t="shared" si="45"/>
        <v>7658226.5616998011</v>
      </c>
      <c r="J247" s="452"/>
      <c r="O247" s="456">
        <f t="shared" si="44"/>
        <v>7969842.8774049208</v>
      </c>
      <c r="P247" s="452"/>
    </row>
    <row r="248" spans="2:21" s="456" customFormat="1" x14ac:dyDescent="0.2">
      <c r="B248" s="452" t="s">
        <v>202</v>
      </c>
      <c r="C248" s="457"/>
      <c r="I248" s="456">
        <f t="shared" si="45"/>
        <v>1213479.6673585423</v>
      </c>
      <c r="J248" s="452"/>
      <c r="O248" s="456">
        <f t="shared" si="44"/>
        <v>1196051.664086319</v>
      </c>
      <c r="P248" s="452"/>
    </row>
    <row r="249" spans="2:21" s="456" customFormat="1" x14ac:dyDescent="0.2">
      <c r="B249" s="452" t="s">
        <v>203</v>
      </c>
      <c r="C249" s="457"/>
      <c r="I249" s="456">
        <f t="shared" si="45"/>
        <v>153885.07717907819</v>
      </c>
      <c r="J249" s="452"/>
      <c r="O249" s="456">
        <f t="shared" si="44"/>
        <v>162346.92072712406</v>
      </c>
      <c r="P249" s="452"/>
    </row>
    <row r="250" spans="2:21" s="456" customFormat="1" x14ac:dyDescent="0.2">
      <c r="B250" s="452" t="s">
        <v>204</v>
      </c>
      <c r="C250" s="457"/>
      <c r="I250" s="456">
        <f t="shared" si="45"/>
        <v>1645814.7098525735</v>
      </c>
      <c r="J250" s="452"/>
      <c r="O250" s="456">
        <f t="shared" si="44"/>
        <v>1700278.3814120966</v>
      </c>
      <c r="P250" s="452"/>
    </row>
    <row r="251" spans="2:21" s="456" customFormat="1" x14ac:dyDescent="0.2">
      <c r="B251" s="452" t="s">
        <v>205</v>
      </c>
      <c r="C251" s="457"/>
      <c r="I251" s="456">
        <f t="shared" si="45"/>
        <v>6265163.4216829194</v>
      </c>
      <c r="J251" s="452"/>
      <c r="O251" s="456">
        <f t="shared" si="44"/>
        <v>6803847.1062299088</v>
      </c>
      <c r="P251" s="452"/>
    </row>
    <row r="252" spans="2:21" s="456" customFormat="1" x14ac:dyDescent="0.2">
      <c r="B252" s="456" t="s">
        <v>11</v>
      </c>
      <c r="I252" s="456">
        <f>G215</f>
        <v>1641017.2645532298</v>
      </c>
      <c r="O252" s="456">
        <f>M215</f>
        <v>1638422.5923708156</v>
      </c>
    </row>
    <row r="253" spans="2:21" s="456" customFormat="1" x14ac:dyDescent="0.2">
      <c r="B253" s="457" t="s">
        <v>3</v>
      </c>
      <c r="C253" s="457"/>
      <c r="I253" s="457">
        <f>SUM(I239:I252)</f>
        <v>634690474.07413125</v>
      </c>
      <c r="J253" s="452"/>
      <c r="O253" s="457">
        <f>SUM(O239:O252)</f>
        <v>658965999.28605425</v>
      </c>
      <c r="P253" s="452"/>
      <c r="U253" s="457"/>
    </row>
    <row r="254" spans="2:21" s="456" customFormat="1" x14ac:dyDescent="0.2">
      <c r="B254" s="457"/>
      <c r="C254" s="457"/>
      <c r="J254" s="452"/>
      <c r="P254" s="452"/>
    </row>
    <row r="255" spans="2:21" s="459" customFormat="1" x14ac:dyDescent="0.2">
      <c r="B255" s="458" t="s">
        <v>206</v>
      </c>
      <c r="C255" s="458"/>
      <c r="I255" s="459">
        <f>'Exh JDT-5 (JDT-MYRP-SUM)'!I30</f>
        <v>634690121.01815367</v>
      </c>
      <c r="J255" s="460"/>
      <c r="O255" s="459">
        <f>'Exh JDT-5 (JDT-MYRP-SUM)'!N30</f>
        <v>658965646.23007643</v>
      </c>
      <c r="P255" s="460"/>
    </row>
    <row r="256" spans="2:21" s="459" customFormat="1" x14ac:dyDescent="0.2">
      <c r="B256" s="458" t="s">
        <v>137</v>
      </c>
      <c r="C256" s="458"/>
      <c r="I256" s="459">
        <f>I253-I255</f>
        <v>353.05597758293152</v>
      </c>
      <c r="J256" s="460"/>
      <c r="O256" s="459">
        <f>O253-O255</f>
        <v>353.0559778213501</v>
      </c>
      <c r="P256" s="460"/>
    </row>
    <row r="257" spans="2:21" s="456" customFormat="1" x14ac:dyDescent="0.2">
      <c r="B257" s="457"/>
      <c r="C257" s="457"/>
      <c r="J257" s="452"/>
      <c r="P257" s="452"/>
    </row>
    <row r="258" spans="2:21" s="371" customFormat="1" x14ac:dyDescent="0.2">
      <c r="B258" s="449"/>
      <c r="C258" s="449"/>
      <c r="G258" s="451"/>
      <c r="H258" s="451"/>
      <c r="I258" s="451"/>
      <c r="J258" s="410"/>
      <c r="M258" s="451"/>
      <c r="N258" s="451"/>
      <c r="O258" s="451"/>
      <c r="P258" s="410"/>
      <c r="S258" s="451"/>
      <c r="T258" s="451"/>
      <c r="U258" s="451"/>
    </row>
    <row r="259" spans="2:21" s="371" customFormat="1" x14ac:dyDescent="0.2">
      <c r="B259" s="449"/>
      <c r="C259" s="449"/>
      <c r="G259" s="451"/>
      <c r="H259" s="451"/>
      <c r="I259" s="451"/>
      <c r="J259" s="410"/>
      <c r="M259" s="451"/>
      <c r="N259" s="451"/>
      <c r="O259" s="451"/>
      <c r="P259" s="410"/>
      <c r="S259" s="451"/>
      <c r="T259" s="451"/>
      <c r="U259" s="451"/>
    </row>
    <row r="260" spans="2:21" s="371" customFormat="1" x14ac:dyDescent="0.2">
      <c r="B260" s="449"/>
      <c r="C260" s="449"/>
      <c r="G260" s="451"/>
      <c r="H260" s="451"/>
      <c r="I260" s="451"/>
      <c r="J260" s="410"/>
      <c r="M260" s="451"/>
      <c r="N260" s="451"/>
      <c r="O260" s="451"/>
      <c r="P260" s="410"/>
      <c r="S260" s="451"/>
      <c r="T260" s="451"/>
      <c r="U260" s="451"/>
    </row>
    <row r="261" spans="2:21" s="371" customFormat="1" x14ac:dyDescent="0.2">
      <c r="B261" s="449"/>
      <c r="C261" s="449"/>
      <c r="G261" s="451"/>
      <c r="H261" s="451"/>
      <c r="I261" s="451"/>
      <c r="J261" s="410"/>
      <c r="M261" s="451"/>
      <c r="N261" s="451"/>
      <c r="O261" s="451"/>
      <c r="P261" s="410"/>
      <c r="S261" s="451"/>
      <c r="T261" s="451"/>
      <c r="U261" s="451"/>
    </row>
    <row r="262" spans="2:21" s="371" customFormat="1" x14ac:dyDescent="0.2">
      <c r="B262" s="449"/>
      <c r="C262" s="449"/>
      <c r="G262" s="451"/>
      <c r="H262" s="451"/>
      <c r="I262" s="451"/>
      <c r="J262" s="410"/>
      <c r="M262" s="451"/>
      <c r="N262" s="451"/>
      <c r="O262" s="451"/>
      <c r="P262" s="410"/>
      <c r="S262" s="451"/>
      <c r="T262" s="451"/>
      <c r="U262" s="451"/>
    </row>
    <row r="263" spans="2:21" s="371" customFormat="1" x14ac:dyDescent="0.2">
      <c r="B263" s="449"/>
      <c r="C263" s="449"/>
      <c r="G263" s="451"/>
      <c r="H263" s="451"/>
      <c r="I263" s="451"/>
      <c r="J263" s="410"/>
      <c r="M263" s="451"/>
      <c r="N263" s="451"/>
      <c r="O263" s="451"/>
      <c r="P263" s="410"/>
      <c r="S263" s="451"/>
      <c r="T263" s="451"/>
      <c r="U263" s="451"/>
    </row>
    <row r="264" spans="2:21" s="371" customFormat="1" x14ac:dyDescent="0.2">
      <c r="B264" s="449"/>
      <c r="C264" s="449"/>
      <c r="G264" s="451"/>
      <c r="H264" s="451"/>
      <c r="I264" s="451"/>
      <c r="J264" s="410"/>
      <c r="M264" s="451"/>
      <c r="N264" s="451"/>
      <c r="O264" s="451"/>
      <c r="P264" s="410"/>
      <c r="S264" s="451"/>
      <c r="T264" s="451"/>
      <c r="U264" s="451"/>
    </row>
    <row r="265" spans="2:21" s="371" customFormat="1" x14ac:dyDescent="0.2">
      <c r="B265" s="449"/>
      <c r="C265" s="449"/>
      <c r="G265" s="451"/>
      <c r="H265" s="451"/>
      <c r="I265" s="451"/>
      <c r="J265" s="410"/>
      <c r="M265" s="451"/>
      <c r="N265" s="451"/>
      <c r="O265" s="451"/>
      <c r="P265" s="410"/>
      <c r="S265" s="451"/>
      <c r="T265" s="451"/>
      <c r="U265" s="451"/>
    </row>
    <row r="266" spans="2:21" s="371" customFormat="1" x14ac:dyDescent="0.2">
      <c r="B266" s="449"/>
      <c r="C266" s="449"/>
      <c r="G266" s="451"/>
      <c r="H266" s="451"/>
      <c r="I266" s="451"/>
      <c r="J266" s="410"/>
      <c r="M266" s="451"/>
      <c r="N266" s="451"/>
      <c r="O266" s="451"/>
      <c r="P266" s="410"/>
      <c r="S266" s="451"/>
      <c r="T266" s="451"/>
      <c r="U266" s="451"/>
    </row>
    <row r="267" spans="2:21" s="371" customFormat="1" x14ac:dyDescent="0.2">
      <c r="B267" s="449"/>
      <c r="C267" s="449"/>
      <c r="G267" s="451"/>
      <c r="H267" s="451"/>
      <c r="I267" s="451"/>
      <c r="J267" s="410"/>
      <c r="M267" s="451"/>
      <c r="N267" s="451"/>
      <c r="O267" s="451"/>
      <c r="P267" s="410"/>
      <c r="S267" s="451"/>
      <c r="T267" s="451"/>
      <c r="U267" s="451"/>
    </row>
    <row r="268" spans="2:21" s="371" customFormat="1" x14ac:dyDescent="0.2">
      <c r="B268" s="449"/>
      <c r="C268" s="449"/>
      <c r="G268" s="451"/>
      <c r="H268" s="451"/>
      <c r="I268" s="451"/>
      <c r="J268" s="410"/>
      <c r="M268" s="451"/>
      <c r="N268" s="451"/>
      <c r="O268" s="451"/>
      <c r="P268" s="410"/>
      <c r="S268" s="451"/>
      <c r="T268" s="451"/>
      <c r="U268" s="451"/>
    </row>
    <row r="269" spans="2:21" s="371" customFormat="1" x14ac:dyDescent="0.2">
      <c r="B269" s="449"/>
      <c r="C269" s="449"/>
      <c r="G269" s="451"/>
      <c r="H269" s="451"/>
      <c r="I269" s="451"/>
      <c r="J269" s="410"/>
      <c r="M269" s="451"/>
      <c r="N269" s="451"/>
      <c r="O269" s="451"/>
      <c r="P269" s="410"/>
      <c r="S269" s="451"/>
      <c r="T269" s="451"/>
      <c r="U269" s="451"/>
    </row>
    <row r="270" spans="2:21" s="371" customFormat="1" x14ac:dyDescent="0.2">
      <c r="B270" s="449"/>
      <c r="C270" s="449"/>
      <c r="G270" s="451"/>
      <c r="H270" s="451"/>
      <c r="I270" s="451"/>
      <c r="J270" s="410"/>
      <c r="M270" s="451"/>
      <c r="N270" s="451"/>
      <c r="O270" s="451"/>
      <c r="P270" s="410"/>
      <c r="S270" s="451"/>
      <c r="T270" s="451"/>
      <c r="U270" s="451"/>
    </row>
    <row r="271" spans="2:21" s="371" customFormat="1" x14ac:dyDescent="0.2">
      <c r="B271" s="449"/>
      <c r="C271" s="449"/>
      <c r="G271" s="451"/>
      <c r="H271" s="451"/>
      <c r="I271" s="451"/>
      <c r="J271" s="410"/>
      <c r="M271" s="451"/>
      <c r="N271" s="451"/>
      <c r="O271" s="451"/>
      <c r="P271" s="410"/>
      <c r="S271" s="451"/>
      <c r="T271" s="451"/>
      <c r="U271" s="451"/>
    </row>
    <row r="272" spans="2:21" s="371" customFormat="1" x14ac:dyDescent="0.2">
      <c r="B272" s="449"/>
      <c r="C272" s="449"/>
      <c r="G272" s="451"/>
      <c r="H272" s="451"/>
      <c r="I272" s="451"/>
      <c r="J272" s="410"/>
      <c r="M272" s="451"/>
      <c r="N272" s="451"/>
      <c r="O272" s="451"/>
      <c r="P272" s="410"/>
      <c r="S272" s="451"/>
      <c r="T272" s="451"/>
      <c r="U272" s="451"/>
    </row>
    <row r="273" spans="2:21" s="371" customFormat="1" x14ac:dyDescent="0.2">
      <c r="B273" s="449"/>
      <c r="C273" s="449"/>
      <c r="G273" s="451"/>
      <c r="H273" s="451"/>
      <c r="I273" s="451"/>
      <c r="J273" s="410"/>
      <c r="M273" s="451"/>
      <c r="N273" s="451"/>
      <c r="O273" s="451"/>
      <c r="P273" s="410"/>
      <c r="S273" s="451"/>
      <c r="T273" s="451"/>
      <c r="U273" s="451"/>
    </row>
    <row r="274" spans="2:21" s="371" customFormat="1" x14ac:dyDescent="0.2">
      <c r="B274" s="449"/>
      <c r="C274" s="449"/>
      <c r="G274" s="451"/>
      <c r="H274" s="451"/>
      <c r="I274" s="451"/>
      <c r="J274" s="410"/>
      <c r="M274" s="451"/>
      <c r="N274" s="451"/>
      <c r="O274" s="451"/>
      <c r="P274" s="410"/>
      <c r="S274" s="451"/>
      <c r="T274" s="451"/>
      <c r="U274" s="451"/>
    </row>
    <row r="275" spans="2:21" s="371" customFormat="1" x14ac:dyDescent="0.2">
      <c r="B275" s="449"/>
      <c r="C275" s="449"/>
      <c r="G275" s="451"/>
      <c r="H275" s="451"/>
      <c r="I275" s="451"/>
      <c r="J275" s="410"/>
      <c r="M275" s="451"/>
      <c r="N275" s="451"/>
      <c r="O275" s="451"/>
      <c r="P275" s="410"/>
      <c r="S275" s="451"/>
      <c r="T275" s="451"/>
      <c r="U275" s="451"/>
    </row>
    <row r="276" spans="2:21" s="371" customFormat="1" x14ac:dyDescent="0.2">
      <c r="B276" s="449"/>
      <c r="C276" s="449"/>
      <c r="G276" s="451"/>
      <c r="H276" s="451"/>
      <c r="I276" s="451"/>
      <c r="J276" s="410"/>
      <c r="M276" s="451"/>
      <c r="N276" s="451"/>
      <c r="O276" s="451"/>
      <c r="P276" s="410"/>
      <c r="S276" s="451"/>
      <c r="T276" s="451"/>
      <c r="U276" s="451"/>
    </row>
    <row r="277" spans="2:21" s="371" customFormat="1" x14ac:dyDescent="0.2">
      <c r="B277" s="449"/>
      <c r="C277" s="449"/>
      <c r="G277" s="451"/>
      <c r="H277" s="451"/>
      <c r="I277" s="451"/>
      <c r="J277" s="410"/>
      <c r="M277" s="451"/>
      <c r="N277" s="451"/>
      <c r="O277" s="451"/>
      <c r="P277" s="410"/>
      <c r="S277" s="451"/>
      <c r="T277" s="451"/>
      <c r="U277" s="451"/>
    </row>
    <row r="278" spans="2:21" s="371" customFormat="1" x14ac:dyDescent="0.2">
      <c r="B278" s="449"/>
      <c r="C278" s="449"/>
      <c r="G278" s="451"/>
      <c r="H278" s="451"/>
      <c r="I278" s="451"/>
      <c r="J278" s="410"/>
      <c r="M278" s="451"/>
      <c r="N278" s="451"/>
      <c r="O278" s="451"/>
      <c r="P278" s="410"/>
      <c r="S278" s="451"/>
      <c r="T278" s="451"/>
      <c r="U278" s="451"/>
    </row>
    <row r="279" spans="2:21" s="371" customFormat="1" x14ac:dyDescent="0.2">
      <c r="B279" s="449"/>
      <c r="C279" s="449"/>
      <c r="G279" s="451"/>
      <c r="H279" s="451"/>
      <c r="I279" s="451"/>
      <c r="J279" s="410"/>
      <c r="M279" s="451"/>
      <c r="N279" s="451"/>
      <c r="O279" s="451"/>
      <c r="P279" s="410"/>
      <c r="S279" s="451"/>
      <c r="T279" s="451"/>
      <c r="U279" s="451"/>
    </row>
  </sheetData>
  <mergeCells count="3">
    <mergeCell ref="E7:I7"/>
    <mergeCell ref="K7:O7"/>
    <mergeCell ref="Q7:U7"/>
  </mergeCells>
  <pageMargins left="0.45" right="0.45" top="0.5" bottom="0.5" header="0.3" footer="0.3"/>
  <pageSetup scale="65" orientation="landscape" r:id="rId1"/>
  <headerFooter>
    <oddFooter>&amp;R&amp;A
 Page &amp;P of &amp;N</oddFooter>
  </headerFooter>
  <rowBreaks count="5" manualBreakCount="5">
    <brk id="62" min="1" max="20" man="1"/>
    <brk id="99" max="16383" man="1"/>
    <brk id="137" min="1" max="20" man="1"/>
    <brk id="172" max="16383" man="1"/>
    <brk id="216" min="1" max="20" man="1"/>
  </rowBreaks>
  <colBreaks count="1" manualBreakCount="1">
    <brk id="10" max="25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39"/>
  <sheetViews>
    <sheetView zoomScale="90" zoomScaleNormal="90" zoomScaleSheetLayoutView="100" workbookViewId="0">
      <selection activeCell="F68" sqref="F68"/>
    </sheetView>
  </sheetViews>
  <sheetFormatPr defaultColWidth="9.140625" defaultRowHeight="15.75" x14ac:dyDescent="0.25"/>
  <cols>
    <col min="1" max="1" width="4.85546875" style="462" bestFit="1" customWidth="1"/>
    <col min="2" max="2" width="34.42578125" style="462" customWidth="1"/>
    <col min="3" max="3" width="15.140625" style="463" bestFit="1" customWidth="1"/>
    <col min="4" max="4" width="15.140625" style="462" bestFit="1" customWidth="1"/>
    <col min="5" max="5" width="2.140625" style="462" customWidth="1"/>
    <col min="6" max="6" width="15.140625" style="464" bestFit="1" customWidth="1"/>
    <col min="7" max="7" width="15.140625" style="462" bestFit="1" customWidth="1"/>
    <col min="8" max="8" width="14" style="462" bestFit="1" customWidth="1"/>
    <col min="9" max="9" width="15.140625" style="462" bestFit="1" customWidth="1"/>
    <col min="10" max="10" width="2.140625" style="462" customWidth="1"/>
    <col min="11" max="11" width="15.140625" style="463" bestFit="1" customWidth="1"/>
    <col min="12" max="12" width="15.140625" style="462" bestFit="1" customWidth="1"/>
    <col min="13" max="13" width="14.7109375" style="462" bestFit="1" customWidth="1"/>
    <col min="14" max="14" width="15.140625" style="462" bestFit="1" customWidth="1"/>
    <col min="15" max="15" width="2.140625" style="462" customWidth="1"/>
    <col min="16" max="17" width="15.140625" style="462" bestFit="1" customWidth="1"/>
    <col min="18" max="18" width="14.7109375" style="462" bestFit="1" customWidth="1"/>
    <col min="19" max="19" width="15.140625" style="462" bestFit="1" customWidth="1"/>
    <col min="20" max="20" width="12.7109375" style="462" bestFit="1" customWidth="1"/>
    <col min="21" max="16384" width="9.140625" style="462"/>
  </cols>
  <sheetData>
    <row r="1" spans="1:20" x14ac:dyDescent="0.25">
      <c r="B1" s="124" t="s">
        <v>261</v>
      </c>
    </row>
    <row r="2" spans="1:20" s="15" customFormat="1" ht="12.75" x14ac:dyDescent="0.2">
      <c r="B2" s="1" t="s">
        <v>262</v>
      </c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24"/>
      <c r="S2" s="124"/>
      <c r="T2" s="124"/>
    </row>
    <row r="3" spans="1:20" s="15" customFormat="1" ht="12.75" x14ac:dyDescent="0.2">
      <c r="B3" s="1" t="s">
        <v>263</v>
      </c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24"/>
      <c r="T3" s="124"/>
    </row>
    <row r="4" spans="1:20" s="15" customFormat="1" ht="12.75" x14ac:dyDescent="0.2">
      <c r="B4" s="124" t="s">
        <v>207</v>
      </c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</row>
    <row r="5" spans="1:20" s="15" customFormat="1" ht="12.75" x14ac:dyDescent="0.2">
      <c r="B5" s="124" t="str">
        <f>'Exh JDT-5 (JDT-RES_RD)'!B5</f>
        <v>Rate Spread and Schedule 141R and 141N Allocation</v>
      </c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  <c r="N5" s="124"/>
      <c r="O5" s="124"/>
      <c r="P5" s="124"/>
      <c r="Q5" s="124"/>
      <c r="R5" s="124"/>
      <c r="S5" s="124"/>
      <c r="T5" s="124"/>
    </row>
    <row r="6" spans="1:20" ht="15" customHeight="1" x14ac:dyDescent="0.25">
      <c r="F6" s="465"/>
      <c r="G6" s="465"/>
      <c r="H6" s="465"/>
      <c r="I6" s="465"/>
    </row>
    <row r="7" spans="1:20" x14ac:dyDescent="0.25">
      <c r="A7" s="466"/>
      <c r="C7" s="569" t="s">
        <v>208</v>
      </c>
      <c r="D7" s="569"/>
      <c r="F7" s="570">
        <v>2023</v>
      </c>
      <c r="G7" s="570"/>
      <c r="H7" s="570"/>
      <c r="I7" s="570"/>
      <c r="K7" s="570">
        <v>2024</v>
      </c>
      <c r="L7" s="570"/>
      <c r="M7" s="570"/>
      <c r="N7" s="570"/>
      <c r="P7" s="570">
        <v>2025</v>
      </c>
      <c r="Q7" s="570"/>
      <c r="R7" s="570"/>
      <c r="S7" s="570"/>
    </row>
    <row r="8" spans="1:20" ht="45" x14ac:dyDescent="0.25">
      <c r="A8" s="467" t="s">
        <v>1</v>
      </c>
      <c r="B8" s="468" t="s">
        <v>2</v>
      </c>
      <c r="C8" s="469" t="s">
        <v>209</v>
      </c>
      <c r="D8" s="467" t="s">
        <v>210</v>
      </c>
      <c r="F8" s="470" t="s">
        <v>209</v>
      </c>
      <c r="G8" s="467" t="s">
        <v>210</v>
      </c>
      <c r="H8" s="467" t="s">
        <v>211</v>
      </c>
      <c r="I8" s="467" t="s">
        <v>212</v>
      </c>
      <c r="K8" s="470" t="s">
        <v>209</v>
      </c>
      <c r="L8" s="467" t="s">
        <v>210</v>
      </c>
      <c r="M8" s="467" t="s">
        <v>211</v>
      </c>
      <c r="N8" s="467" t="s">
        <v>212</v>
      </c>
      <c r="P8" s="470" t="s">
        <v>209</v>
      </c>
      <c r="Q8" s="467" t="s">
        <v>210</v>
      </c>
      <c r="R8" s="467" t="s">
        <v>211</v>
      </c>
      <c r="S8" s="467" t="s">
        <v>212</v>
      </c>
    </row>
    <row r="9" spans="1:20" x14ac:dyDescent="0.25">
      <c r="A9" s="471"/>
      <c r="B9" s="472" t="s">
        <v>213</v>
      </c>
      <c r="C9" s="473" t="s">
        <v>214</v>
      </c>
      <c r="D9" s="466" t="s">
        <v>215</v>
      </c>
      <c r="E9" s="466"/>
      <c r="F9" s="466" t="s">
        <v>216</v>
      </c>
      <c r="G9" s="466" t="s">
        <v>217</v>
      </c>
      <c r="H9" s="466" t="s">
        <v>218</v>
      </c>
      <c r="I9" s="466" t="s">
        <v>219</v>
      </c>
      <c r="J9" s="466"/>
      <c r="K9" s="466" t="s">
        <v>220</v>
      </c>
      <c r="L9" s="466" t="s">
        <v>221</v>
      </c>
      <c r="M9" s="466" t="s">
        <v>222</v>
      </c>
      <c r="N9" s="466" t="s">
        <v>223</v>
      </c>
      <c r="O9" s="466"/>
      <c r="P9" s="466" t="s">
        <v>224</v>
      </c>
      <c r="Q9" s="466" t="s">
        <v>225</v>
      </c>
      <c r="R9" s="466" t="s">
        <v>226</v>
      </c>
      <c r="S9" s="466" t="s">
        <v>227</v>
      </c>
    </row>
    <row r="10" spans="1:20" x14ac:dyDescent="0.25">
      <c r="A10" s="466">
        <v>1</v>
      </c>
      <c r="B10" s="474"/>
      <c r="P10" s="463"/>
    </row>
    <row r="11" spans="1:20" x14ac:dyDescent="0.25">
      <c r="A11" s="466">
        <f>+A10+1</f>
        <v>2</v>
      </c>
      <c r="B11" s="471" t="s">
        <v>5</v>
      </c>
      <c r="C11" s="475">
        <f>'Exh JDT-5 (JDT-RES_RD)'!F37</f>
        <v>371522164.00579327</v>
      </c>
      <c r="D11" s="476">
        <f>'Exh JDT-5 (JDT-RES_RD)'!I37</f>
        <v>405164595.13474095</v>
      </c>
      <c r="F11" s="464">
        <f>'Exh JDT-5 (JDT-MYRP)'!F12</f>
        <v>381408517.88003999</v>
      </c>
      <c r="G11" s="477">
        <f>'Exh JDT-5 (JDT-MYRP)'!G12</f>
        <v>415942945.27182001</v>
      </c>
      <c r="H11" s="477">
        <f>SUM('Exh JDT-5 (JDT-MYRP)'!H19,'Exh JDT-5 (JDT-MYRP)'!H27,'Exh JDT-5 (JDT-MYRP)'!H35)</f>
        <v>-642741.97493000003</v>
      </c>
      <c r="I11" s="477">
        <f>SUM('Exh JDT-5 (JDT-MYRP)'!I19,'Exh JDT-5 (JDT-MYRP)'!I27,'Exh JDT-5 (JDT-MYRP)'!I35)</f>
        <v>30959799.089450002</v>
      </c>
      <c r="K11" s="478">
        <f>'Exh JDT-5 (JDT-MYRP)'!L12</f>
        <v>384032148.01235998</v>
      </c>
      <c r="L11" s="477">
        <f>'Exh JDT-5 (JDT-MYRP)'!M12</f>
        <v>418799922.89238</v>
      </c>
      <c r="M11" s="477">
        <f>SUM('Exh JDT-5 (JDT-MYRP)'!N19,'Exh JDT-5 (JDT-MYRP)'!N27,'Exh JDT-5 (JDT-MYRP)'!N35)</f>
        <v>-19395227.645729996</v>
      </c>
      <c r="N11" s="477">
        <f>SUM('Exh JDT-5 (JDT-MYRP)'!O19,'Exh JDT-5 (JDT-MYRP)'!O27,'Exh JDT-5 (JDT-MYRP)'!O35)</f>
        <v>63167180.575180009</v>
      </c>
      <c r="P11" s="478"/>
      <c r="Q11" s="477"/>
      <c r="R11" s="477"/>
      <c r="S11" s="477"/>
    </row>
    <row r="12" spans="1:20" x14ac:dyDescent="0.25">
      <c r="A12" s="466">
        <f t="shared" ref="A12:A15" si="0">+A11+1</f>
        <v>3</v>
      </c>
      <c r="B12" s="471" t="s">
        <v>6</v>
      </c>
      <c r="C12" s="478">
        <f>'Exh JDT-5 (JDT-C&amp;I-RD)'!F36</f>
        <v>111031564.85000001</v>
      </c>
      <c r="D12" s="477">
        <f>'Exh JDT-5 (JDT-C&amp;I-RD)'!I36</f>
        <v>122689381.52999999</v>
      </c>
      <c r="F12" s="464">
        <f>'Exh JDT-5 (JDT-MYRP)'!F41</f>
        <v>119685870.05628002</v>
      </c>
      <c r="G12" s="477">
        <f>'Exh JDT-5 (JDT-MYRP)'!G41</f>
        <v>132170612.62645999</v>
      </c>
      <c r="H12" s="477">
        <f>SUM('Exh JDT-5 (JDT-MYRP)'!H49,'Exh JDT-5 (JDT-MYRP)'!H59)</f>
        <v>-226200.77985000002</v>
      </c>
      <c r="I12" s="477">
        <f>SUM('Exh JDT-5 (JDT-MYRP)'!I49,'Exh JDT-5 (JDT-MYRP)'!I59)</f>
        <v>10923308.626949999</v>
      </c>
      <c r="K12" s="478">
        <f>'Exh JDT-5 (JDT-MYRP)'!L41</f>
        <v>120892478.12313001</v>
      </c>
      <c r="L12" s="477">
        <f>'Exh JDT-5 (JDT-MYRP)'!M41</f>
        <v>133496658.36895999</v>
      </c>
      <c r="M12" s="477">
        <f>SUM('Exh JDT-5 (JDT-MYRP)'!N49,'Exh JDT-5 (JDT-MYRP)'!N59)</f>
        <v>-6842888.4602000006</v>
      </c>
      <c r="N12" s="477">
        <f>SUM('Exh JDT-5 (JDT-MYRP)'!O49,'Exh JDT-5 (JDT-MYRP)'!O59)</f>
        <v>22284891.966000002</v>
      </c>
      <c r="P12" s="478"/>
      <c r="Q12" s="477"/>
      <c r="R12" s="477"/>
      <c r="S12" s="477"/>
    </row>
    <row r="13" spans="1:20" x14ac:dyDescent="0.25">
      <c r="A13" s="466">
        <f t="shared" si="0"/>
        <v>4</v>
      </c>
      <c r="B13" s="471" t="s">
        <v>7</v>
      </c>
      <c r="C13" s="478">
        <f>'Exh JDT-5 (JDT-C&amp;I-RD)'!F86</f>
        <v>20697587.662770957</v>
      </c>
      <c r="D13" s="477">
        <f>'Exh JDT-5 (JDT-C&amp;I-RD)'!I86</f>
        <v>22360730.33893951</v>
      </c>
      <c r="F13" s="464">
        <f>'Exh JDT-5 (JDT-MYRP)'!F65</f>
        <v>21705020.029999997</v>
      </c>
      <c r="G13" s="477">
        <f>'Exh JDT-5 (JDT-MYRP)'!G65</f>
        <v>23430484.903149996</v>
      </c>
      <c r="H13" s="477">
        <f>SUM('Exh JDT-5 (JDT-MYRP)'!H80,'Exh JDT-5 (JDT-MYRP)'!H97)</f>
        <v>-41574.332699999999</v>
      </c>
      <c r="I13" s="477">
        <f>SUM('Exh JDT-5 (JDT-MYRP)'!I80,'Exh JDT-5 (JDT-MYRP)'!I97)</f>
        <v>1983557.6068199999</v>
      </c>
      <c r="K13" s="478">
        <f>'Exh JDT-5 (JDT-MYRP)'!L65</f>
        <v>21813071.000000004</v>
      </c>
      <c r="L13" s="477">
        <f>'Exh JDT-5 (JDT-MYRP)'!M65</f>
        <v>23546743.313790001</v>
      </c>
      <c r="M13" s="477">
        <f>SUM('Exh JDT-5 (JDT-MYRP)'!N80,'Exh JDT-5 (JDT-MYRP)'!N97)</f>
        <v>-1242230.3075000001</v>
      </c>
      <c r="N13" s="477">
        <f>SUM('Exh JDT-5 (JDT-MYRP)'!O80,'Exh JDT-5 (JDT-MYRP)'!O97)</f>
        <v>4046121.5729999999</v>
      </c>
      <c r="P13" s="478"/>
      <c r="Q13" s="477"/>
      <c r="R13" s="477"/>
      <c r="S13" s="477"/>
    </row>
    <row r="14" spans="1:20" x14ac:dyDescent="0.25">
      <c r="A14" s="466">
        <f t="shared" si="0"/>
        <v>5</v>
      </c>
      <c r="B14" s="471" t="s">
        <v>8</v>
      </c>
      <c r="C14" s="478">
        <f>'Exh JDT-5 (JDT-INTRPL-RD)'!F54</f>
        <v>8603644.5934943184</v>
      </c>
      <c r="D14" s="477">
        <f>'Exh JDT-5 (JDT-INTRPL-RD)'!I54</f>
        <v>9659072.6799999997</v>
      </c>
      <c r="F14" s="464">
        <f>'Exh JDT-5 (JDT-MYRP)'!F103</f>
        <v>7448585.0592142921</v>
      </c>
      <c r="G14" s="477">
        <f>'Exh JDT-5 (JDT-MYRP)'!G103</f>
        <v>8347020.9213351058</v>
      </c>
      <c r="H14" s="477">
        <f>SUM('Exh JDT-5 (JDT-MYRP)'!H117,'Exh JDT-5 (JDT-MYRP)'!H134)</f>
        <v>-19956.282660000001</v>
      </c>
      <c r="I14" s="477">
        <f>SUM('Exh JDT-5 (JDT-MYRP)'!I117,'Exh JDT-5 (JDT-MYRP)'!I134)</f>
        <v>943858.25766</v>
      </c>
      <c r="K14" s="478">
        <f>'Exh JDT-5 (JDT-MYRP)'!L103</f>
        <v>7380545.0838783914</v>
      </c>
      <c r="L14" s="477">
        <f>'Exh JDT-5 (JDT-MYRP)'!M103</f>
        <v>8269543.6112678461</v>
      </c>
      <c r="M14" s="477">
        <f>SUM('Exh JDT-5 (JDT-MYRP)'!N117,'Exh JDT-5 (JDT-MYRP)'!N134)</f>
        <v>-590847.51936000003</v>
      </c>
      <c r="N14" s="477">
        <f>SUM('Exh JDT-5 (JDT-MYRP)'!O117,'Exh JDT-5 (JDT-MYRP)'!O134)</f>
        <v>1925184.2534400001</v>
      </c>
      <c r="P14" s="478"/>
      <c r="Q14" s="477"/>
      <c r="R14" s="477"/>
      <c r="S14" s="477"/>
    </row>
    <row r="15" spans="1:20" x14ac:dyDescent="0.25">
      <c r="A15" s="466">
        <f t="shared" si="0"/>
        <v>6</v>
      </c>
      <c r="B15" s="471" t="s">
        <v>9</v>
      </c>
      <c r="C15" s="478">
        <f>'Exh JDT-5 (JDT-INTRPL-RD)'!F98</f>
        <v>1496082.9500000002</v>
      </c>
      <c r="D15" s="477">
        <f>'Exh JDT-5 (JDT-INTRPL-RD)'!I98</f>
        <v>1563248</v>
      </c>
      <c r="F15" s="464">
        <f>'Exh JDT-5 (JDT-MYRP)'!F140</f>
        <v>1247670.0419045878</v>
      </c>
      <c r="G15" s="477">
        <f>'Exh JDT-5 (JDT-MYRP)'!G140</f>
        <v>1303841.3137276205</v>
      </c>
      <c r="H15" s="477">
        <f>SUM('Exh JDT-5 (JDT-MYRP)'!H153,'Exh JDT-5 (JDT-MYRP)'!H169)</f>
        <v>-1371.45778</v>
      </c>
      <c r="I15" s="477">
        <f>SUM('Exh JDT-5 (JDT-MYRP)'!I153,'Exh JDT-5 (JDT-MYRP)'!I169)</f>
        <v>64894.888590000002</v>
      </c>
      <c r="K15" s="478">
        <f>'Exh JDT-5 (JDT-MYRP)'!L140</f>
        <v>1211985.7785573273</v>
      </c>
      <c r="L15" s="477">
        <f>'Exh JDT-5 (JDT-MYRP)'!M140</f>
        <v>1266648.761613443</v>
      </c>
      <c r="M15" s="477">
        <f>SUM('Exh JDT-5 (JDT-MYRP)'!N153,'Exh JDT-5 (JDT-MYRP)'!N169)</f>
        <v>-40656.337</v>
      </c>
      <c r="N15" s="477">
        <f>SUM('Exh JDT-5 (JDT-MYRP)'!O153,'Exh JDT-5 (JDT-MYRP)'!O169)</f>
        <v>132406.16019999998</v>
      </c>
      <c r="P15" s="478"/>
      <c r="Q15" s="477"/>
      <c r="R15" s="477"/>
      <c r="S15" s="477"/>
    </row>
    <row r="16" spans="1:20" x14ac:dyDescent="0.25">
      <c r="A16" s="466">
        <f>+A15+1</f>
        <v>7</v>
      </c>
      <c r="B16" s="471" t="s">
        <v>10</v>
      </c>
      <c r="C16" s="478">
        <f>'Exh JDT-5 (JDT-INTRPL-RD)'!F155</f>
        <v>5587277.8200000003</v>
      </c>
      <c r="D16" s="477">
        <f>'Exh JDT-5 (JDT-INTRPL-RD)'!I155</f>
        <v>6330549.8299999991</v>
      </c>
      <c r="F16" s="464">
        <f>'Exh JDT-5 (JDT-MYRP)'!F175</f>
        <v>6484148.915463971</v>
      </c>
      <c r="G16" s="477">
        <f>'Exh JDT-5 (JDT-MYRP)'!G175</f>
        <v>7307073.8799999999</v>
      </c>
      <c r="H16" s="477">
        <f>SUM('Exh JDT-5 (JDT-MYRP)'!H192,'Exh JDT-5 (JDT-MYRP)'!H212)</f>
        <v>-12999.698126316696</v>
      </c>
      <c r="I16" s="477">
        <f>SUM('Exh JDT-5 (JDT-MYRP)'!I192,'Exh JDT-5 (JDT-MYRP)'!I212)</f>
        <v>616903.94966180949</v>
      </c>
      <c r="K16" s="478">
        <f>'Exh JDT-5 (JDT-MYRP)'!L175</f>
        <v>6797351.655923971</v>
      </c>
      <c r="L16" s="477">
        <f>'Exh JDT-5 (JDT-MYRP)'!M175</f>
        <v>7631765.5099999998</v>
      </c>
      <c r="M16" s="477">
        <f>SUM('Exh JDT-5 (JDT-MYRP)'!N192,'Exh JDT-5 (JDT-MYRP)'!N212)</f>
        <v>-386764.21025269234</v>
      </c>
      <c r="N16" s="477">
        <f>SUM('Exh JDT-5 (JDT-MYRP)'!O192,'Exh JDT-5 (JDT-MYRP)'!O212)</f>
        <v>1259124.1878946973</v>
      </c>
      <c r="P16" s="478"/>
      <c r="Q16" s="477"/>
      <c r="R16" s="477"/>
      <c r="S16" s="477"/>
    </row>
    <row r="17" spans="1:20" x14ac:dyDescent="0.25">
      <c r="A17" s="466">
        <f t="shared" ref="A17:A18" si="1">+A16+1</f>
        <v>8</v>
      </c>
      <c r="B17" s="471" t="s">
        <v>11</v>
      </c>
      <c r="C17" s="478">
        <v>1649472.3881615999</v>
      </c>
      <c r="D17" s="477">
        <f>'Exh JDT-5 (JDT-INTRPL-RD)'!I168</f>
        <v>1699064.4523564125</v>
      </c>
      <c r="F17" s="464">
        <v>1620924.2085755297</v>
      </c>
      <c r="G17" s="477">
        <f>F17++'Exh JDT-5 (JDT-Rate Spread)'!L46</f>
        <v>1640664.2085755297</v>
      </c>
      <c r="H17" s="477"/>
      <c r="I17" s="477"/>
      <c r="K17" s="478">
        <v>1618329.5363931155</v>
      </c>
      <c r="L17" s="477">
        <f>K17++'Exh JDT-5 (JDT-Rate Spread)'!L46</f>
        <v>1638069.5363931155</v>
      </c>
      <c r="M17" s="477"/>
      <c r="N17" s="477"/>
      <c r="P17" s="478"/>
      <c r="Q17" s="477"/>
      <c r="R17" s="477"/>
      <c r="S17" s="477"/>
    </row>
    <row r="18" spans="1:20" ht="16.5" thickBot="1" x14ac:dyDescent="0.3">
      <c r="A18" s="466">
        <f t="shared" si="1"/>
        <v>9</v>
      </c>
      <c r="B18" s="462" t="s">
        <v>3</v>
      </c>
      <c r="C18" s="479">
        <f>SUM(C11:C17)</f>
        <v>520587794.2702201</v>
      </c>
      <c r="D18" s="480">
        <f>SUM(D11:D17)</f>
        <v>569466641.96603692</v>
      </c>
      <c r="F18" s="479">
        <f>SUM(F11:F17)</f>
        <v>539600736.19147825</v>
      </c>
      <c r="G18" s="481">
        <f>SUM(G11:G17)</f>
        <v>590142643.12506819</v>
      </c>
      <c r="H18" s="481">
        <f>SUM(H11:H17)</f>
        <v>-944844.52604631684</v>
      </c>
      <c r="I18" s="481">
        <f>SUM(I11:I17)</f>
        <v>45492322.419131808</v>
      </c>
      <c r="K18" s="479">
        <f>SUM(K11:K17)</f>
        <v>543745909.19024289</v>
      </c>
      <c r="L18" s="480">
        <f>SUM(L11:L17)</f>
        <v>594649351.99440444</v>
      </c>
      <c r="M18" s="480">
        <f>SUM(M11:M17)</f>
        <v>-28498614.480042689</v>
      </c>
      <c r="N18" s="480">
        <f>SUM(N11:N17)</f>
        <v>92814908.715714723</v>
      </c>
      <c r="P18" s="479">
        <f>SUM(P11:P17)</f>
        <v>0</v>
      </c>
      <c r="Q18" s="480">
        <f>SUM(Q11:Q17)</f>
        <v>0</v>
      </c>
      <c r="R18" s="480">
        <f>SUM(R11:R17)</f>
        <v>0</v>
      </c>
      <c r="S18" s="480">
        <f>SUM(S11:S17)</f>
        <v>0</v>
      </c>
    </row>
    <row r="19" spans="1:20" ht="16.5" thickTop="1" x14ac:dyDescent="0.25">
      <c r="A19" s="466"/>
      <c r="C19" s="482"/>
      <c r="D19" s="483"/>
      <c r="F19" s="482"/>
      <c r="G19" s="483"/>
      <c r="H19" s="483"/>
      <c r="I19" s="483"/>
      <c r="K19" s="482"/>
      <c r="L19" s="483"/>
      <c r="M19" s="483"/>
      <c r="N19" s="483"/>
      <c r="P19" s="482"/>
      <c r="Q19" s="483"/>
      <c r="R19" s="483"/>
      <c r="S19" s="483"/>
    </row>
    <row r="20" spans="1:20" x14ac:dyDescent="0.25">
      <c r="A20" s="466">
        <f>A18+1</f>
        <v>10</v>
      </c>
      <c r="B20" s="462" t="s">
        <v>228</v>
      </c>
      <c r="C20" s="482"/>
      <c r="D20" s="483"/>
      <c r="F20" s="482">
        <f>F18-C18</f>
        <v>19012941.921258152</v>
      </c>
      <c r="G20" s="483"/>
      <c r="H20" s="483"/>
      <c r="I20" s="483"/>
      <c r="K20" s="482">
        <f>K18-C18</f>
        <v>23158114.920022786</v>
      </c>
      <c r="L20" s="483"/>
      <c r="M20" s="483"/>
      <c r="N20" s="483"/>
      <c r="P20" s="482">
        <v>0</v>
      </c>
      <c r="Q20" s="483"/>
      <c r="R20" s="483"/>
      <c r="S20" s="483"/>
    </row>
    <row r="21" spans="1:20" x14ac:dyDescent="0.25">
      <c r="A21" s="466">
        <f>+A20+1</f>
        <v>11</v>
      </c>
      <c r="B21" s="462" t="s">
        <v>229</v>
      </c>
      <c r="C21" s="482"/>
      <c r="D21" s="483"/>
      <c r="G21" s="483">
        <f>G18-D18</f>
        <v>20676001.159031272</v>
      </c>
      <c r="H21" s="483"/>
      <c r="I21" s="483"/>
      <c r="K21" s="464"/>
      <c r="L21" s="483">
        <f>L18-D18</f>
        <v>25182710.028367519</v>
      </c>
      <c r="M21" s="483"/>
      <c r="N21" s="483"/>
      <c r="Q21" s="483">
        <v>0</v>
      </c>
      <c r="R21" s="483"/>
      <c r="S21" s="483"/>
    </row>
    <row r="22" spans="1:20" x14ac:dyDescent="0.25">
      <c r="A22" s="466">
        <f>+A21+1</f>
        <v>12</v>
      </c>
      <c r="B22" s="462" t="s">
        <v>35</v>
      </c>
      <c r="C22" s="482"/>
      <c r="D22" s="483"/>
      <c r="G22" s="484">
        <f>G21-F20</f>
        <v>1663059.2377731204</v>
      </c>
      <c r="H22" s="483"/>
      <c r="I22" s="483"/>
      <c r="K22" s="464"/>
      <c r="L22" s="483">
        <f>L21-K20</f>
        <v>2024595.1083447337</v>
      </c>
      <c r="M22" s="483"/>
      <c r="N22" s="483"/>
      <c r="Q22" s="483">
        <f>Q21-P20</f>
        <v>0</v>
      </c>
      <c r="R22" s="483"/>
      <c r="S22" s="483"/>
    </row>
    <row r="23" spans="1:20" x14ac:dyDescent="0.25">
      <c r="A23" s="466"/>
      <c r="C23" s="482"/>
      <c r="D23" s="483"/>
      <c r="G23" s="483"/>
      <c r="H23" s="483"/>
      <c r="I23" s="483"/>
      <c r="L23" s="483"/>
      <c r="M23" s="483"/>
      <c r="N23" s="483"/>
      <c r="Q23" s="483"/>
      <c r="R23" s="483"/>
      <c r="S23" s="483"/>
    </row>
    <row r="24" spans="1:20" s="485" customFormat="1" x14ac:dyDescent="0.25">
      <c r="B24" s="485" t="s">
        <v>230</v>
      </c>
      <c r="D24" s="486"/>
      <c r="F24" s="487"/>
      <c r="H24" s="486">
        <v>716876.11746409535</v>
      </c>
      <c r="M24" s="486">
        <v>-27190888.37768957</v>
      </c>
      <c r="R24" s="486">
        <v>0</v>
      </c>
    </row>
    <row r="25" spans="1:20" s="485" customFormat="1" x14ac:dyDescent="0.25">
      <c r="B25" s="485" t="s">
        <v>231</v>
      </c>
      <c r="D25" s="486"/>
      <c r="F25" s="487"/>
      <c r="G25" s="486"/>
      <c r="H25" s="486">
        <f>+H24</f>
        <v>716876.11746409535</v>
      </c>
      <c r="M25" s="486">
        <f>H24+M24</f>
        <v>-26474012.260225475</v>
      </c>
      <c r="R25" s="486">
        <v>0</v>
      </c>
    </row>
    <row r="26" spans="1:20" s="485" customFormat="1" x14ac:dyDescent="0.25">
      <c r="B26" s="485" t="s">
        <v>232</v>
      </c>
      <c r="D26" s="486"/>
      <c r="F26" s="487"/>
      <c r="H26" s="486">
        <f>H25-G22</f>
        <v>-946183.12030902505</v>
      </c>
      <c r="M26" s="486">
        <f>M25-L22</f>
        <v>-28498607.368570209</v>
      </c>
      <c r="R26" s="486">
        <v>0</v>
      </c>
    </row>
    <row r="27" spans="1:20" s="485" customFormat="1" x14ac:dyDescent="0.25">
      <c r="D27" s="486"/>
      <c r="F27" s="487"/>
      <c r="H27" s="488"/>
    </row>
    <row r="28" spans="1:20" s="485" customFormat="1" x14ac:dyDescent="0.25">
      <c r="D28" s="486"/>
      <c r="F28" s="487"/>
      <c r="I28" s="486"/>
    </row>
    <row r="29" spans="1:20" s="485" customFormat="1" x14ac:dyDescent="0.25">
      <c r="B29" s="485" t="s">
        <v>233</v>
      </c>
      <c r="D29" s="489"/>
      <c r="F29" s="486">
        <v>541636319.26357377</v>
      </c>
      <c r="I29" s="486">
        <v>634689820.10491467</v>
      </c>
      <c r="K29" s="486">
        <v>545781492.25652039</v>
      </c>
      <c r="N29" s="486">
        <v>658967926.94218314</v>
      </c>
      <c r="P29" s="490">
        <v>0</v>
      </c>
      <c r="S29" s="490">
        <v>0</v>
      </c>
    </row>
    <row r="30" spans="1:20" s="485" customFormat="1" x14ac:dyDescent="0.25">
      <c r="B30" s="485" t="s">
        <v>234</v>
      </c>
      <c r="F30" s="486">
        <f>F18</f>
        <v>539600736.19147825</v>
      </c>
      <c r="I30" s="490">
        <f>SUM(G18:I18)</f>
        <v>634690121.01815367</v>
      </c>
      <c r="K30" s="486">
        <f>K18</f>
        <v>543745909.19024289</v>
      </c>
      <c r="N30" s="490">
        <f>SUM(L18:N18)</f>
        <v>658965646.23007643</v>
      </c>
      <c r="P30" s="490">
        <f>P18</f>
        <v>0</v>
      </c>
      <c r="S30" s="490">
        <f>SUM(Q18:S18)</f>
        <v>0</v>
      </c>
    </row>
    <row r="31" spans="1:20" s="491" customFormat="1" x14ac:dyDescent="0.25">
      <c r="B31" s="485" t="s">
        <v>235</v>
      </c>
      <c r="D31" s="492"/>
      <c r="F31" s="486">
        <f>F29-F30</f>
        <v>2035583.0720955133</v>
      </c>
      <c r="G31" s="485"/>
      <c r="H31" s="485"/>
      <c r="I31" s="486">
        <f>I29-I30</f>
        <v>-300.91323900222778</v>
      </c>
      <c r="J31" s="485"/>
      <c r="K31" s="486">
        <f>K29-K30</f>
        <v>2035583.066277504</v>
      </c>
      <c r="L31" s="485"/>
      <c r="M31" s="485"/>
      <c r="N31" s="486">
        <f>N29-N30</f>
        <v>2280.7121067047119</v>
      </c>
      <c r="O31" s="485"/>
      <c r="P31" s="486">
        <f>P29-P30</f>
        <v>0</v>
      </c>
      <c r="Q31" s="485"/>
      <c r="R31" s="485"/>
      <c r="S31" s="486">
        <f>S29-S30</f>
        <v>0</v>
      </c>
    </row>
    <row r="32" spans="1:20" s="485" customFormat="1" x14ac:dyDescent="0.25">
      <c r="F32" s="487"/>
      <c r="H32" s="488"/>
      <c r="T32" s="486"/>
    </row>
    <row r="33" spans="1:19" s="485" customFormat="1" x14ac:dyDescent="0.25">
      <c r="F33" s="487"/>
      <c r="I33" s="486"/>
    </row>
    <row r="34" spans="1:19" s="485" customFormat="1" x14ac:dyDescent="0.25">
      <c r="F34" s="487"/>
    </row>
    <row r="35" spans="1:19" s="485" customFormat="1" x14ac:dyDescent="0.25">
      <c r="A35" s="493"/>
      <c r="B35" s="485" t="s">
        <v>236</v>
      </c>
      <c r="C35" s="490"/>
      <c r="D35" s="490"/>
      <c r="F35" s="487"/>
      <c r="H35" s="490">
        <f>'Exh JDT-5 (JDT-Rate Spread)'!C70</f>
        <v>-946183.12030902505</v>
      </c>
      <c r="I35" s="490">
        <f>'Exh JDT-5 (JDT-Rate Spread)'!C81</f>
        <v>45493538.650030538</v>
      </c>
      <c r="L35" s="490"/>
      <c r="M35" s="490">
        <f>'Exh JDT-5 (JDT-Rate Spread)'!C74</f>
        <v>-28498607.368570209</v>
      </c>
      <c r="N35" s="490">
        <f>'Exh JDT-5 (JDT-Rate Spread)'!C82</f>
        <v>92817360.872042105</v>
      </c>
      <c r="Q35" s="490"/>
      <c r="R35" s="490">
        <f>'Exh JDT-5 (JDT-Rate Spread)'!C78</f>
        <v>0</v>
      </c>
      <c r="S35" s="490">
        <f>'Exh JDT-5 (JDT-Rate Spread)'!C83</f>
        <v>0</v>
      </c>
    </row>
    <row r="36" spans="1:19" s="485" customFormat="1" x14ac:dyDescent="0.25">
      <c r="A36" s="493"/>
      <c r="B36" s="485" t="s">
        <v>237</v>
      </c>
      <c r="C36" s="490"/>
      <c r="D36" s="490"/>
      <c r="F36" s="487"/>
      <c r="G36" s="490"/>
      <c r="H36" s="490">
        <f>H18</f>
        <v>-944844.52604631684</v>
      </c>
      <c r="I36" s="490">
        <f>I18</f>
        <v>45492322.419131808</v>
      </c>
      <c r="L36" s="490"/>
      <c r="M36" s="490">
        <f>M18</f>
        <v>-28498614.480042689</v>
      </c>
      <c r="N36" s="490">
        <f>N18</f>
        <v>92814908.715714723</v>
      </c>
      <c r="Q36" s="490"/>
      <c r="R36" s="490">
        <f>R18</f>
        <v>0</v>
      </c>
      <c r="S36" s="490">
        <f>S18</f>
        <v>0</v>
      </c>
    </row>
    <row r="37" spans="1:19" s="485" customFormat="1" x14ac:dyDescent="0.25">
      <c r="B37" s="485" t="s">
        <v>238</v>
      </c>
      <c r="F37" s="487"/>
      <c r="H37" s="486">
        <f>H35-H36</f>
        <v>-1338.5942627082113</v>
      </c>
      <c r="I37" s="486">
        <f>I35-I36</f>
        <v>1216.2308987304568</v>
      </c>
      <c r="M37" s="486">
        <f>M35-M36</f>
        <v>7.1114724799990654</v>
      </c>
      <c r="N37" s="486">
        <f>N35-N36</f>
        <v>2452.1563273817301</v>
      </c>
      <c r="R37" s="486">
        <f>R35-R36</f>
        <v>0</v>
      </c>
      <c r="S37" s="486">
        <f>S35-S36</f>
        <v>0</v>
      </c>
    </row>
    <row r="39" spans="1:19" ht="18.95" customHeight="1" x14ac:dyDescent="0.25"/>
  </sheetData>
  <mergeCells count="4">
    <mergeCell ref="C7:D7"/>
    <mergeCell ref="F7:I7"/>
    <mergeCell ref="K7:N7"/>
    <mergeCell ref="P7:S7"/>
  </mergeCells>
  <pageMargins left="0.45" right="0.45" top="0.75" bottom="0.75" header="0.3" footer="0.3"/>
  <pageSetup scale="75" orientation="landscape" r:id="rId1"/>
  <headerFooter>
    <oddFooter>&amp;R&amp;A
 Page &amp;P of &amp;N</oddFooter>
  </headerFooter>
  <colBreaks count="2" manualBreakCount="2">
    <brk id="10" max="22" man="1"/>
    <brk id="19" max="1048575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M23"/>
  <sheetViews>
    <sheetView zoomScale="90" zoomScaleNormal="90" zoomScaleSheetLayoutView="90" workbookViewId="0">
      <selection activeCell="F68" sqref="F68"/>
    </sheetView>
  </sheetViews>
  <sheetFormatPr defaultRowHeight="15" x14ac:dyDescent="0.25"/>
  <cols>
    <col min="1" max="1" width="4" customWidth="1"/>
    <col min="2" max="2" width="26.7109375" bestFit="1" customWidth="1"/>
    <col min="3" max="3" width="26.7109375" customWidth="1"/>
    <col min="4" max="4" width="10" customWidth="1"/>
    <col min="5" max="5" width="13.7109375" customWidth="1"/>
    <col min="6" max="7" width="11.42578125" customWidth="1"/>
    <col min="8" max="8" width="4.140625" customWidth="1"/>
    <col min="9" max="9" width="14.28515625" customWidth="1"/>
    <col min="10" max="10" width="11.42578125" customWidth="1"/>
    <col min="11" max="11" width="3.5703125" customWidth="1"/>
    <col min="12" max="13" width="11.42578125" customWidth="1"/>
  </cols>
  <sheetData>
    <row r="1" spans="2:13" x14ac:dyDescent="0.25">
      <c r="B1" s="124" t="s">
        <v>261</v>
      </c>
    </row>
    <row r="2" spans="2:13" x14ac:dyDescent="0.25">
      <c r="B2" s="1" t="s">
        <v>262</v>
      </c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</row>
    <row r="3" spans="2:13" x14ac:dyDescent="0.25">
      <c r="B3" s="1" t="s">
        <v>263</v>
      </c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</row>
    <row r="4" spans="2:13" x14ac:dyDescent="0.25">
      <c r="B4" s="124" t="s">
        <v>239</v>
      </c>
      <c r="C4" s="124"/>
      <c r="D4" s="124"/>
      <c r="E4" s="124"/>
      <c r="F4" s="124"/>
      <c r="G4" s="124"/>
      <c r="H4" s="124"/>
      <c r="I4" s="124"/>
      <c r="J4" s="124"/>
      <c r="K4" s="124"/>
      <c r="L4" s="124"/>
      <c r="M4" s="124"/>
    </row>
    <row r="5" spans="2:13" x14ac:dyDescent="0.25">
      <c r="B5" s="124" t="str">
        <f>'Exh JDT-5 (JDT-Rate Spread)'!B5</f>
        <v>Rate Spread and Schedule 141R and 141N Allocation</v>
      </c>
      <c r="C5" s="124"/>
      <c r="D5" s="124"/>
      <c r="E5" s="124"/>
      <c r="F5" s="124"/>
      <c r="G5" s="124"/>
      <c r="H5" s="124"/>
      <c r="I5" s="124"/>
      <c r="J5" s="124"/>
      <c r="K5" s="124"/>
      <c r="L5" s="124"/>
      <c r="M5" s="124"/>
    </row>
    <row r="7" spans="2:13" x14ac:dyDescent="0.25">
      <c r="B7" s="136"/>
      <c r="C7" s="137"/>
      <c r="D7" s="137"/>
      <c r="E7" s="300" t="s">
        <v>113</v>
      </c>
      <c r="F7" s="142" t="s">
        <v>240</v>
      </c>
      <c r="G7" s="140"/>
      <c r="H7" s="300"/>
      <c r="I7" s="494" t="s">
        <v>241</v>
      </c>
      <c r="J7" s="140"/>
      <c r="K7" s="143"/>
      <c r="L7" s="565" t="s">
        <v>116</v>
      </c>
      <c r="M7" s="566"/>
    </row>
    <row r="8" spans="2:13" x14ac:dyDescent="0.25">
      <c r="B8" s="147" t="s">
        <v>242</v>
      </c>
      <c r="C8" s="148" t="s">
        <v>2</v>
      </c>
      <c r="D8" s="301" t="s">
        <v>118</v>
      </c>
      <c r="E8" s="220" t="s">
        <v>119</v>
      </c>
      <c r="F8" s="302" t="s">
        <v>120</v>
      </c>
      <c r="G8" s="150" t="s">
        <v>121</v>
      </c>
      <c r="H8" s="220"/>
      <c r="I8" s="261" t="s">
        <v>120</v>
      </c>
      <c r="J8" s="150" t="s">
        <v>121</v>
      </c>
      <c r="K8" s="150"/>
      <c r="L8" s="150" t="s">
        <v>122</v>
      </c>
      <c r="M8" s="151" t="s">
        <v>123</v>
      </c>
    </row>
    <row r="9" spans="2:13" x14ac:dyDescent="0.25">
      <c r="B9" s="495"/>
      <c r="C9" s="122"/>
      <c r="D9" s="496"/>
      <c r="E9" s="497"/>
      <c r="F9" s="329"/>
      <c r="G9" s="245"/>
      <c r="H9" s="497"/>
      <c r="I9" s="498"/>
      <c r="J9" s="245"/>
      <c r="K9" s="245"/>
      <c r="L9" s="245"/>
      <c r="M9" s="499"/>
    </row>
    <row r="10" spans="2:13" x14ac:dyDescent="0.25">
      <c r="B10" s="500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501"/>
    </row>
    <row r="11" spans="2:13" x14ac:dyDescent="0.25">
      <c r="B11" s="195" t="s">
        <v>87</v>
      </c>
      <c r="C11" s="154" t="s">
        <v>243</v>
      </c>
      <c r="D11" s="135" t="s">
        <v>127</v>
      </c>
      <c r="E11" s="169">
        <f>'Exh JDT-5 (JDT-C&amp;I-RD)'!D23</f>
        <v>36958.529999999992</v>
      </c>
      <c r="F11" s="174">
        <v>1E-3</v>
      </c>
      <c r="G11" s="165">
        <f>F11*E11</f>
        <v>36.958529999999989</v>
      </c>
      <c r="H11" s="154"/>
      <c r="I11" s="175">
        <v>1.1800000000000001E-3</v>
      </c>
      <c r="J11" s="196">
        <f>I11*E11</f>
        <v>43.611065399999994</v>
      </c>
      <c r="K11" s="165"/>
      <c r="L11" s="165">
        <f>J11-G11</f>
        <v>6.652535400000005</v>
      </c>
      <c r="M11" s="172">
        <f>ROUND(L11/G11,5)</f>
        <v>0.18</v>
      </c>
    </row>
    <row r="12" spans="2:13" x14ac:dyDescent="0.25">
      <c r="B12" s="500"/>
      <c r="C12" s="28"/>
      <c r="D12" s="28"/>
      <c r="E12" s="28"/>
      <c r="F12" s="174"/>
      <c r="G12" s="28"/>
      <c r="H12" s="28"/>
      <c r="I12" s="28"/>
      <c r="J12" s="28"/>
      <c r="K12" s="28"/>
      <c r="L12" s="28"/>
      <c r="M12" s="501"/>
    </row>
    <row r="13" spans="2:13" x14ac:dyDescent="0.25">
      <c r="B13" s="500" t="s">
        <v>93</v>
      </c>
      <c r="C13" s="154" t="s">
        <v>243</v>
      </c>
      <c r="D13" s="135" t="s">
        <v>127</v>
      </c>
      <c r="E13" s="169">
        <f>'Exh JDT-5 (JDT-C&amp;I-RD)'!D66</f>
        <v>19494505.608019032</v>
      </c>
      <c r="F13" s="174">
        <v>1E-3</v>
      </c>
      <c r="G13" s="165">
        <f>F13*E13</f>
        <v>19494.505608019033</v>
      </c>
      <c r="H13" s="154"/>
      <c r="I13" s="175">
        <f>I11</f>
        <v>1.1800000000000001E-3</v>
      </c>
      <c r="J13" s="165">
        <f>I13*E13</f>
        <v>23003.516617462457</v>
      </c>
      <c r="K13" s="165"/>
      <c r="L13" s="165">
        <f>J13-G13</f>
        <v>3509.011009443424</v>
      </c>
      <c r="M13" s="172">
        <f>ROUND(L13/G13,5)</f>
        <v>0.18</v>
      </c>
    </row>
    <row r="14" spans="2:13" x14ac:dyDescent="0.25">
      <c r="B14" s="500"/>
      <c r="C14" s="28"/>
      <c r="D14" s="28"/>
      <c r="E14" s="28"/>
      <c r="F14" s="174"/>
      <c r="G14" s="28"/>
      <c r="H14" s="28"/>
      <c r="I14" s="28"/>
      <c r="J14" s="28"/>
      <c r="K14" s="28"/>
      <c r="L14" s="28"/>
      <c r="M14" s="501"/>
    </row>
    <row r="15" spans="2:13" x14ac:dyDescent="0.25">
      <c r="B15" s="500" t="s">
        <v>99</v>
      </c>
      <c r="C15" s="135" t="s">
        <v>243</v>
      </c>
      <c r="D15" s="135" t="s">
        <v>127</v>
      </c>
      <c r="E15" s="502">
        <f>'Exh JDT-5 (JDT-INTRPL-RD)'!D36</f>
        <v>68886791.019958794</v>
      </c>
      <c r="F15" s="174">
        <v>1E-3</v>
      </c>
      <c r="G15" s="155">
        <f>F15*E15</f>
        <v>68886.791019958793</v>
      </c>
      <c r="H15" s="497"/>
      <c r="I15" s="175">
        <f>I13</f>
        <v>1.1800000000000001E-3</v>
      </c>
      <c r="J15" s="165">
        <f>I15*E15</f>
        <v>81286.413403551385</v>
      </c>
      <c r="K15" s="252"/>
      <c r="L15" s="165">
        <f>J15-G15</f>
        <v>12399.622383592592</v>
      </c>
      <c r="M15" s="172">
        <f>ROUND(L15/G15,5)</f>
        <v>0.18</v>
      </c>
    </row>
    <row r="16" spans="2:13" x14ac:dyDescent="0.25">
      <c r="B16" s="500"/>
      <c r="C16" s="28"/>
      <c r="D16" s="28"/>
      <c r="E16" s="28"/>
      <c r="F16" s="174"/>
      <c r="G16" s="28"/>
      <c r="H16" s="28"/>
      <c r="I16" s="28"/>
      <c r="J16" s="28"/>
      <c r="K16" s="28"/>
      <c r="L16" s="28"/>
      <c r="M16" s="501"/>
    </row>
    <row r="17" spans="2:13" x14ac:dyDescent="0.25">
      <c r="B17" s="500" t="s">
        <v>104</v>
      </c>
      <c r="C17" s="135" t="s">
        <v>243</v>
      </c>
      <c r="D17" s="135" t="s">
        <v>127</v>
      </c>
      <c r="E17" s="502">
        <f>'Exh JDT-5 (JDT-INTRPL-RD)'!D81</f>
        <v>1718484.3400000003</v>
      </c>
      <c r="F17" s="174">
        <v>1E-3</v>
      </c>
      <c r="G17" s="155">
        <f>F17*E17</f>
        <v>1718.4843400000004</v>
      </c>
      <c r="H17" s="497"/>
      <c r="I17" s="175">
        <f>I15</f>
        <v>1.1800000000000001E-3</v>
      </c>
      <c r="J17" s="165">
        <f>I17*E17</f>
        <v>2027.8115212000005</v>
      </c>
      <c r="K17" s="252"/>
      <c r="L17" s="165">
        <f>J17-G17</f>
        <v>309.32718120000004</v>
      </c>
      <c r="M17" s="172">
        <f>ROUND(L17/G17,5)</f>
        <v>0.18</v>
      </c>
    </row>
    <row r="18" spans="2:13" x14ac:dyDescent="0.25">
      <c r="B18" s="500"/>
      <c r="C18" s="28"/>
      <c r="D18" s="28"/>
      <c r="E18" s="28"/>
      <c r="F18" s="174"/>
      <c r="G18" s="28"/>
      <c r="H18" s="28"/>
      <c r="I18" s="28"/>
      <c r="J18" s="28"/>
      <c r="K18" s="28"/>
      <c r="L18" s="28"/>
      <c r="M18" s="501"/>
    </row>
    <row r="19" spans="2:13" x14ac:dyDescent="0.25">
      <c r="B19" s="500" t="s">
        <v>111</v>
      </c>
      <c r="C19" s="178" t="s">
        <v>243</v>
      </c>
      <c r="D19" s="135" t="s">
        <v>127</v>
      </c>
      <c r="E19" s="502">
        <f>'Exh JDT-5 (JDT-INTRPL-RD)'!D134</f>
        <v>97500425.645479575</v>
      </c>
      <c r="F19" s="174">
        <v>1E-3</v>
      </c>
      <c r="G19" s="155">
        <f>+F19*E19</f>
        <v>97500.425645479583</v>
      </c>
      <c r="H19" s="497"/>
      <c r="I19" s="175">
        <f>I17</f>
        <v>1.1800000000000001E-3</v>
      </c>
      <c r="J19" s="155">
        <f>+I19*E19</f>
        <v>115050.5022616659</v>
      </c>
      <c r="K19" s="252"/>
      <c r="L19" s="165">
        <f>J19-G19</f>
        <v>17550.076616186314</v>
      </c>
      <c r="M19" s="172">
        <f>ROUND(L19/G19,5)</f>
        <v>0.18</v>
      </c>
    </row>
    <row r="20" spans="2:13" x14ac:dyDescent="0.25">
      <c r="B20" s="500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501"/>
    </row>
    <row r="21" spans="2:13" x14ac:dyDescent="0.25">
      <c r="B21" s="503" t="s">
        <v>3</v>
      </c>
      <c r="C21" s="504"/>
      <c r="D21" s="504"/>
      <c r="E21" s="505">
        <f>SUM(E11:E19)</f>
        <v>187637165.14345741</v>
      </c>
      <c r="F21" s="504"/>
      <c r="G21" s="506">
        <f>SUM(G11:G19)</f>
        <v>187637.16514345742</v>
      </c>
      <c r="H21" s="504"/>
      <c r="I21" s="504"/>
      <c r="J21" s="506">
        <f>SUM(J11:J19)</f>
        <v>221411.85486927972</v>
      </c>
      <c r="K21" s="504"/>
      <c r="L21" s="264">
        <f>J21-G21</f>
        <v>33774.689725822303</v>
      </c>
      <c r="M21" s="265">
        <f>ROUND(L21/G21,5)</f>
        <v>0.18</v>
      </c>
    </row>
    <row r="23" spans="2:13" x14ac:dyDescent="0.25">
      <c r="I23" s="507"/>
    </row>
  </sheetData>
  <mergeCells count="1">
    <mergeCell ref="L7:M7"/>
  </mergeCells>
  <pageMargins left="0.7" right="0.7" top="0.75" bottom="0.75" header="0.3" footer="0.3"/>
  <pageSetup scale="70" orientation="landscape" horizontalDpi="300" verticalDpi="300" r:id="rId1"/>
  <headerFooter>
    <oddFooter>&amp;R&amp;A
 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2:J25"/>
  <sheetViews>
    <sheetView topLeftCell="A2" zoomScale="90" zoomScaleNormal="90" zoomScaleSheetLayoutView="90" workbookViewId="0">
      <selection activeCell="F68" sqref="F68"/>
    </sheetView>
  </sheetViews>
  <sheetFormatPr defaultColWidth="9.140625" defaultRowHeight="12.75" x14ac:dyDescent="0.2"/>
  <cols>
    <col min="1" max="1" width="2.5703125" style="510" customWidth="1"/>
    <col min="2" max="2" width="5" style="510" bestFit="1" customWidth="1"/>
    <col min="3" max="3" width="46.42578125" style="510" bestFit="1" customWidth="1"/>
    <col min="4" max="4" width="15.28515625" style="510" customWidth="1"/>
    <col min="5" max="6" width="17.85546875" style="510" customWidth="1"/>
    <col min="7" max="7" width="16.42578125" style="510" customWidth="1"/>
    <col min="8" max="8" width="15.28515625" style="510" customWidth="1"/>
    <col min="9" max="9" width="16.85546875" style="510" customWidth="1"/>
    <col min="10" max="16384" width="9.140625" style="510"/>
  </cols>
  <sheetData>
    <row r="2" spans="2:10" ht="15" x14ac:dyDescent="0.25">
      <c r="B2" s="508"/>
      <c r="C2" s="124" t="s">
        <v>261</v>
      </c>
      <c r="D2" s="509"/>
      <c r="E2" s="509"/>
      <c r="F2" s="509"/>
      <c r="G2" s="509"/>
      <c r="H2" s="509"/>
      <c r="I2" s="509"/>
    </row>
    <row r="3" spans="2:10" ht="15" x14ac:dyDescent="0.25">
      <c r="B3" s="508"/>
      <c r="C3" s="124" t="s">
        <v>262</v>
      </c>
      <c r="D3" s="509"/>
      <c r="E3" s="509"/>
      <c r="F3" s="509"/>
      <c r="G3" s="509"/>
      <c r="H3" s="509"/>
      <c r="I3" s="509"/>
    </row>
    <row r="4" spans="2:10" ht="15" x14ac:dyDescent="0.25">
      <c r="B4" s="508"/>
      <c r="C4" s="124" t="s">
        <v>263</v>
      </c>
      <c r="D4" s="509"/>
      <c r="E4" s="509"/>
      <c r="F4" s="509"/>
      <c r="G4" s="509"/>
      <c r="H4" s="509"/>
      <c r="I4" s="509"/>
    </row>
    <row r="5" spans="2:10" ht="15" x14ac:dyDescent="0.25">
      <c r="B5" s="508"/>
      <c r="C5" s="124" t="s">
        <v>244</v>
      </c>
      <c r="D5" s="509"/>
      <c r="E5" s="509"/>
      <c r="F5" s="509"/>
      <c r="G5" s="509"/>
      <c r="H5" s="509"/>
      <c r="I5" s="509"/>
    </row>
    <row r="7" spans="2:10" ht="38.25" x14ac:dyDescent="0.2">
      <c r="B7" s="511" t="s">
        <v>1</v>
      </c>
      <c r="C7" s="512" t="s">
        <v>2</v>
      </c>
      <c r="D7" s="511" t="s">
        <v>3</v>
      </c>
      <c r="E7" s="513" t="s">
        <v>6</v>
      </c>
      <c r="F7" s="513" t="s">
        <v>7</v>
      </c>
      <c r="G7" s="511" t="s">
        <v>8</v>
      </c>
      <c r="H7" s="511" t="s">
        <v>9</v>
      </c>
      <c r="I7" s="511" t="s">
        <v>10</v>
      </c>
    </row>
    <row r="8" spans="2:10" x14ac:dyDescent="0.2">
      <c r="C8" s="514" t="s">
        <v>245</v>
      </c>
      <c r="D8" s="514" t="s">
        <v>246</v>
      </c>
      <c r="E8" s="514" t="s">
        <v>247</v>
      </c>
      <c r="F8" s="514" t="s">
        <v>248</v>
      </c>
      <c r="G8" s="514" t="s">
        <v>249</v>
      </c>
      <c r="H8" s="514" t="s">
        <v>250</v>
      </c>
      <c r="I8" s="514" t="s">
        <v>251</v>
      </c>
      <c r="J8" s="514"/>
    </row>
    <row r="10" spans="2:10" x14ac:dyDescent="0.2">
      <c r="B10" s="514">
        <v>1</v>
      </c>
      <c r="C10" s="510" t="s">
        <v>252</v>
      </c>
      <c r="D10" s="515">
        <f>SUM(E10:I10)</f>
        <v>1130090.5981220973</v>
      </c>
      <c r="E10" s="515">
        <v>757921.4802992068</v>
      </c>
      <c r="F10" s="515">
        <v>212921.6461286851</v>
      </c>
      <c r="G10" s="515">
        <v>66939.403245924113</v>
      </c>
      <c r="H10" s="515">
        <v>19663.569933835988</v>
      </c>
      <c r="I10" s="515">
        <v>72644.498514445208</v>
      </c>
    </row>
    <row r="11" spans="2:10" ht="15" x14ac:dyDescent="0.25">
      <c r="B11" s="514">
        <v>2</v>
      </c>
      <c r="C11" s="510" t="s">
        <v>253</v>
      </c>
      <c r="D11" s="516">
        <f t="shared" ref="D11:I11" si="0">D10/D19</f>
        <v>3.4011165702920415E-3</v>
      </c>
      <c r="E11" s="516">
        <f t="shared" si="0"/>
        <v>3.4114957667647824E-3</v>
      </c>
      <c r="F11" s="516">
        <f t="shared" si="0"/>
        <v>3.4057659593405101E-3</v>
      </c>
      <c r="G11" s="516">
        <f t="shared" si="0"/>
        <v>3.348152143247842E-3</v>
      </c>
      <c r="H11" s="516">
        <f t="shared" si="0"/>
        <v>3.406026199254346E-3</v>
      </c>
      <c r="I11" s="516">
        <f t="shared" si="0"/>
        <v>3.3293451177539317E-3</v>
      </c>
    </row>
    <row r="13" spans="2:10" x14ac:dyDescent="0.2">
      <c r="B13" s="514">
        <v>3</v>
      </c>
      <c r="C13" s="510" t="s">
        <v>254</v>
      </c>
      <c r="D13" s="515">
        <f>SUM(E13:I13)</f>
        <v>3350462.1456834795</v>
      </c>
      <c r="E13" s="515">
        <v>2557749.8254817133</v>
      </c>
      <c r="F13" s="515">
        <v>486498.10847597104</v>
      </c>
      <c r="G13" s="515">
        <v>138791.75922268504</v>
      </c>
      <c r="H13" s="515">
        <v>59833.675410263102</v>
      </c>
      <c r="I13" s="515">
        <v>107588.77709284685</v>
      </c>
    </row>
    <row r="14" spans="2:10" ht="15" x14ac:dyDescent="0.25">
      <c r="B14" s="514">
        <v>4</v>
      </c>
      <c r="C14" s="510" t="s">
        <v>253</v>
      </c>
      <c r="D14" s="516">
        <f t="shared" ref="D14:I14" si="1">D13/D19</f>
        <v>1.0083538736413005E-2</v>
      </c>
      <c r="E14" s="516">
        <f t="shared" si="1"/>
        <v>1.1512739681991247E-2</v>
      </c>
      <c r="F14" s="516">
        <f t="shared" si="1"/>
        <v>7.7817296984901974E-3</v>
      </c>
      <c r="G14" s="516">
        <f t="shared" si="1"/>
        <v>6.9420386733857883E-3</v>
      </c>
      <c r="H14" s="516">
        <f t="shared" si="1"/>
        <v>1.0364092925687789E-2</v>
      </c>
      <c r="I14" s="516">
        <f t="shared" si="1"/>
        <v>4.9308643746499041E-3</v>
      </c>
    </row>
    <row r="15" spans="2:10" ht="15" x14ac:dyDescent="0.25">
      <c r="B15" s="514"/>
      <c r="D15" s="517"/>
      <c r="E15" s="517"/>
      <c r="F15" s="517"/>
      <c r="G15" s="517"/>
      <c r="H15" s="517"/>
      <c r="I15" s="517"/>
    </row>
    <row r="16" spans="2:10" ht="15" x14ac:dyDescent="0.25">
      <c r="B16" s="514">
        <v>7</v>
      </c>
      <c r="C16" s="510" t="s">
        <v>255</v>
      </c>
      <c r="D16" s="515">
        <f>SUM(E16:I16)</f>
        <v>4480552.7438055761</v>
      </c>
      <c r="E16" s="26">
        <f>E13+E10</f>
        <v>3315671.3057809202</v>
      </c>
      <c r="F16" s="26">
        <f t="shared" ref="F16:I16" si="2">F13+F10</f>
        <v>699419.75460465613</v>
      </c>
      <c r="G16" s="26">
        <f t="shared" si="2"/>
        <v>205731.16246860917</v>
      </c>
      <c r="H16" s="26">
        <f t="shared" si="2"/>
        <v>79497.245344099094</v>
      </c>
      <c r="I16" s="26">
        <f t="shared" si="2"/>
        <v>180233.27560729207</v>
      </c>
    </row>
    <row r="17" spans="2:9" x14ac:dyDescent="0.2">
      <c r="B17" s="514">
        <v>8</v>
      </c>
      <c r="C17" s="510" t="s">
        <v>256</v>
      </c>
      <c r="D17" s="518">
        <f>D14+D11</f>
        <v>1.3484655306705047E-2</v>
      </c>
      <c r="E17" s="518">
        <f t="shared" ref="E17:I17" si="3">E14+E11</f>
        <v>1.492423544875603E-2</v>
      </c>
      <c r="F17" s="518">
        <f t="shared" si="3"/>
        <v>1.1187495657830707E-2</v>
      </c>
      <c r="G17" s="518">
        <f t="shared" si="3"/>
        <v>1.029019081663363E-2</v>
      </c>
      <c r="H17" s="518">
        <f t="shared" si="3"/>
        <v>1.3770119124942134E-2</v>
      </c>
      <c r="I17" s="518">
        <f t="shared" si="3"/>
        <v>8.2602094924038357E-3</v>
      </c>
    </row>
    <row r="18" spans="2:9" x14ac:dyDescent="0.2">
      <c r="B18" s="514"/>
      <c r="D18" s="518"/>
      <c r="E18" s="518"/>
      <c r="F18" s="518"/>
      <c r="G18" s="518"/>
      <c r="H18" s="518"/>
      <c r="I18" s="518"/>
    </row>
    <row r="19" spans="2:9" x14ac:dyDescent="0.2">
      <c r="B19" s="514">
        <v>9</v>
      </c>
      <c r="C19" s="510" t="s">
        <v>257</v>
      </c>
      <c r="D19" s="519">
        <f>SUM(E19:I19)</f>
        <v>332270469.05512577</v>
      </c>
      <c r="E19" s="520">
        <f>'Exh JDT-5 (JDT-C&amp;I-RD)'!D13</f>
        <v>222166912.14539161</v>
      </c>
      <c r="F19" s="520">
        <f>'Exh JDT-5 (JDT-C&amp;I-RD)'!D49</f>
        <v>62517991.156948164</v>
      </c>
      <c r="G19" s="520">
        <f>'Exh JDT-5 (JDT-INTRPL-RD)'!D21</f>
        <v>19992939.502740219</v>
      </c>
      <c r="H19" s="520">
        <f>'Exh JDT-5 (JDT-INTRPL-RD)'!D67</f>
        <v>5773170.4876905456</v>
      </c>
      <c r="I19" s="520">
        <f>'Exh JDT-5 (JDT-INTRPL-RD)'!D116</f>
        <v>21819455.762355208</v>
      </c>
    </row>
    <row r="21" spans="2:9" x14ac:dyDescent="0.2">
      <c r="B21" s="514">
        <v>10</v>
      </c>
      <c r="C21" s="510" t="s">
        <v>258</v>
      </c>
      <c r="E21" s="518">
        <f>'Exh JDT-5 (JDT-C&amp;I-RD)'!$E$14</f>
        <v>1.371E-2</v>
      </c>
      <c r="F21" s="518">
        <f>'Exh JDT-5 (JDT-C&amp;I-RD)'!$E$50</f>
        <v>1.005E-2</v>
      </c>
      <c r="G21" s="518">
        <f>'Exh JDT-5 (JDT-INTRPL-RD)'!$E$14</f>
        <v>7.0499999999999998E-3</v>
      </c>
      <c r="H21" s="518">
        <f>'Exh JDT-5 (JDT-INTRPL-RD)'!$E$61</f>
        <v>1.222E-2</v>
      </c>
      <c r="I21" s="518">
        <f>'Exh JDT-5 (JDT-INTRPL-RD)'!$E$106</f>
        <v>8.43E-3</v>
      </c>
    </row>
    <row r="22" spans="2:9" x14ac:dyDescent="0.2">
      <c r="B22" s="514"/>
      <c r="E22" s="521"/>
    </row>
    <row r="23" spans="2:9" x14ac:dyDescent="0.2">
      <c r="B23" s="514">
        <v>11</v>
      </c>
      <c r="C23" s="510" t="s">
        <v>259</v>
      </c>
      <c r="E23" s="518">
        <f>'Exh JDT-5 (Rate Des Sum)'!N13</f>
        <v>1.4919999999999999E-2</v>
      </c>
      <c r="F23" s="518">
        <f>'Exh JDT-5 (Rate Des Sum)'!N16</f>
        <v>1.119E-2</v>
      </c>
      <c r="G23" s="518">
        <f>'Exh JDT-5 (Rate Des Sum)'!N24</f>
        <v>7.8399999999999997E-3</v>
      </c>
      <c r="H23" s="518">
        <f>'Exh JDT-5 (Rate Des Sum)'!N32</f>
        <v>1.222E-2</v>
      </c>
      <c r="I23" s="518">
        <f>'Exh JDT-5 (Rate Des Sum)'!N38</f>
        <v>9.3699999999999999E-3</v>
      </c>
    </row>
    <row r="24" spans="2:9" x14ac:dyDescent="0.2">
      <c r="B24" s="514"/>
    </row>
    <row r="25" spans="2:9" x14ac:dyDescent="0.2">
      <c r="B25" s="514">
        <v>12</v>
      </c>
      <c r="C25" s="510" t="s">
        <v>260</v>
      </c>
      <c r="E25" s="522">
        <f>E23/E21-1</f>
        <v>8.8256746900072791E-2</v>
      </c>
      <c r="F25" s="522">
        <f t="shared" ref="F25:I25" si="4">F23/F21-1</f>
        <v>0.11343283582089558</v>
      </c>
      <c r="G25" s="522">
        <f t="shared" si="4"/>
        <v>0.11205673758865253</v>
      </c>
      <c r="H25" s="522">
        <f t="shared" si="4"/>
        <v>0</v>
      </c>
      <c r="I25" s="522">
        <f t="shared" si="4"/>
        <v>0.1115065243179123</v>
      </c>
    </row>
  </sheetData>
  <printOptions horizontalCentered="1"/>
  <pageMargins left="0.75" right="0.75" top="1" bottom="1" header="0.5" footer="0.5"/>
  <pageSetup scale="78" orientation="landscape" r:id="rId1"/>
  <headerFooter alignWithMargins="0">
    <oddFooter>&amp;R&amp;A
 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A0C5B27E5DFE5A42B5D94F605CB10C32" ma:contentTypeVersion="28" ma:contentTypeDescription="" ma:contentTypeScope="" ma:versionID="fc80ea6e72d900639d1ddbebee804e90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5371b12cbd0ca12feeca5b6edfa8e73e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Testimony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Tariff Revision</CaseType>
    <IndustryCode xmlns="dc463f71-b30c-4ab2-9473-d307f9d35888">140</IndustryCode>
    <CaseStatus xmlns="dc463f71-b30c-4ab2-9473-d307f9d35888">Formal</CaseStatus>
    <OpenedDate xmlns="dc463f71-b30c-4ab2-9473-d307f9d35888">2022-01-31T08:00:00+00:00</OpenedDate>
    <SignificantOrder xmlns="dc463f71-b30c-4ab2-9473-d307f9d35888">false</SignificantOrder>
    <Date1 xmlns="dc463f71-b30c-4ab2-9473-d307f9d35888">2022-09-02T07:00:00+00:00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Puget Sound Energy</CaseCompanyNames>
    <Nickname xmlns="http://schemas.microsoft.com/sharepoint/v3" xsi:nil="true"/>
    <DocketNumber xmlns="dc463f71-b30c-4ab2-9473-d307f9d35888">220066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1E5D4879-8751-4F34-BBE3-BEDFAFC5054D}"/>
</file>

<file path=customXml/itemProps2.xml><?xml version="1.0" encoding="utf-8"?>
<ds:datastoreItem xmlns:ds="http://schemas.openxmlformats.org/officeDocument/2006/customXml" ds:itemID="{CE6D2232-2034-46FB-843F-402D309862A7}"/>
</file>

<file path=customXml/itemProps3.xml><?xml version="1.0" encoding="utf-8"?>
<ds:datastoreItem xmlns:ds="http://schemas.openxmlformats.org/officeDocument/2006/customXml" ds:itemID="{AF77B0E0-2603-42B0-ADA9-BE3AB157574B}"/>
</file>

<file path=customXml/itemProps4.xml><?xml version="1.0" encoding="utf-8"?>
<ds:datastoreItem xmlns:ds="http://schemas.openxmlformats.org/officeDocument/2006/customXml" ds:itemID="{4F9F1301-95AF-4526-8714-E7FDAB205BA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10</vt:i4>
      </vt:variant>
    </vt:vector>
  </HeadingPairs>
  <TitlesOfParts>
    <vt:vector size="20" baseType="lpstr">
      <vt:lpstr>Sheet1</vt:lpstr>
      <vt:lpstr>Exh JDT-5 (JDT-Rate Spread)</vt:lpstr>
      <vt:lpstr>Exh JDT-5 (Rate Des Sum)</vt:lpstr>
      <vt:lpstr>Exh JDT-5 (JDT-RES_RD)</vt:lpstr>
      <vt:lpstr>Exh JDT-5 (JDT-C&amp;I-RD)</vt:lpstr>
      <vt:lpstr>Exh JDT-5 (JDT-INTRPL-RD)</vt:lpstr>
      <vt:lpstr>Exh JDT-5 (JDT-MYRP)</vt:lpstr>
      <vt:lpstr>Exh JDT-5 (JDT-MYRP-SUM)</vt:lpstr>
      <vt:lpstr>Exh JDT-5 (JDT-Balancing)</vt:lpstr>
      <vt:lpstr>Exh JDT-5 (JDT-Procmnt Chrg)</vt:lpstr>
      <vt:lpstr>'Exh JDT-5 (JDT-Balancing)'!Print_Area</vt:lpstr>
      <vt:lpstr>'Exh JDT-5 (JDT-MYRP)'!Print_Area</vt:lpstr>
      <vt:lpstr>'Exh JDT-5 (JDT-MYRP-SUM)'!Print_Area</vt:lpstr>
      <vt:lpstr>'Exh JDT-5 (JDT-Procmnt Chrg)'!Print_Area</vt:lpstr>
      <vt:lpstr>'Exh JDT-5 (JDT-C&amp;I-RD)'!Print_Titles</vt:lpstr>
      <vt:lpstr>'Exh JDT-5 (JDT-INTRPL-RD)'!Print_Titles</vt:lpstr>
      <vt:lpstr>'Exh JDT-5 (JDT-MYRP)'!Print_Titles</vt:lpstr>
      <vt:lpstr>'Exh JDT-5 (JDT-MYRP-SUM)'!Print_Titles</vt:lpstr>
      <vt:lpstr>'Exh JDT-5 (JDT-Rate Spread)'!Print_Titles</vt:lpstr>
      <vt:lpstr>'Exh JDT-5 (Rate Des Sum)'!Print_Titles</vt:lpstr>
    </vt:vector>
  </TitlesOfParts>
  <Company>PUGET SOUND ENERGY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Schmidt, Paul</dc:creator>
  <cp:lastModifiedBy>Barnett, Donna L. (BEL)</cp:lastModifiedBy>
  <dcterms:created xsi:type="dcterms:W3CDTF">2022-09-02T19:01:41Z</dcterms:created>
  <dcterms:modified xsi:type="dcterms:W3CDTF">2022-09-02T21:16:25Z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0x0101006E56B4D1795A2E4DB2F0B01679ED314A00A0C5B27E5DFE5A42B5D94F605CB10C32</vt:lpwstr>
  </property>
  <property fmtid="{D5CDD505-2E9C-101B-9397-08002B2CF9AE}" pid="3" name="_docset_NoMedatataSyncRequired">
    <vt:lpwstr>False</vt:lpwstr>
  </property>
  <property fmtid="{D5CDD505-2E9C-101B-9397-08002B2CF9AE}" pid="4" name="IsEFSEC">
    <vt:bool>false</vt:bool>
  </property>
</Properties>
</file>