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45" windowWidth="12120" windowHeight="9120" tabRatio="448" activeTab="0"/>
  </bookViews>
  <sheets>
    <sheet name="Pro Forma Adj" sheetId="1" r:id="rId1"/>
    <sheet name="Budget v Actual Summaries" sheetId="2" r:id="rId2"/>
    <sheet name="O&amp;M_ 07 Act vs 10 budg" sheetId="3" r:id="rId3"/>
    <sheet name="O&amp;M_ 08 bug vs 09 budg" sheetId="4" r:id="rId4"/>
  </sheets>
  <externalReferences>
    <externalReference r:id="rId8"/>
    <externalReference r:id="rId9"/>
  </externalReferences>
  <definedNames>
    <definedName name="_xlnm.Print_Area" localSheetId="1">'Budget v Actual Summaries'!$A$1:$N$84</definedName>
    <definedName name="_xlnm.Print_Area" localSheetId="2">'O&amp;M_ 07 Act vs 10 budg'!$A$1:$P$330</definedName>
    <definedName name="_xlnm.Print_Area" localSheetId="3">'O&amp;M_ 08 bug vs 09 budg'!$A$1:$N$326</definedName>
    <definedName name="_xlnm.Print_Area" localSheetId="0">'Pro Forma Adj'!$E$1:$T$58</definedName>
  </definedNames>
  <calcPr fullCalcOnLoad="1" fullPrecision="0"/>
  <pivotCaches>
    <pivotCache cacheId="1" r:id="rId5"/>
  </pivotCaches>
</workbook>
</file>

<file path=xl/comments1.xml><?xml version="1.0" encoding="utf-8"?>
<comments xmlns="http://schemas.openxmlformats.org/spreadsheetml/2006/main">
  <authors>
    <author>mzr9zj</author>
  </authors>
  <commentList>
    <comment ref="H1" authorId="0">
      <text>
        <r>
          <rPr>
            <b/>
            <sz val="8"/>
            <rFont val="Tahoma"/>
            <family val="0"/>
          </rPr>
          <t>mzr9zj:  This 2007 spend $$ from query of FERC account spend.  Add up the MAC215 and MAC206 numbers within the FERC accounts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mzr9zj</author>
  </authors>
  <commentList>
    <comment ref="F13" authorId="0">
      <text>
        <r>
          <rPr>
            <b/>
            <sz val="8"/>
            <rFont val="Tahoma"/>
            <family val="0"/>
          </rPr>
          <t>mzr9zj:</t>
        </r>
        <r>
          <rPr>
            <sz val="8"/>
            <rFont val="Tahoma"/>
            <family val="0"/>
          </rPr>
          <t xml:space="preserve">
SUMMED FROM FERC TASK SHEET</t>
        </r>
      </text>
    </comment>
  </commentList>
</comments>
</file>

<file path=xl/sharedStrings.xml><?xml version="1.0" encoding="utf-8"?>
<sst xmlns="http://schemas.openxmlformats.org/spreadsheetml/2006/main" count="1124" uniqueCount="479">
  <si>
    <t>Maint OH Lines - Gen</t>
  </si>
  <si>
    <t>Misc Trans Expense</t>
  </si>
  <si>
    <t>DX Vegetation Management - Spokane City Tree pr</t>
  </si>
  <si>
    <t>DX Vegetation Management - Maint Underground</t>
  </si>
  <si>
    <t>DX Vegetation Management - Maint of Street Lights</t>
  </si>
  <si>
    <t>DX Vegetation Management - Maint of Area Lights</t>
  </si>
  <si>
    <t>DX Vegetation Management - Maint of Meters</t>
  </si>
  <si>
    <t>DX Vegetation Management - Misc Maintenance</t>
  </si>
  <si>
    <t>566 MISCELLANEOUS TRANSMISSION EXPENSE</t>
  </si>
  <si>
    <t>573 MAINTENANCE OF MISCELLANEOUS TRANSMISSION PLANT</t>
  </si>
  <si>
    <t>Maint-miscellaneous</t>
  </si>
  <si>
    <t>Distribution - Op Spvr and Eng</t>
  </si>
  <si>
    <t>580 OPERATION SUPERVISION AND ENGINEERING</t>
  </si>
  <si>
    <t>Estimate</t>
  </si>
  <si>
    <t>Maintenance of Poles and Fixtures</t>
  </si>
  <si>
    <t>Maintenance of Conductors and Devices, Overhead</t>
  </si>
  <si>
    <t>(e) First year of 3 year program</t>
  </si>
  <si>
    <t>(i) First year of 4 year program</t>
  </si>
  <si>
    <t>Pro Forma for the March, 2008 Commission Basis Report</t>
  </si>
  <si>
    <t xml:space="preserve"> - Energy Delivery - </t>
  </si>
  <si>
    <t>Line</t>
  </si>
  <si>
    <t>No.</t>
  </si>
  <si>
    <t>Actual</t>
  </si>
  <si>
    <t xml:space="preserve"> </t>
  </si>
  <si>
    <t>Avista Corporation</t>
  </si>
  <si>
    <t>D</t>
  </si>
  <si>
    <t>T</t>
  </si>
  <si>
    <t>OPERATIONS AND MAINTENANCE</t>
  </si>
  <si>
    <t>Transmission Aerial Structure Patrol</t>
  </si>
  <si>
    <t>560 TRANSMISSION O&amp;M EXPENSE, OPERATIONS SUPERVISION AND ENGINEERING (MAC 215)</t>
  </si>
  <si>
    <t>Substation Inspection</t>
  </si>
  <si>
    <t>Substation Infrared Inspection</t>
  </si>
  <si>
    <t>HV Circuit Breakers</t>
  </si>
  <si>
    <t>Transformer Oil Test</t>
  </si>
  <si>
    <t>Other Transformer Expense</t>
  </si>
  <si>
    <t>Other Equipment testing</t>
  </si>
  <si>
    <t>Aerial Patrol - Structures</t>
  </si>
  <si>
    <t>MAC 215</t>
  </si>
  <si>
    <t>Asset Management - Engineering &amp; Supervision</t>
  </si>
  <si>
    <t>568 TRANSMISSION MAINTENANCE EXPENSE-SUPERVISION AND ENGINEERING</t>
  </si>
  <si>
    <t>563 TRANSMISSION OPERATIONS EXPENSE, OHD LINES</t>
  </si>
  <si>
    <t xml:space="preserve"> 562 TRANSMISSION OPERATIONS EXPENSE, STATION EXPENSES</t>
  </si>
  <si>
    <t>569 TRANSMISSION MAINTENANCE EXPENSE-STATION STRUCTURES</t>
  </si>
  <si>
    <t>Fencing and Crushed Rock Restoration</t>
  </si>
  <si>
    <t>Substation Misc. Equipment</t>
  </si>
  <si>
    <t xml:space="preserve">Substation Batteries </t>
  </si>
  <si>
    <t>Weed Spraying</t>
  </si>
  <si>
    <t>570 TRANSMISSION MAINTENANCE EXPENSE-STATION EQUIPMENT</t>
  </si>
  <si>
    <t>Circuit Switchers</t>
  </si>
  <si>
    <t>Relay Replacement, Calibration and Testing</t>
  </si>
  <si>
    <t>582 DISTRIBUTION OPERATIONS EXPENSE-STATION</t>
  </si>
  <si>
    <t>Monthly Inspection</t>
  </si>
  <si>
    <t>LV OCR/OCB TESTING</t>
  </si>
  <si>
    <t>Other Transformer Test</t>
  </si>
  <si>
    <t>Other Equipment Testing</t>
  </si>
  <si>
    <t>586 DISTRIBUTION OPERATIONS EXPENSE-METERS</t>
  </si>
  <si>
    <t>Meter Expense</t>
  </si>
  <si>
    <t>588 DISTRIBUTION OPERATIONS EXPENSE-MISCELLANEOUS EXPENSE</t>
  </si>
  <si>
    <t>Miscellaneous Expense</t>
  </si>
  <si>
    <t>DX Wood Pole Inspection</t>
  </si>
  <si>
    <t>Wood Pole Test and Treat</t>
  </si>
  <si>
    <t>583 DISTRIBUTION OPERATIONS EXPENSE-OHD LINES</t>
  </si>
  <si>
    <t>Distribution IR OHD</t>
  </si>
  <si>
    <t>584 DISTRIBUTION OPERATIONS EXPENSE-URD LINES</t>
  </si>
  <si>
    <t>Distribution URD IR Inspect</t>
  </si>
  <si>
    <t>Distribution URD Switchgear Inspect</t>
  </si>
  <si>
    <t>590 DISTRIBUTION MAINTENANCE EXPENSE-SUPERVISION AND ENGINEERING</t>
  </si>
  <si>
    <t>592 DISTRIBUTION MAINTENANCE EXPENSE-STATION EQUIPMENT</t>
  </si>
  <si>
    <t>571 TRANSMISSION MAINTENANCE EXPENSE-OVERHEAD LINES</t>
  </si>
  <si>
    <t>Steel Structure Repairs</t>
  </si>
  <si>
    <t>591 DISTRIBUTION MAINTENANCE EXPENSE-STATION STRUCTURES</t>
  </si>
  <si>
    <t>Misc Repair: Fence, Crushed Rock,etc</t>
  </si>
  <si>
    <t>HVAC Maintenance</t>
  </si>
  <si>
    <t>Maint LV OCR/OCB</t>
  </si>
  <si>
    <t>Maintain Power Transformers</t>
  </si>
  <si>
    <t>Maintain Substation Regulators</t>
  </si>
  <si>
    <t>Maintain Substation Switches and Fuses</t>
  </si>
  <si>
    <t>Maintain Substation Wildlife Guards</t>
  </si>
  <si>
    <t>Maintain Station Equipment-Gen</t>
  </si>
  <si>
    <t>595 DISTRIBUTION MAINTENANCE EXPENSE-LINE TRANSFORMERS</t>
  </si>
  <si>
    <t>DX Wildlife Guards</t>
  </si>
  <si>
    <t>563 TRANSMISSION VEG MGMT OPERATIONS EXPENSE, AERIAL PATROL</t>
  </si>
  <si>
    <t>Aerial Patrol - Veg Management</t>
  </si>
  <si>
    <t>568 TRANSMISSION VEG MGMT MAINTENANCE EXPENSE, SUPERVISION AND ENGINEERING</t>
  </si>
  <si>
    <t>TX Vegetation Management</t>
  </si>
  <si>
    <t>571 TRANSMISSION VEG MGMT MAINTENANCE EXPENSE, OVERHEAD LINES</t>
  </si>
  <si>
    <t>TX Vegetation Management, Planned</t>
  </si>
  <si>
    <t>TX Vegetation Management, Unplanned</t>
  </si>
  <si>
    <t>TX Vegetation Management, TGR</t>
  </si>
  <si>
    <t>TX Vegetation Management, Herbicide</t>
  </si>
  <si>
    <t>573 TRANSMISSION VEG MGMT MAINTENANCE EXPENSE, OVERHEAD LINES</t>
  </si>
  <si>
    <t>TX Vegetation Management, Misc</t>
  </si>
  <si>
    <t>590 DISTRIBUTION VEG MGMT MAINTENANCE EXPENSE-SUPERVISION AND ENGINEERING</t>
  </si>
  <si>
    <t>DX Vegetation Management - Supervision and Engineering</t>
  </si>
  <si>
    <t>593 DISTRIBUTION VEG MGMT MAINTENANCE EXPENSE-OVERHEAD LINES</t>
  </si>
  <si>
    <t>DX Vegetation Management - Maintain Poles</t>
  </si>
  <si>
    <t>DX Vegetation Management - Maintain Conductor</t>
  </si>
  <si>
    <t>DX Vegetation Management - Tree Trim Planned</t>
  </si>
  <si>
    <t>DX Vegetation Management - Danger Trees &amp; Unplanned</t>
  </si>
  <si>
    <t>DX Vegetation Management - Herbicides</t>
  </si>
  <si>
    <t>DX Vegetation Management - Planned Trimming, Bid</t>
  </si>
  <si>
    <t>DX Vegetation Management - Unplanned Trimming</t>
  </si>
  <si>
    <t>FERC ACCOUNT</t>
  </si>
  <si>
    <t>(b)</t>
  </si>
  <si>
    <t>Notes</t>
  </si>
  <si>
    <t>Maintain Distribution Relays</t>
  </si>
  <si>
    <t>(b)  Inflation increase only</t>
  </si>
  <si>
    <t>TOTAL EXPENSE WITHOUT WOOD POLE</t>
  </si>
  <si>
    <t>(c) Wood pole management is being submitted as a stand-alone separate rate case item</t>
  </si>
  <si>
    <t>(a)  Vegetation Management is being submitted as a stand-alone separate rate case item</t>
  </si>
  <si>
    <t>(d)  Not included in this rate case</t>
  </si>
  <si>
    <t>(c)</t>
  </si>
  <si>
    <t>All Asset Management Tasks Included In List</t>
  </si>
  <si>
    <t>DX Vegetation Management - Tree Growth Reg</t>
  </si>
  <si>
    <t>PCB Serial Process</t>
  </si>
  <si>
    <t>Underground Exp Gen</t>
  </si>
  <si>
    <t>Underground Locating</t>
  </si>
  <si>
    <t>585 STREET LIGHT AND SIGNALS</t>
  </si>
  <si>
    <t>Street Lights</t>
  </si>
  <si>
    <t>Area Lights</t>
  </si>
  <si>
    <t>587 - CUST INSTALL EXPENSE</t>
  </si>
  <si>
    <t>Cust Install Expense</t>
  </si>
  <si>
    <t>Rents</t>
  </si>
  <si>
    <t>593 - MAITENANCE OVERHEAD LINES</t>
  </si>
  <si>
    <t>Maint poles - Maintenance of Overhead Lines (Poles)</t>
  </si>
  <si>
    <t>Maint Conductor - Maintenance of Overhead Lines (Conductor)</t>
  </si>
  <si>
    <t>Maint Poles - Maintenance of Poles</t>
  </si>
  <si>
    <t>Maint Equipment - Maintenance of Equipment</t>
  </si>
  <si>
    <t>Maint Conductor - Maintenance of Conductor</t>
  </si>
  <si>
    <t>594 - MAINT UNDERGROUND - MAINTENANCE OF UNDERGROUND LINES</t>
  </si>
  <si>
    <t>Maint Switch Gear - Maintenance of Switch Gear PM</t>
  </si>
  <si>
    <t>594510 -MAINT NETWORK - MAINTENANCE OF THE NETWORK</t>
  </si>
  <si>
    <t>Maint Network Cndr - Maintenance of Network Conductor</t>
  </si>
  <si>
    <t>Maint Network Vaults - Maintenance of Network Vaults and Manholes</t>
  </si>
  <si>
    <t>Maint Network Ducts - Maintenance of Network Duct Banks</t>
  </si>
  <si>
    <t>Maint Ntwk Protectors - Maintenance of Network Protectors</t>
  </si>
  <si>
    <t>Maint Ntwk Misc. Rpr - Maitnenance of Misc. Network Equip.</t>
  </si>
  <si>
    <t>Maint OH Xformer Gen</t>
  </si>
  <si>
    <t>Maint UG Xformer - Maintenance of Undergroung Transformers</t>
  </si>
  <si>
    <t>Mt Network Xformers</t>
  </si>
  <si>
    <t>596 - Maint of Lights</t>
  </si>
  <si>
    <t>Maint of St Lights</t>
  </si>
  <si>
    <t>Maint of Area Lights</t>
  </si>
  <si>
    <t>Maint of St Light Fail</t>
  </si>
  <si>
    <t>Maint of St Light Relmp</t>
  </si>
  <si>
    <t>Maint Area Lt Fail</t>
  </si>
  <si>
    <t>561 - LOAD DISPATCHING</t>
  </si>
  <si>
    <t>Load Dispatching</t>
  </si>
  <si>
    <t>Oasis Scheduling</t>
  </si>
  <si>
    <t>Air Swithch Insp</t>
  </si>
  <si>
    <t>Other OH Line Exp</t>
  </si>
  <si>
    <t>Maint Overhead lines</t>
  </si>
  <si>
    <t>Air Switches PM</t>
  </si>
  <si>
    <t>572 - Maint Underground Lines</t>
  </si>
  <si>
    <t>Maint Udground Lines</t>
  </si>
  <si>
    <t>OH Line Inspection</t>
  </si>
  <si>
    <t>Pole Inspection</t>
  </si>
  <si>
    <t>598 - MISCELLANEOUS MAINTENANCE</t>
  </si>
  <si>
    <t>Misc Maintenance</t>
  </si>
  <si>
    <t>560 - SUPERVISION AND ENGINEERING</t>
  </si>
  <si>
    <t>Supv and Engineering</t>
  </si>
  <si>
    <t>566 - MISCELLANEOUS TRANSMISSION EXPENSE</t>
  </si>
  <si>
    <t>Miscellaneous Transmission Expense</t>
  </si>
  <si>
    <t>Maint Overhead Lines</t>
  </si>
  <si>
    <t>Adjustment</t>
  </si>
  <si>
    <t>vs. 2007 Base</t>
  </si>
  <si>
    <t>(j)</t>
  </si>
  <si>
    <t>(k)</t>
  </si>
  <si>
    <t>2009 Proposed</t>
  </si>
  <si>
    <t>2008 Budget</t>
  </si>
  <si>
    <t>567 -  TRANSMISSION RENTS</t>
  </si>
  <si>
    <t>(l) Revision of how battery maintenance is divided might be needed to match other substation equipment that is divided between transmission and distribution</t>
  </si>
  <si>
    <t>Underground Exp Gen-Inspect vaults, manholes, handholes</t>
  </si>
  <si>
    <t>TOTAL EXPENSE FOR MAC 215</t>
  </si>
  <si>
    <t>TOTAL FERC 562 ADJUSTMENT</t>
  </si>
  <si>
    <t>TOTAL FERC 563 ADJUSTMENT</t>
  </si>
  <si>
    <t>TOTAL FERC 560 ADJUSTMENT</t>
  </si>
  <si>
    <t>TOTAL FERC 566 ADJUSTMENT</t>
  </si>
  <si>
    <t>TOTAL FERC 567 ADJUSTMENT</t>
  </si>
  <si>
    <t>TOTAL FERC 568 ADJUSTMENT</t>
  </si>
  <si>
    <t>TOTAL FERC 569 ADJUSTMENT</t>
  </si>
  <si>
    <t>TOTAL FERC 570 ADJUSTMENT</t>
  </si>
  <si>
    <t>TOTAL FERC 573 ADJUSTMENT</t>
  </si>
  <si>
    <t>TOTAL FERC 572 ADJUSTMENT</t>
  </si>
  <si>
    <t>TOTAL FERC 580 ADJUSTMENT</t>
  </si>
  <si>
    <t>TOTAL FERC 582 ADJUSTMENT</t>
  </si>
  <si>
    <t>TOTAL FERC 584 ADJUSTMENT</t>
  </si>
  <si>
    <t>TOTAL FERC 585 ADJUSTMENT</t>
  </si>
  <si>
    <t>TOTAL FERC 587 ADJUSTMENT</t>
  </si>
  <si>
    <t>TOTAL FERC 588 ADJUSTMENT</t>
  </si>
  <si>
    <t>TOTAL FERC 589 ADJUSTMENT</t>
  </si>
  <si>
    <t>589 - DISTRIBUTION RENTS</t>
  </si>
  <si>
    <t>TOTAL FERC 590 ADJUSTMENT</t>
  </si>
  <si>
    <t>TOTAL FERC 591 ADJUSTMENT</t>
  </si>
  <si>
    <t>TOTAL FERC 592 ADJUSTMENT</t>
  </si>
  <si>
    <t>TOTAL FERC 593 ADJUSTMENT</t>
  </si>
  <si>
    <t>TOTAL FERC 594 ADJUSTMENT</t>
  </si>
  <si>
    <t>TOTAL FERC 595 ADJUSTMENT</t>
  </si>
  <si>
    <t>TOTAL FERC 596 ADJUSTMENT</t>
  </si>
  <si>
    <t>TOTAL FERC 598 ADJUSTMENT</t>
  </si>
  <si>
    <t>2009 Budget</t>
  </si>
  <si>
    <t>(m)</t>
  </si>
  <si>
    <t>(n)</t>
  </si>
  <si>
    <t>TRANSMISSION</t>
  </si>
  <si>
    <t>DISTRIBUTION</t>
  </si>
  <si>
    <t>SUB STATION</t>
  </si>
  <si>
    <t>VEG MANAGEMENT</t>
  </si>
  <si>
    <t>NETWORK</t>
  </si>
  <si>
    <t>Substation</t>
  </si>
  <si>
    <t>Transmission</t>
  </si>
  <si>
    <t>Distribution</t>
  </si>
  <si>
    <t>Network</t>
  </si>
  <si>
    <t>(f)</t>
  </si>
  <si>
    <t>(f) 2007 expense extracted from MAC 245, Task 584010</t>
  </si>
  <si>
    <t>TOTAL FERC 561 ADJUSTMENT</t>
  </si>
  <si>
    <t>TOTAL FERC 586 ADJUSTMENT</t>
  </si>
  <si>
    <t>Budget</t>
  </si>
  <si>
    <t>Total FERC Actual or Budget</t>
  </si>
  <si>
    <t>Fire Retardant</t>
  </si>
  <si>
    <t>Steel Pole Painting</t>
  </si>
  <si>
    <t>Base Plate Grout</t>
  </si>
  <si>
    <t>2007 Actual</t>
  </si>
  <si>
    <t>Animal Guards</t>
  </si>
  <si>
    <t>Capital or O&amp;M</t>
  </si>
  <si>
    <t>O&amp;M</t>
  </si>
  <si>
    <t>Power Transformers</t>
  </si>
  <si>
    <t>Circuit Breakers</t>
  </si>
  <si>
    <t>Substation Reclosers</t>
  </si>
  <si>
    <t>Substation Fence and Rock</t>
  </si>
  <si>
    <t>Relays</t>
  </si>
  <si>
    <t>Vaults/Handhole/Manhole</t>
  </si>
  <si>
    <t>ADJUSTMENT</t>
  </si>
  <si>
    <t>Aerial Patrol</t>
  </si>
  <si>
    <t>Sub Totals</t>
  </si>
  <si>
    <t>Annual Totals</t>
  </si>
  <si>
    <t>Responsibility Area D51 - Vegetation Management</t>
  </si>
  <si>
    <t>Totals for D51</t>
  </si>
  <si>
    <t>(o)</t>
  </si>
  <si>
    <t>(p)</t>
  </si>
  <si>
    <t>(n) Painting of steel towers, capitalize using capitilization rules of Nov, 2007</t>
  </si>
  <si>
    <t>(o) repair of grout for steel tower base plates, on-going project</t>
  </si>
  <si>
    <t>(m) Inspection and repair of transmission compression sleeve couplings, capitalize under capitilzation rule of Nov, 2007</t>
  </si>
  <si>
    <t>(j) Fire retardant paint, first year of multi-year program, capitalize under capitalization rule of Nov, 2007</t>
  </si>
  <si>
    <t>Legend:</t>
  </si>
  <si>
    <t>Capitalized:  project was formerly O&amp;M type before new rules of Nov 2007</t>
  </si>
  <si>
    <t>V</t>
  </si>
  <si>
    <t>Total FERC Actual or Budget Without Wood Pole</t>
  </si>
  <si>
    <t>Total FERC Actual or Budget -- Wood Pole</t>
  </si>
  <si>
    <t>TOTAL FERC 571 ADJUSTMENT WITHOUT WOOD POLE</t>
  </si>
  <si>
    <t>TOTAL FERC 571 ADJUSTMENT FOR WOOD POLE</t>
  </si>
  <si>
    <r>
      <t xml:space="preserve">Total FERC Actual or Budget -- </t>
    </r>
    <r>
      <rPr>
        <b/>
        <sz val="8"/>
        <rFont val="Arial"/>
        <family val="2"/>
      </rPr>
      <t>WITHOUT WOOD POLE</t>
    </r>
  </si>
  <si>
    <r>
      <t xml:space="preserve">Total FERC Actual or Budget -- </t>
    </r>
    <r>
      <rPr>
        <b/>
        <sz val="8"/>
        <rFont val="Arial"/>
        <family val="2"/>
      </rPr>
      <t>WOOD POLE EXPENSE</t>
    </r>
  </si>
  <si>
    <t>TOTAL FERC 582 ADJUSTMENT FOR WOOD POLE</t>
  </si>
  <si>
    <t>Total AM O&amp;M Proposed for MAC 215 for 2009</t>
  </si>
  <si>
    <t>AM O&amp;M Proposed without Wood Pole under MAC 215 for 2009</t>
  </si>
  <si>
    <t>Wood Pole O&amp;M Proposed for 2009: Inspection and testing</t>
  </si>
  <si>
    <t>(p) Project for transmission sleeve coupling replacement is assumed to be capitalized project vs. former rule of O&amp;M type work  see note (m) also</t>
  </si>
  <si>
    <t>FY 2005</t>
  </si>
  <si>
    <t>FY 2006</t>
  </si>
  <si>
    <t>FY 2008 Budget</t>
  </si>
  <si>
    <t>Total AM O&amp;M Actual Spent for MAC 215 for 2007 base year</t>
  </si>
  <si>
    <t>AM O&amp;M Actual Spend without Wood Pole under MAC 215 for 2007 for base year</t>
  </si>
  <si>
    <t>Wood Pole O&amp;M Actual Spend for 2007 base year</t>
  </si>
  <si>
    <t>TOTAL FERC 560 REQUEST THIS MAC</t>
  </si>
  <si>
    <t>TOTAL FERC 561 REQUEST THIS MAC</t>
  </si>
  <si>
    <t>TOTAL FERC 562 REQUEST THIS MAC</t>
  </si>
  <si>
    <t>TOTAL FERC 563 REQUEST THIS MAC</t>
  </si>
  <si>
    <t>TOTAL FERC 566 REQUEST THIS MAC</t>
  </si>
  <si>
    <t>TOTAL FERC 567 REQUEST THIS MAC</t>
  </si>
  <si>
    <t>TOTAL FERC 568 REQUEST THIS MAC</t>
  </si>
  <si>
    <t>TOTAL FERC 569 REQUEST THIS MAC</t>
  </si>
  <si>
    <t>TOTAL FERC 570 REQUEST THIS MAC</t>
  </si>
  <si>
    <t>TOTAL FERC 571 REQUEST THIS MAC WITHOUT WOOD POLE</t>
  </si>
  <si>
    <t>TOTAL FERC 571 REQUEST THIS MAC FOR WOOD POLE</t>
  </si>
  <si>
    <t>(m) (p)</t>
  </si>
  <si>
    <t>TOTAL FERC 572 REQUEST THIS MAC</t>
  </si>
  <si>
    <t>TOTAL FERC 573 REQUEST THIS MAC</t>
  </si>
  <si>
    <t>TOTAL FERC 580 REQUEST THIS MAC</t>
  </si>
  <si>
    <t>TOTAL FERC 582 REQUEST THIS MAC</t>
  </si>
  <si>
    <t>TOTAL FERC 583 ADJUSTMENT WITHOUT WOOD POLE</t>
  </si>
  <si>
    <t>TOTAL FERC 583 REQUEST THIS MAC WITHOUT WOOD POLE</t>
  </si>
  <si>
    <t>TOTAL FERC 583 REQUEST THIS MAC FOR WOOD POLE</t>
  </si>
  <si>
    <t>TOTAL FERC 584 REQUEST THIS MAC</t>
  </si>
  <si>
    <t>TOTAL FERC 585 REQUEST THIS MAC</t>
  </si>
  <si>
    <t>TOTAL FERC 586 REQUEST THIS MAC</t>
  </si>
  <si>
    <t>TOTAL FERC 587 REQUEST THIS MAC</t>
  </si>
  <si>
    <t>TOTAL FERC 588 REQUEST THIS MAC</t>
  </si>
  <si>
    <t>TOTAL FERC 589 REQUEST THIS MAC</t>
  </si>
  <si>
    <t>TOTAL FERC 590 REQUEST THIS MAC</t>
  </si>
  <si>
    <t>TOTAL FERC 591 REQUEST THIS MAC</t>
  </si>
  <si>
    <t>TOTAL FERC 592 REQUEST THIS MAC</t>
  </si>
  <si>
    <t>TOTAL FERC 593 REQUEST THIS MAC</t>
  </si>
  <si>
    <t>TOTAL FERC 594 REQUEST THIS MAC</t>
  </si>
  <si>
    <t>TOTAL FERC 594510 ADJUSTMENT</t>
  </si>
  <si>
    <t>TOTAL FERC 594510 REQUEST THIS MAC</t>
  </si>
  <si>
    <t>TOTAL FERC 595 REQUEST THIS MAC</t>
  </si>
  <si>
    <t>TOTAL FERC 596 REQUEST THIS MAC</t>
  </si>
  <si>
    <t>TOTAL FERC 598 REQUEST THIS MAC</t>
  </si>
  <si>
    <t>TOTAL FERC 597 REQUEST THIS MAC</t>
  </si>
  <si>
    <t>TOTAL FERC 597 ADJUSTMENT</t>
  </si>
  <si>
    <r>
      <t xml:space="preserve">(k) An $80,000 accounting charge for a returned circuit breaker was taken against this area (Grangeville substation breaker).  Amount </t>
    </r>
    <r>
      <rPr>
        <u val="single"/>
        <sz val="8"/>
        <rFont val="Arial"/>
        <family val="2"/>
      </rPr>
      <t>spent</t>
    </r>
    <r>
      <rPr>
        <sz val="8"/>
        <rFont val="Arial"/>
        <family val="2"/>
      </rPr>
      <t xml:space="preserve"> in this area is approximately $45,000</t>
    </r>
  </si>
  <si>
    <t>WOOD POLES</t>
  </si>
  <si>
    <t>Transmission Testing</t>
  </si>
  <si>
    <t>Distribution Testing</t>
  </si>
  <si>
    <t>Substation Inspections</t>
  </si>
  <si>
    <t>Substation Infrared Survey</t>
  </si>
  <si>
    <t>Funding Difference</t>
  </si>
  <si>
    <t>TOTALS - FUNDING DIFFERENCE WITHOUT WOOD POLE &amp; WITHOUT VEG MANAGEMENT</t>
  </si>
  <si>
    <t>IN PLACE OR HISTORICAL ASSET MANAGEMENT TYPE PROGRAMS</t>
  </si>
  <si>
    <t>OTHER HISTORICAL ON-GOING ASSET MANAGEMENT PROGRAMS</t>
  </si>
  <si>
    <t>FERC Account</t>
  </si>
  <si>
    <t>Sum of Budget</t>
  </si>
  <si>
    <t>Total</t>
  </si>
  <si>
    <t>(blank)</t>
  </si>
  <si>
    <t>Grand Total</t>
  </si>
  <si>
    <t>Total AM O&amp;M Increase Proposed for MAC 215:  2009 vs. 2008</t>
  </si>
  <si>
    <t>Wood Pole O&amp;M Increase Proposed for 2009 vs 2008: Inspection and testing</t>
  </si>
  <si>
    <t>Pro Forma for the January, 2009 Commission Basis Report</t>
  </si>
  <si>
    <t>vs. Test Year</t>
  </si>
  <si>
    <t>Total AM O&amp;M Proposed for MAC 215 for 2010</t>
  </si>
  <si>
    <t>Total AM O&amp;M Increase Proposed for MAC 215:  2010 vs. Test Year</t>
  </si>
  <si>
    <t>AM O&amp;M Proposed without Wood Pole under MAC 215 for 2010</t>
  </si>
  <si>
    <t>Wood Pole O&amp;M Proposed for 2010: Inspection and testing</t>
  </si>
  <si>
    <t>Wood Pole O&amp;M Increase Proposed for 2010 vs Test Year: Inspection and testing</t>
  </si>
  <si>
    <t>FY 2007</t>
  </si>
  <si>
    <t>Wood Pole O&amp;M Actual Spend for test year</t>
  </si>
  <si>
    <t>AM O&amp;M Actual Spend without Wood Pole under MAC 215 for Test year</t>
  </si>
  <si>
    <t>Total AM O&amp;M Actual Spent for MAC 215 for Test year</t>
  </si>
  <si>
    <t>Test Year</t>
  </si>
  <si>
    <t>(q) Inflation of 6% used to estimate.</t>
  </si>
  <si>
    <t>(q)</t>
  </si>
  <si>
    <t>2010 Proposed</t>
  </si>
  <si>
    <t>Task #</t>
  </si>
  <si>
    <t>(i)</t>
  </si>
  <si>
    <t>592, 570, 582, 562</t>
  </si>
  <si>
    <t>562, 570</t>
  </si>
  <si>
    <t>582, 592</t>
  </si>
  <si>
    <t>569, 591</t>
  </si>
  <si>
    <t>584, 594</t>
  </si>
  <si>
    <t>569510, 591510</t>
  </si>
  <si>
    <t>584010, 594610</t>
  </si>
  <si>
    <t>583, 593</t>
  </si>
  <si>
    <t>MAC</t>
  </si>
  <si>
    <t>593 - MAINTENANCE OVERHEAD LINES</t>
  </si>
  <si>
    <t>885, 887</t>
  </si>
  <si>
    <t>885000, 887000</t>
  </si>
  <si>
    <t>Gas</t>
  </si>
  <si>
    <t>-</t>
  </si>
  <si>
    <t>569520, 569530, 569540</t>
  </si>
  <si>
    <t>Transmission Maint. Expense-Station Structures</t>
  </si>
  <si>
    <t>Substation Misc. Equip.</t>
  </si>
  <si>
    <t>Substation Misc. Equipment, Batteries, &amp; Weed Spraying</t>
  </si>
  <si>
    <t>Distribution Maint. Expense-Station Equipment</t>
  </si>
  <si>
    <t>570550, 570560</t>
  </si>
  <si>
    <t>592520, 592530, 592540, 592550, 592560,592570</t>
  </si>
  <si>
    <t>595500, 595530</t>
  </si>
  <si>
    <t>HVAC Maint., Weed Spraying</t>
  </si>
  <si>
    <t>Maintain Substation Regulators, Switches &amp; Fuses,  Wildlife Guards, Gen. Equip, and Distribution Relays</t>
  </si>
  <si>
    <t xml:space="preserve">Maint. OH Xformer Gen. and UG Xformer </t>
  </si>
  <si>
    <t>562, 582</t>
  </si>
  <si>
    <t>562500, 582500</t>
  </si>
  <si>
    <t>570, 562, 582</t>
  </si>
  <si>
    <t>570540, 562510, 582510</t>
  </si>
  <si>
    <t>Test Year (10/07-9/08)</t>
  </si>
  <si>
    <t>Total O&amp;M Difference AM areas specifically addressed in testimony -- 2010 Proposed vs Test Year</t>
  </si>
  <si>
    <t>Funding Difference (2010 Proposed - Test Year)</t>
  </si>
  <si>
    <t>TOTALS - FUNDING DIFFERENCE FOR WOOD POLE &amp; VEG MANAGEMENT</t>
  </si>
  <si>
    <t>TOTALS - FUNDING DIFFERENCE FOR INCREMENTAL INCREASE ITEMS</t>
  </si>
  <si>
    <t>FERC Acnt #</t>
  </si>
  <si>
    <t>INCREMENTAL INCREASE ITEMS</t>
  </si>
  <si>
    <t>562520, 570500</t>
  </si>
  <si>
    <t>592500, 582520</t>
  </si>
  <si>
    <t>563500, 560000</t>
  </si>
  <si>
    <t>563, 560</t>
  </si>
  <si>
    <t>206, 341</t>
  </si>
  <si>
    <t>206, 016</t>
  </si>
  <si>
    <t>590, 593, 598, 925</t>
  </si>
  <si>
    <t>590000, 593010, 593020, 593031, 593032, 593033, 593034, 593035, 593036, 593037, 598000, 925100</t>
  </si>
  <si>
    <t>562, 571, 573</t>
  </si>
  <si>
    <t>562540, 562550, 571620, 573000</t>
  </si>
  <si>
    <t>Transmission Pole Inspection</t>
  </si>
  <si>
    <t>580, 582, 583, 593</t>
  </si>
  <si>
    <t>591, 598</t>
  </si>
  <si>
    <t>591520, 591530, 598000</t>
  </si>
  <si>
    <t>568, 571, 580, 588, 923</t>
  </si>
  <si>
    <t>571610, 588000, 563530</t>
  </si>
  <si>
    <t>563, 571, 588</t>
  </si>
  <si>
    <r>
      <t xml:space="preserve">580000, </t>
    </r>
    <r>
      <rPr>
        <sz val="7"/>
        <rFont val="Geneva"/>
        <family val="0"/>
      </rPr>
      <t xml:space="preserve"> 582550, 583500, 593010</t>
    </r>
  </si>
  <si>
    <t>Other Equipment Testing, Operation Supervision and Engineering</t>
  </si>
  <si>
    <t>Budget Area</t>
  </si>
  <si>
    <t>Incremental Requirement</t>
  </si>
  <si>
    <t>Vegetation Management</t>
  </si>
  <si>
    <t>Other</t>
  </si>
  <si>
    <t>Area</t>
  </si>
  <si>
    <t>S</t>
  </si>
  <si>
    <t>568000, 571010, 571031, 571032, 571033, 571034, 580000, 588000, 588020, 588030, 588040, 588100, 923000, 560000</t>
  </si>
  <si>
    <t>WPM</t>
  </si>
  <si>
    <t>Wood Pole Management</t>
  </si>
  <si>
    <t>Total Requirement</t>
  </si>
  <si>
    <t>Other Equipment Testing - Includes Exacter</t>
  </si>
  <si>
    <t>562530, 570510, 582530, 582540, 592510, 571510</t>
  </si>
  <si>
    <t>Responsibility Area - Vegetation Management (Distribution D51 and Transmission L08)</t>
  </si>
  <si>
    <t>Totals for Vegetation Management</t>
  </si>
  <si>
    <t>Difference</t>
  </si>
  <si>
    <t>Code</t>
  </si>
  <si>
    <t>FERC Account (Veg Mgmt areas shaded in green)</t>
  </si>
  <si>
    <t>MAC or ORG</t>
  </si>
  <si>
    <t>Test Period 10/1/07-9/30/08    Spend</t>
  </si>
  <si>
    <t>Increment Above Test Period</t>
  </si>
  <si>
    <t>TOTAL ASSET MANAGEMENT PROGRAMS</t>
  </si>
  <si>
    <t>Total System Adjustment</t>
  </si>
  <si>
    <t>Total Washington Adjustment</t>
  </si>
  <si>
    <t>Total           Idaho Adjustment</t>
  </si>
  <si>
    <t>Wood Pole Test &amp; Treat</t>
  </si>
  <si>
    <t>P/T Allocation Percentages</t>
  </si>
  <si>
    <t>TA</t>
  </si>
  <si>
    <t>560/563</t>
  </si>
  <si>
    <t>TRANS OPERATIONS - Aerial Patrol</t>
  </si>
  <si>
    <t>WOOD POLE</t>
  </si>
  <si>
    <t>TPOL</t>
  </si>
  <si>
    <t>TRANSMISSION MAINTENANCE EXPENSE, OVERHEAD LINES</t>
  </si>
  <si>
    <t>560/571</t>
  </si>
  <si>
    <t>Transmission Maintenance Expense</t>
  </si>
  <si>
    <t>DPOL</t>
  </si>
  <si>
    <t>DISTRIBUTION OPERATIONS EXPENSE-OHD LINES</t>
  </si>
  <si>
    <t>Distribution Operations Expense</t>
  </si>
  <si>
    <t>Veg MANAGEMENT - GAS</t>
  </si>
  <si>
    <t>TS</t>
  </si>
  <si>
    <t>TRANSMISSION OPERATIONS EXPENSE, AERIAL PATROL</t>
  </si>
  <si>
    <t>Veg MANAGEMENT - Electric</t>
  </si>
  <si>
    <t>568, 571</t>
  </si>
  <si>
    <t>568/571</t>
  </si>
  <si>
    <t>TRANS MAINTENANCE EXPENSE</t>
  </si>
  <si>
    <t>562-571</t>
  </si>
  <si>
    <t>Transmission Ops/Maint Expense</t>
  </si>
  <si>
    <t>590, 593</t>
  </si>
  <si>
    <t>590/593</t>
  </si>
  <si>
    <t>DISTRIBUTION MAINTENANCE EXPENSE</t>
  </si>
  <si>
    <t>582-595</t>
  </si>
  <si>
    <t>Distribution Ops/Maint Expense</t>
  </si>
  <si>
    <t>ASSET Management</t>
  </si>
  <si>
    <t>TRANSMISSION OPERATIONS EXPENSE, STATION EXPENSES</t>
  </si>
  <si>
    <t>ASSET MANAGEMENT</t>
  </si>
  <si>
    <t>TRANSMISSION OPERATIONS EXPENSE, OH LINES</t>
  </si>
  <si>
    <t>TRANS MAINTENANCE EXPENSE, SUPERVISION AND ENGINEERING</t>
  </si>
  <si>
    <t>TRANSMISSION MAINTENANCE EXPENSE-STATION STRUCTURES</t>
  </si>
  <si>
    <t>TRANSMISSION MAINTENANCE EXPENSE-STATION EQUIPMENT</t>
  </si>
  <si>
    <t>GAS</t>
  </si>
  <si>
    <t>DS</t>
  </si>
  <si>
    <t>DISTRIBUTION OPERATIONS EXPENSE-STATION</t>
  </si>
  <si>
    <t>Total Distribution Ops/Maint</t>
  </si>
  <si>
    <t>N</t>
  </si>
  <si>
    <t>DISTRIBUTION OPERATIONS EXPENSE-URD LINES</t>
  </si>
  <si>
    <t>ELECTRIC</t>
  </si>
  <si>
    <t>DISTRIBUTION OPERATIONS EXPENSE-METERS</t>
  </si>
  <si>
    <t>Total Transmission Oper/Maint</t>
  </si>
  <si>
    <t>DISTRIBUTION OPERATIONS EXPENSE-MISCELLANEOUS EXPENSE</t>
  </si>
  <si>
    <t>DISTRIBUTION MAINTENANCE EXPENSE-SUPERVISION AND ENGINEERING</t>
  </si>
  <si>
    <t>Total Expense</t>
  </si>
  <si>
    <t>DISTRIBUTION MAINTENANCE EXPENSE-STATION STRUCTURES</t>
  </si>
  <si>
    <t>DISTRIBUTION MAINTENANCE EXPENSE-STATION EQUIPMENT</t>
  </si>
  <si>
    <t>Net Income Before Income Taxes</t>
  </si>
  <si>
    <t>DISTRIBUTION MAINTENANCE EXPENSE-OVERHEAD LINES</t>
  </si>
  <si>
    <t>MAINT UNDERGROUND - MAINTENANCE OF UNDERGROUND LINES</t>
  </si>
  <si>
    <t>Idaho State Income Taxes</t>
  </si>
  <si>
    <t>DISTRIBUTION MAINTENANCE EXPENSE-LINE TRANSFORMERS</t>
  </si>
  <si>
    <t>Net Income before FIT</t>
  </si>
  <si>
    <t>E&amp;G</t>
  </si>
  <si>
    <t>Federal Income Tax</t>
  </si>
  <si>
    <t>Net Reduction to Income</t>
  </si>
  <si>
    <t>2009 Budget (this column incomplete)</t>
  </si>
  <si>
    <t>2008 Budget (this column incomplete</t>
  </si>
  <si>
    <t>2009 Proposed (this column incomplete)</t>
  </si>
  <si>
    <t>Total Electric</t>
  </si>
  <si>
    <t xml:space="preserve">Total Gas </t>
  </si>
  <si>
    <t>WA</t>
  </si>
  <si>
    <t>Ditribution Network - Direct WA</t>
  </si>
  <si>
    <t>Distribution Allocations - electric</t>
  </si>
  <si>
    <t>Distribution Allocations - Gas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</si>
</sst>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  <numFmt numFmtId="176" formatCode="_(&quot;$&quot;* #,##0_);_(&quot;$&quot;* \(#,##0\);_(&quot;$&quot;* &quot;-&quot;??_);_(@_)"/>
    <numFmt numFmtId="177" formatCode="_(* #,##0.0_);_(* \(#,##0.0\);_(* &quot;-&quot;?_);_(@_)"/>
    <numFmt numFmtId="178" formatCode="&quot;$&quot;#,##0.000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0.000%"/>
    <numFmt numFmtId="183" formatCode="0.0000%"/>
    <numFmt numFmtId="184" formatCode="_(* #,##0.0000_);_(* \(#,##0.0000\);_(* &quot;-&quot;????_);_(@_)"/>
    <numFmt numFmtId="185" formatCode="&quot;$&quot;#,##0.00"/>
  </numFmts>
  <fonts count="3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8"/>
      <name val="Geneva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ahoma"/>
      <family val="2"/>
    </font>
    <font>
      <sz val="16"/>
      <name val="Geneva"/>
      <family val="0"/>
    </font>
    <font>
      <u val="single"/>
      <sz val="8"/>
      <name val="Arial"/>
      <family val="2"/>
    </font>
    <font>
      <sz val="14"/>
      <name val="Geneva"/>
      <family val="0"/>
    </font>
    <font>
      <sz val="12"/>
      <name val="Geneva"/>
      <family val="0"/>
    </font>
    <font>
      <b/>
      <sz val="8"/>
      <name val="Geneva"/>
      <family val="0"/>
    </font>
    <font>
      <u val="single"/>
      <sz val="8"/>
      <name val="Geneva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Geneva"/>
      <family val="0"/>
    </font>
    <font>
      <b/>
      <sz val="16"/>
      <name val="Geneva"/>
      <family val="2"/>
    </font>
    <font>
      <i/>
      <sz val="8"/>
      <name val="Geneva"/>
      <family val="0"/>
    </font>
    <font>
      <sz val="16"/>
      <color indexed="8"/>
      <name val="Arial"/>
      <family val="2"/>
    </font>
    <font>
      <sz val="18"/>
      <name val="Geneva"/>
      <family val="0"/>
    </font>
    <font>
      <sz val="7"/>
      <name val="Geneva"/>
      <family val="0"/>
    </font>
    <font>
      <sz val="11"/>
      <name val="Geneva"/>
      <family val="0"/>
    </font>
    <font>
      <b/>
      <sz val="11"/>
      <name val="Geneva"/>
      <family val="0"/>
    </font>
    <font>
      <u val="single"/>
      <sz val="11"/>
      <name val="Arial"/>
      <family val="2"/>
    </font>
    <font>
      <b/>
      <u val="single"/>
      <sz val="12"/>
      <name val="Geneva"/>
      <family val="0"/>
    </font>
    <font>
      <b/>
      <u val="single"/>
      <sz val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Continuous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75" fontId="17" fillId="0" borderId="1" xfId="0" applyNumberFormat="1" applyFont="1" applyBorder="1" applyAlignment="1">
      <alignment horizontal="right"/>
    </xf>
    <xf numFmtId="175" fontId="5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175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175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/>
    </xf>
    <xf numFmtId="175" fontId="17" fillId="0" borderId="1" xfId="0" applyNumberFormat="1" applyFont="1" applyFill="1" applyBorder="1" applyAlignment="1">
      <alignment horizontal="right"/>
    </xf>
    <xf numFmtId="0" fontId="18" fillId="2" borderId="1" xfId="21" applyFont="1" applyFill="1" applyBorder="1" applyAlignment="1">
      <alignment horizontal="left" vertical="top"/>
      <protection/>
    </xf>
    <xf numFmtId="175" fontId="5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75" fontId="19" fillId="3" borderId="1" xfId="0" applyNumberFormat="1" applyFont="1" applyFill="1" applyBorder="1" applyAlignment="1">
      <alignment horizontal="right"/>
    </xf>
    <xf numFmtId="175" fontId="19" fillId="0" borderId="1" xfId="0" applyNumberFormat="1" applyFont="1" applyFill="1" applyBorder="1" applyAlignment="1">
      <alignment horizontal="center" wrapText="1"/>
    </xf>
    <xf numFmtId="175" fontId="15" fillId="0" borderId="1" xfId="0" applyNumberFormat="1" applyFont="1" applyBorder="1" applyAlignment="1">
      <alignment/>
    </xf>
    <xf numFmtId="175" fontId="19" fillId="4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175" fontId="20" fillId="0" borderId="1" xfId="0" applyNumberFormat="1" applyFont="1" applyFill="1" applyBorder="1" applyAlignment="1">
      <alignment horizontal="right"/>
    </xf>
    <xf numFmtId="175" fontId="17" fillId="0" borderId="1" xfId="0" applyNumberFormat="1" applyFont="1" applyBorder="1" applyAlignment="1">
      <alignment/>
    </xf>
    <xf numFmtId="175" fontId="17" fillId="0" borderId="1" xfId="17" applyNumberFormat="1" applyFont="1" applyFill="1" applyBorder="1" applyAlignment="1">
      <alignment horizontal="right"/>
    </xf>
    <xf numFmtId="175" fontId="19" fillId="5" borderId="1" xfId="0" applyNumberFormat="1" applyFont="1" applyFill="1" applyBorder="1" applyAlignment="1">
      <alignment horizontal="right"/>
    </xf>
    <xf numFmtId="175" fontId="17" fillId="5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/>
    </xf>
    <xf numFmtId="175" fontId="19" fillId="7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5" fontId="19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1" fillId="0" borderId="1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176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76" fontId="0" fillId="8" borderId="2" xfId="0" applyNumberForma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76" fontId="23" fillId="0" borderId="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0" fontId="0" fillId="2" borderId="2" xfId="0" applyFont="1" applyFill="1" applyBorder="1" applyAlignment="1">
      <alignment horizontal="right" vertical="center" wrapText="1"/>
    </xf>
    <xf numFmtId="0" fontId="0" fillId="8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175" fontId="19" fillId="9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175" fontId="19" fillId="2" borderId="1" xfId="0" applyNumberFormat="1" applyFont="1" applyFill="1" applyBorder="1" applyAlignment="1">
      <alignment horizontal="right"/>
    </xf>
    <xf numFmtId="175" fontId="17" fillId="2" borderId="1" xfId="0" applyNumberFormat="1" applyFont="1" applyFill="1" applyBorder="1" applyAlignment="1">
      <alignment horizontal="right"/>
    </xf>
    <xf numFmtId="1" fontId="19" fillId="0" borderId="1" xfId="0" applyNumberFormat="1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75" fontId="19" fillId="7" borderId="1" xfId="0" applyNumberFormat="1" applyFont="1" applyFill="1" applyBorder="1" applyAlignment="1">
      <alignment horizontal="right" wrapText="1"/>
    </xf>
    <xf numFmtId="175" fontId="19" fillId="7" borderId="1" xfId="0" applyNumberFormat="1" applyFont="1" applyFill="1" applyBorder="1" applyAlignment="1">
      <alignment horizontal="center"/>
    </xf>
    <xf numFmtId="175" fontId="17" fillId="7" borderId="1" xfId="0" applyNumberFormat="1" applyFont="1" applyFill="1" applyBorder="1" applyAlignment="1">
      <alignment horizontal="center" wrapText="1"/>
    </xf>
    <xf numFmtId="175" fontId="19" fillId="7" borderId="1" xfId="0" applyNumberFormat="1" applyFont="1" applyFill="1" applyBorder="1" applyAlignment="1">
      <alignment horizontal="center" wrapText="1"/>
    </xf>
    <xf numFmtId="175" fontId="17" fillId="7" borderId="1" xfId="0" applyNumberFormat="1" applyFont="1" applyFill="1" applyBorder="1" applyAlignment="1">
      <alignment horizontal="right"/>
    </xf>
    <xf numFmtId="176" fontId="17" fillId="0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176" fontId="1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 vertical="center" wrapText="1"/>
    </xf>
    <xf numFmtId="176" fontId="5" fillId="0" borderId="0" xfId="0" applyNumberFormat="1" applyFont="1" applyBorder="1" applyAlignment="1">
      <alignment/>
    </xf>
    <xf numFmtId="0" fontId="22" fillId="2" borderId="0" xfId="0" applyFont="1" applyFill="1" applyBorder="1" applyAlignment="1">
      <alignment horizontal="center" wrapText="1"/>
    </xf>
    <xf numFmtId="176" fontId="22" fillId="2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75" fontId="17" fillId="0" borderId="1" xfId="0" applyNumberFormat="1" applyFont="1" applyFill="1" applyBorder="1" applyAlignment="1">
      <alignment horizontal="center"/>
    </xf>
    <xf numFmtId="175" fontId="19" fillId="0" borderId="1" xfId="0" applyNumberFormat="1" applyFont="1" applyFill="1" applyBorder="1" applyAlignment="1">
      <alignment horizontal="right" wrapText="1"/>
    </xf>
    <xf numFmtId="175" fontId="19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21" fillId="2" borderId="2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/>
    </xf>
    <xf numFmtId="176" fontId="23" fillId="0" borderId="13" xfId="0" applyNumberFormat="1" applyFont="1" applyBorder="1" applyAlignment="1">
      <alignment/>
    </xf>
    <xf numFmtId="0" fontId="1" fillId="8" borderId="13" xfId="0" applyFont="1" applyFill="1" applyBorder="1" applyAlignment="1">
      <alignment horizontal="right"/>
    </xf>
    <xf numFmtId="176" fontId="1" fillId="8" borderId="13" xfId="0" applyNumberFormat="1" applyFont="1" applyFill="1" applyBorder="1" applyAlignment="1">
      <alignment/>
    </xf>
    <xf numFmtId="0" fontId="0" fillId="8" borderId="14" xfId="0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/>
    </xf>
    <xf numFmtId="176" fontId="0" fillId="8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23" fillId="2" borderId="13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 wrapText="1"/>
    </xf>
    <xf numFmtId="176" fontId="23" fillId="0" borderId="14" xfId="0" applyNumberFormat="1" applyFont="1" applyBorder="1" applyAlignment="1">
      <alignment/>
    </xf>
    <xf numFmtId="176" fontId="1" fillId="2" borderId="14" xfId="0" applyNumberFormat="1" applyFont="1" applyFill="1" applyBorder="1" applyAlignment="1">
      <alignment/>
    </xf>
    <xf numFmtId="176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 wrapText="1"/>
    </xf>
    <xf numFmtId="176" fontId="23" fillId="0" borderId="15" xfId="0" applyNumberFormat="1" applyFont="1" applyBorder="1" applyAlignment="1">
      <alignment/>
    </xf>
    <xf numFmtId="176" fontId="1" fillId="2" borderId="15" xfId="0" applyNumberFormat="1" applyFont="1" applyFill="1" applyBorder="1" applyAlignment="1">
      <alignment/>
    </xf>
    <xf numFmtId="0" fontId="5" fillId="0" borderId="2" xfId="0" applyFont="1" applyBorder="1" applyAlignment="1">
      <alignment horizontal="right" wrapText="1"/>
    </xf>
    <xf numFmtId="0" fontId="26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22" fillId="8" borderId="16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right" wrapText="1"/>
    </xf>
    <xf numFmtId="0" fontId="26" fillId="0" borderId="17" xfId="0" applyFont="1" applyBorder="1" applyAlignment="1">
      <alignment horizontal="right" wrapText="1"/>
    </xf>
    <xf numFmtId="0" fontId="23" fillId="2" borderId="17" xfId="0" applyFont="1" applyFill="1" applyBorder="1" applyAlignment="1">
      <alignment horizontal="right" vertical="center" wrapText="1"/>
    </xf>
    <xf numFmtId="0" fontId="23" fillId="2" borderId="17" xfId="0" applyFont="1" applyFill="1" applyBorder="1" applyAlignment="1">
      <alignment horizontal="center" vertical="center"/>
    </xf>
    <xf numFmtId="176" fontId="23" fillId="0" borderId="17" xfId="0" applyNumberFormat="1" applyFont="1" applyBorder="1" applyAlignment="1">
      <alignment/>
    </xf>
    <xf numFmtId="0" fontId="1" fillId="2" borderId="17" xfId="0" applyFont="1" applyFill="1" applyBorder="1" applyAlignment="1">
      <alignment horizontal="right"/>
    </xf>
    <xf numFmtId="176" fontId="1" fillId="2" borderId="17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/>
    </xf>
    <xf numFmtId="0" fontId="0" fillId="2" borderId="17" xfId="0" applyFont="1" applyFill="1" applyBorder="1" applyAlignment="1">
      <alignment horizontal="right" vertical="center" wrapText="1"/>
    </xf>
    <xf numFmtId="176" fontId="22" fillId="8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27" fillId="0" borderId="0" xfId="0" applyFont="1" applyFill="1" applyAlignment="1">
      <alignment textRotation="90" wrapText="1"/>
    </xf>
    <xf numFmtId="0" fontId="27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21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1" fillId="0" borderId="2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28" fillId="3" borderId="20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10" fontId="21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176" fontId="27" fillId="0" borderId="0" xfId="0" applyNumberFormat="1" applyFont="1" applyFill="1" applyAlignment="1">
      <alignment/>
    </xf>
    <xf numFmtId="0" fontId="30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0" fontId="27" fillId="0" borderId="20" xfId="0" applyFont="1" applyFill="1" applyBorder="1" applyAlignment="1">
      <alignment/>
    </xf>
    <xf numFmtId="176" fontId="27" fillId="0" borderId="20" xfId="0" applyNumberFormat="1" applyFont="1" applyFill="1" applyBorder="1" applyAlignment="1">
      <alignment/>
    </xf>
    <xf numFmtId="176" fontId="14" fillId="0" borderId="20" xfId="0" applyNumberFormat="1" applyFont="1" applyBorder="1" applyAlignment="1">
      <alignment/>
    </xf>
    <xf numFmtId="181" fontId="14" fillId="0" borderId="20" xfId="0" applyNumberFormat="1" applyFont="1" applyBorder="1" applyAlignment="1">
      <alignment/>
    </xf>
    <xf numFmtId="176" fontId="28" fillId="3" borderId="21" xfId="0" applyNumberFormat="1" applyFont="1" applyFill="1" applyBorder="1" applyAlignment="1">
      <alignment/>
    </xf>
    <xf numFmtId="176" fontId="14" fillId="3" borderId="17" xfId="0" applyNumberFormat="1" applyFont="1" applyFill="1" applyBorder="1" applyAlignment="1">
      <alignment/>
    </xf>
    <xf numFmtId="176" fontId="14" fillId="0" borderId="17" xfId="0" applyNumberFormat="1" applyFont="1" applyBorder="1" applyAlignment="1">
      <alignment/>
    </xf>
    <xf numFmtId="176" fontId="28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27" fillId="10" borderId="0" xfId="0" applyFont="1" applyFill="1" applyAlignment="1">
      <alignment/>
    </xf>
    <xf numFmtId="0" fontId="29" fillId="10" borderId="0" xfId="0" applyFont="1" applyFill="1" applyAlignment="1">
      <alignment horizontal="left" wrapText="1"/>
    </xf>
    <xf numFmtId="176" fontId="27" fillId="1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4" fillId="0" borderId="20" xfId="0" applyFont="1" applyFill="1" applyBorder="1" applyAlignment="1">
      <alignment horizontal="left"/>
    </xf>
    <xf numFmtId="0" fontId="14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176" fontId="14" fillId="3" borderId="2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4" fillId="0" borderId="17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1" fillId="3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181" fontId="14" fillId="0" borderId="17" xfId="0" applyNumberFormat="1" applyFont="1" applyBorder="1" applyAlignment="1">
      <alignment/>
    </xf>
    <xf numFmtId="0" fontId="29" fillId="0" borderId="20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/>
    </xf>
    <xf numFmtId="0" fontId="14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176" fontId="14" fillId="0" borderId="16" xfId="0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11" borderId="22" xfId="0" applyFont="1" applyFill="1" applyBorder="1" applyAlignment="1">
      <alignment/>
    </xf>
    <xf numFmtId="0" fontId="14" fillId="11" borderId="23" xfId="0" applyFont="1" applyFill="1" applyBorder="1" applyAlignment="1">
      <alignment/>
    </xf>
    <xf numFmtId="0" fontId="0" fillId="11" borderId="23" xfId="0" applyFont="1" applyFill="1" applyBorder="1" applyAlignment="1">
      <alignment/>
    </xf>
    <xf numFmtId="0" fontId="21" fillId="11" borderId="27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76" fontId="14" fillId="11" borderId="0" xfId="0" applyNumberFormat="1" applyFont="1" applyFill="1" applyBorder="1" applyAlignment="1">
      <alignment/>
    </xf>
    <xf numFmtId="176" fontId="14" fillId="11" borderId="20" xfId="0" applyNumberFormat="1" applyFont="1" applyFill="1" applyBorder="1" applyAlignment="1">
      <alignment/>
    </xf>
    <xf numFmtId="181" fontId="14" fillId="11" borderId="0" xfId="0" applyNumberFormat="1" applyFont="1" applyFill="1" applyBorder="1" applyAlignment="1">
      <alignment/>
    </xf>
    <xf numFmtId="183" fontId="0" fillId="11" borderId="0" xfId="0" applyNumberFormat="1" applyFont="1" applyFill="1" applyBorder="1" applyAlignment="1">
      <alignment/>
    </xf>
    <xf numFmtId="0" fontId="14" fillId="11" borderId="20" xfId="0" applyFont="1" applyFill="1" applyBorder="1" applyAlignment="1">
      <alignment/>
    </xf>
    <xf numFmtId="176" fontId="27" fillId="0" borderId="17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9" fontId="0" fillId="11" borderId="0" xfId="0" applyNumberFormat="1" applyFont="1" applyFill="1" applyBorder="1" applyAlignment="1">
      <alignment/>
    </xf>
    <xf numFmtId="176" fontId="14" fillId="11" borderId="28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176" fontId="1" fillId="0" borderId="0" xfId="0" applyNumberFormat="1" applyFont="1" applyAlignment="1">
      <alignment/>
    </xf>
    <xf numFmtId="176" fontId="1" fillId="0" borderId="21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wrapText="1"/>
    </xf>
    <xf numFmtId="182" fontId="21" fillId="0" borderId="20" xfId="0" applyNumberFormat="1" applyFont="1" applyBorder="1" applyAlignment="1">
      <alignment horizontal="center" wrapText="1"/>
    </xf>
    <xf numFmtId="0" fontId="14" fillId="0" borderId="29" xfId="0" applyFont="1" applyBorder="1" applyAlignment="1">
      <alignment/>
    </xf>
    <xf numFmtId="0" fontId="14" fillId="11" borderId="25" xfId="0" applyFont="1" applyFill="1" applyBorder="1" applyAlignment="1">
      <alignment/>
    </xf>
    <xf numFmtId="0" fontId="14" fillId="11" borderId="16" xfId="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0" fontId="22" fillId="8" borderId="30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25" fillId="2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2" fillId="8" borderId="25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22" fillId="2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176" fontId="22" fillId="8" borderId="31" xfId="0" applyNumberFormat="1" applyFont="1" applyFill="1" applyBorder="1" applyAlignment="1">
      <alignment horizontal="center"/>
    </xf>
    <xf numFmtId="176" fontId="22" fillId="8" borderId="32" xfId="0" applyNumberFormat="1" applyFont="1" applyFill="1" applyBorder="1" applyAlignment="1">
      <alignment horizontal="center"/>
    </xf>
    <xf numFmtId="176" fontId="22" fillId="8" borderId="16" xfId="0" applyNumberFormat="1" applyFont="1" applyFill="1" applyBorder="1" applyAlignment="1">
      <alignment horizontal="center"/>
    </xf>
    <xf numFmtId="176" fontId="22" fillId="8" borderId="26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24" fillId="2" borderId="5" xfId="21" applyFont="1" applyFill="1" applyBorder="1" applyAlignment="1">
      <alignment horizontal="center" vertical="top"/>
      <protection/>
    </xf>
    <xf numFmtId="0" fontId="24" fillId="2" borderId="6" xfId="21" applyFont="1" applyFill="1" applyBorder="1" applyAlignment="1">
      <alignment horizontal="center" vertical="top"/>
      <protection/>
    </xf>
    <xf numFmtId="0" fontId="5" fillId="0" borderId="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0" fontId="5" fillId="12" borderId="5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14" fontId="5" fillId="9" borderId="5" xfId="0" applyNumberFormat="1" applyFont="1" applyFill="1" applyBorder="1" applyAlignment="1">
      <alignment horizontal="center"/>
    </xf>
    <xf numFmtId="14" fontId="5" fillId="9" borderId="6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76" fontId="14" fillId="0" borderId="20" xfId="0" applyNumberFormat="1" applyFont="1" applyFill="1" applyBorder="1" applyAlignment="1">
      <alignment/>
    </xf>
    <xf numFmtId="181" fontId="14" fillId="0" borderId="34" xfId="0" applyNumberFormat="1" applyFont="1" applyFill="1" applyBorder="1" applyAlignment="1">
      <alignment/>
    </xf>
    <xf numFmtId="181" fontId="14" fillId="0" borderId="35" xfId="0" applyNumberFormat="1" applyFont="1" applyFill="1" applyBorder="1" applyAlignment="1">
      <alignment/>
    </xf>
    <xf numFmtId="176" fontId="14" fillId="0" borderId="35" xfId="0" applyNumberFormat="1" applyFont="1" applyFill="1" applyBorder="1" applyAlignment="1">
      <alignment/>
    </xf>
    <xf numFmtId="176" fontId="14" fillId="0" borderId="36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16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&amp;M 2006 Act vs 2008" xfId="21"/>
    <cellStyle name="Percent" xfId="22"/>
  </cellStyles>
  <dxfs count="2">
    <dxf>
      <numFmt numFmtId="175" formatCode="&quot;$&quot;#,##0"/>
      <border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M%202007%20RATE%20CASE%20BUDGET%2010%20year%20-%203_9%20w%20FE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2007%20rate%20case\AM%202007%20RATE%20CASE%20BUDGET%2010%20year%20-%203_9%20w%20FE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 Task #'s"/>
      <sheetName val="AM Budget Data"/>
      <sheetName val="O&amp;M Cost By FERC"/>
      <sheetName val="AM Budget Data - Old"/>
      <sheetName val="AM Budget Data Network &amp; Sub"/>
      <sheetName val="PCB Xfmr"/>
      <sheetName val="Asbestos Abatement"/>
      <sheetName val="Replace PILC Sec Cable"/>
      <sheetName val="Network Protectors and Relays"/>
      <sheetName val="Duct Banks"/>
      <sheetName val="Network Inspections"/>
      <sheetName val="Primary Cable Replacement"/>
      <sheetName val="Replace Concrete Tops"/>
      <sheetName val="Network Transformers"/>
      <sheetName val="LV Circuit Breakers Reclosers"/>
      <sheetName val="Regulators"/>
      <sheetName val="HV Switches"/>
      <sheetName val="HV Fuses"/>
      <sheetName val="Circuit Switchers"/>
      <sheetName val="Transformers - Condition"/>
      <sheetName val="Transformers - Financial"/>
      <sheetName val="Specialized Tools"/>
      <sheetName val="HV Circuit Breaker"/>
      <sheetName val="Substation Inspection"/>
      <sheetName val="Weed Spraying"/>
      <sheetName val="Landscaping"/>
      <sheetName val="Signs"/>
      <sheetName val="Sub Relay Test and Maint"/>
      <sheetName val="Substation Wildlife Guards"/>
      <sheetName val="Wood Substation Rebuild"/>
      <sheetName val="Substation Infrared Inspection"/>
      <sheetName val="Surge Arrestors"/>
      <sheetName val="Substation Battery"/>
      <sheetName val="Fencing and Crushed Rock"/>
      <sheetName val="Sub Commissioning and Test"/>
      <sheetName val="Sub Automation"/>
      <sheetName val="Sub Spare Components"/>
      <sheetName val="LV Fuses"/>
      <sheetName val="Sub Misc. Equipment"/>
      <sheetName val="Sub SCADA RTU"/>
      <sheetName val="Sub Grounding"/>
      <sheetName val="Blank"/>
      <sheetName val="Standard Assumptions"/>
    </sheetNames>
    <sheetDataSet>
      <sheetData sheetId="2">
        <row r="42">
          <cell r="H42">
            <v>658</v>
          </cell>
        </row>
        <row r="84">
          <cell r="H84">
            <v>0</v>
          </cell>
        </row>
        <row r="89">
          <cell r="H89">
            <v>945637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 Task #'s"/>
      <sheetName val="AM Budget Data"/>
      <sheetName val="O&amp;M Cost By FERC"/>
      <sheetName val="AM Budget Data - Old"/>
      <sheetName val="AM Budget Data Network &amp; Sub"/>
      <sheetName val="PCB Xfmr"/>
      <sheetName val="Asbestos Abatement"/>
      <sheetName val="Replace PILC Sec Cable"/>
      <sheetName val="Network Protectors and Relays"/>
      <sheetName val="Duct Banks"/>
      <sheetName val="Network Inspections"/>
      <sheetName val="Primary Cable Replacement"/>
      <sheetName val="Replace Concrete Tops"/>
      <sheetName val="Network Transformers"/>
      <sheetName val="LV Circuit Breakers Reclosers"/>
      <sheetName val="Regulators"/>
      <sheetName val="HV Switches"/>
      <sheetName val="HV Fuses"/>
      <sheetName val="Circuit Switchers"/>
      <sheetName val="Transformers - Condition"/>
      <sheetName val="Transformers - Financial"/>
      <sheetName val="Specialized Tools"/>
      <sheetName val="HV Circuit Breaker"/>
      <sheetName val="Substation Inspection"/>
      <sheetName val="Weed Spraying"/>
      <sheetName val="Landscaping"/>
      <sheetName val="Signs"/>
      <sheetName val="Sub Relay Test and Maint"/>
      <sheetName val="Substation Wildlife Guards"/>
      <sheetName val="Wood Substation Rebuild"/>
      <sheetName val="Substation Infrared Inspection"/>
      <sheetName val="Surge Arrestors"/>
      <sheetName val="Substation Battery"/>
      <sheetName val="Fencing and Crushed Rock"/>
      <sheetName val="Sub Commissioning and Test"/>
      <sheetName val="Sub Automation"/>
      <sheetName val="Sub Spare Components"/>
      <sheetName val="LV Fuses"/>
      <sheetName val="Sub Misc. Equipment"/>
      <sheetName val="Sub SCADA RTU"/>
      <sheetName val="Sub Grounding"/>
      <sheetName val="Blank"/>
      <sheetName val="Standard Assumptions"/>
    </sheetNames>
    <sheetDataSet>
      <sheetData sheetId="2">
        <row r="16">
          <cell r="H16">
            <v>20609.35</v>
          </cell>
        </row>
        <row r="45">
          <cell r="H45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8:R309" sheet="O&amp;M_ 07 Act vs 10 budg"/>
  </cacheSource>
  <cacheFields count="2">
    <cacheField name="FERC Account">
      <sharedItems containsString="0" containsBlank="1" containsMixedTypes="0" containsNumber="1" containsInteger="1" count="39">
        <m/>
        <n v="560"/>
        <n v="561"/>
        <n v="563"/>
        <n v="566"/>
        <n v="568"/>
        <n v="571"/>
        <n v="573"/>
        <n v="580"/>
        <n v="588"/>
        <n v="590"/>
        <n v="593"/>
        <n v="594"/>
        <n v="596"/>
        <n v="597"/>
        <n v="598"/>
        <n v="885"/>
        <n v="887"/>
        <n v="921"/>
        <n v="923"/>
        <n v="925"/>
        <n v="926"/>
        <n v="930"/>
        <n v="56"/>
        <n v="562"/>
        <n v="567"/>
        <n v="569"/>
        <n v="570"/>
        <n v="572"/>
        <n v="582"/>
        <n v="583"/>
        <n v="584"/>
        <n v="585"/>
        <n v="586"/>
        <n v="587"/>
        <n v="589"/>
        <n v="591"/>
        <n v="592"/>
        <n v="595"/>
      </sharedItems>
    </cacheField>
    <cacheField name="Budget">
      <sharedItems containsString="0" containsBlank="1" containsMixedTypes="0" containsNumber="1" containsInteger="1" count="26">
        <m/>
        <n v="0"/>
        <n v="41600"/>
        <n v="167839"/>
        <n v="691600"/>
        <n v="6000"/>
        <n v="574295"/>
        <n v="3761258"/>
        <n v="23671"/>
        <n v="105000"/>
        <n v="5371263"/>
        <n v="2379"/>
        <n v="16749"/>
        <n v="44038"/>
        <n v="176704"/>
        <n v="384764"/>
        <n v="356329"/>
        <n v="11700"/>
        <n v="356328"/>
        <n v="3423"/>
        <n v="287374"/>
        <n v="57874"/>
        <n v="266718"/>
        <n v="20534"/>
        <n v="112985"/>
        <n v="17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T7:U48" firstHeaderRow="2" firstDataRow="2" firstDataCol="1"/>
  <pivotFields count="2">
    <pivotField axis="axisRow" compact="0" outline="0" subtotalTop="0" showAll="0">
      <items count="40">
        <item x="23"/>
        <item x="1"/>
        <item x="2"/>
        <item x="24"/>
        <item x="3"/>
        <item x="4"/>
        <item x="25"/>
        <item x="5"/>
        <item x="26"/>
        <item x="27"/>
        <item x="6"/>
        <item x="28"/>
        <item x="7"/>
        <item x="8"/>
        <item x="29"/>
        <item x="30"/>
        <item x="31"/>
        <item x="32"/>
        <item x="33"/>
        <item x="34"/>
        <item x="9"/>
        <item x="35"/>
        <item x="10"/>
        <item x="36"/>
        <item x="37"/>
        <item x="11"/>
        <item x="12"/>
        <item x="38"/>
        <item x="13"/>
        <item x="14"/>
        <item x="15"/>
        <item x="16"/>
        <item x="17"/>
        <item x="18"/>
        <item x="19"/>
        <item x="20"/>
        <item x="21"/>
        <item x="22"/>
        <item x="0"/>
        <item t="default"/>
      </items>
    </pivotField>
    <pivotField dataField="1" compact="0" outline="0" subtotalTop="0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of Budget" fld="1" baseField="0" baseItem="0"/>
  </dataFields>
  <formats count="3">
    <format dxfId="0">
      <pivotArea outline="0" fieldPosition="0">
        <references count="1">
          <reference field="0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0">
      <pivotArea outline="0" fieldPosition="0" grandRow="1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S7:T48" firstHeaderRow="2" firstDataRow="2" firstDataCol="1"/>
  <pivotFields count="2">
    <pivotField axis="axisRow" compact="0" outline="0" subtotalTop="0" showAll="0">
      <items count="40">
        <item x="23"/>
        <item x="1"/>
        <item x="2"/>
        <item x="24"/>
        <item x="3"/>
        <item x="4"/>
        <item x="25"/>
        <item x="5"/>
        <item x="26"/>
        <item x="27"/>
        <item x="6"/>
        <item x="28"/>
        <item x="7"/>
        <item x="8"/>
        <item x="29"/>
        <item x="30"/>
        <item x="31"/>
        <item x="32"/>
        <item x="33"/>
        <item x="34"/>
        <item x="9"/>
        <item x="35"/>
        <item x="10"/>
        <item x="36"/>
        <item x="37"/>
        <item x="11"/>
        <item x="12"/>
        <item x="38"/>
        <item x="13"/>
        <item x="14"/>
        <item x="15"/>
        <item x="16"/>
        <item x="17"/>
        <item x="18"/>
        <item x="19"/>
        <item x="20"/>
        <item x="21"/>
        <item x="22"/>
        <item x="0"/>
        <item t="default"/>
      </items>
    </pivotField>
    <pivotField dataField="1" compact="0" outline="0" subtotalTop="0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of Budget" fld="1" baseField="0" baseItem="0"/>
  </dataFields>
  <formats count="3">
    <format dxfId="0">
      <pivotArea outline="0" fieldPosition="0">
        <references count="1">
          <reference field="0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0">
      <pivotArea outline="0" fieldPosition="0" grandRow="1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="60" zoomScaleNormal="75" workbookViewId="0" topLeftCell="C19">
      <selection activeCell="P37" sqref="P37"/>
    </sheetView>
  </sheetViews>
  <sheetFormatPr defaultColWidth="9.00390625" defaultRowHeight="12.75"/>
  <cols>
    <col min="1" max="1" width="11.625" style="171" hidden="1" customWidth="1"/>
    <col min="2" max="2" width="10.75390625" style="171" hidden="1" customWidth="1"/>
    <col min="3" max="3" width="0.12890625" style="171" customWidth="1"/>
    <col min="4" max="4" width="10.75390625" style="171" hidden="1" customWidth="1"/>
    <col min="5" max="5" width="8.75390625" style="171" customWidth="1"/>
    <col min="6" max="6" width="66.375" style="156" customWidth="1"/>
    <col min="7" max="7" width="6.125" style="171" hidden="1" customWidth="1"/>
    <col min="8" max="8" width="16.125" style="171" customWidth="1"/>
    <col min="9" max="9" width="14.625" style="171" customWidth="1"/>
    <col min="10" max="10" width="17.25390625" style="171" bestFit="1" customWidth="1"/>
    <col min="11" max="12" width="4.25390625" style="178" customWidth="1"/>
    <col min="13" max="13" width="11.125" style="177" customWidth="1"/>
    <col min="14" max="14" width="40.00390625" style="177" customWidth="1"/>
    <col min="15" max="15" width="8.25390625" style="171" bestFit="1" customWidth="1"/>
    <col min="16" max="16" width="16.875" style="177" customWidth="1"/>
    <col min="17" max="17" width="2.25390625" style="177" customWidth="1"/>
    <col min="18" max="18" width="15.125" style="177" customWidth="1"/>
    <col min="19" max="19" width="1.875" style="177" customWidth="1"/>
    <col min="20" max="20" width="15.875" style="177" customWidth="1"/>
    <col min="21" max="21" width="2.00390625" style="177" customWidth="1"/>
    <col min="22" max="22" width="5.125" style="177" hidden="1" customWidth="1"/>
    <col min="23" max="23" width="5.625" style="177" bestFit="1" customWidth="1"/>
    <col min="24" max="24" width="37.25390625" style="171" bestFit="1" customWidth="1"/>
    <col min="25" max="25" width="8.25390625" style="171" bestFit="1" customWidth="1"/>
    <col min="26" max="26" width="12.875" style="171" bestFit="1" customWidth="1"/>
    <col min="27" max="27" width="5.125" style="171" customWidth="1"/>
    <col min="28" max="28" width="11.375" style="171" bestFit="1" customWidth="1"/>
    <col min="29" max="29" width="5.125" style="171" customWidth="1"/>
    <col min="30" max="30" width="11.375" style="171" bestFit="1" customWidth="1"/>
    <col min="31" max="16384" width="5.125" style="171" customWidth="1"/>
  </cols>
  <sheetData>
    <row r="1" spans="1:30" s="156" customFormat="1" ht="48" customHeight="1" thickBot="1">
      <c r="A1" s="156">
        <v>1</v>
      </c>
      <c r="B1" s="157" t="s">
        <v>404</v>
      </c>
      <c r="C1" s="157"/>
      <c r="D1" s="157"/>
      <c r="E1" s="158"/>
      <c r="F1" s="159" t="s">
        <v>405</v>
      </c>
      <c r="G1" s="159" t="s">
        <v>406</v>
      </c>
      <c r="H1" s="159" t="s">
        <v>407</v>
      </c>
      <c r="I1" s="159" t="s">
        <v>331</v>
      </c>
      <c r="J1" s="159" t="s">
        <v>408</v>
      </c>
      <c r="K1" s="160"/>
      <c r="L1" s="160"/>
      <c r="M1" s="161"/>
      <c r="N1" s="162" t="s">
        <v>409</v>
      </c>
      <c r="O1" s="163"/>
      <c r="P1" s="164" t="s">
        <v>410</v>
      </c>
      <c r="Q1" s="161"/>
      <c r="R1" s="164" t="s">
        <v>411</v>
      </c>
      <c r="S1" s="161"/>
      <c r="T1" s="164" t="s">
        <v>412</v>
      </c>
      <c r="U1" s="165"/>
      <c r="V1" s="165"/>
      <c r="W1" s="241"/>
      <c r="X1" s="171"/>
      <c r="Y1" s="171"/>
      <c r="Z1" s="171"/>
      <c r="AA1" s="171"/>
      <c r="AB1" s="171"/>
      <c r="AC1" s="171"/>
      <c r="AD1" s="171"/>
    </row>
    <row r="2" spans="2:22" s="156" customFormat="1" ht="15.75">
      <c r="B2" s="157"/>
      <c r="C2" s="157"/>
      <c r="D2" s="157"/>
      <c r="E2" s="158"/>
      <c r="F2" s="166" t="s">
        <v>413</v>
      </c>
      <c r="G2" s="159"/>
      <c r="H2" s="159"/>
      <c r="I2" s="159"/>
      <c r="J2" s="159"/>
      <c r="K2" s="160"/>
      <c r="L2" s="160"/>
      <c r="M2" s="161"/>
      <c r="N2" s="167" t="s">
        <v>414</v>
      </c>
      <c r="O2" s="168"/>
      <c r="P2" s="169"/>
      <c r="Q2" s="161"/>
      <c r="R2" s="170">
        <v>0.6459</v>
      </c>
      <c r="S2" s="161"/>
      <c r="T2" s="170">
        <v>0.3541</v>
      </c>
      <c r="U2" s="165"/>
      <c r="V2" s="165"/>
    </row>
    <row r="3" spans="1:20" ht="17.25" customHeight="1">
      <c r="A3" s="156">
        <v>2</v>
      </c>
      <c r="B3" s="171" t="s">
        <v>415</v>
      </c>
      <c r="C3" s="134" t="s">
        <v>373</v>
      </c>
      <c r="D3" s="84" t="s">
        <v>232</v>
      </c>
      <c r="E3" s="172" t="s">
        <v>416</v>
      </c>
      <c r="F3" s="173" t="s">
        <v>417</v>
      </c>
      <c r="G3" s="172">
        <v>215</v>
      </c>
      <c r="H3" s="174">
        <f>'Budget v Actual Summaries'!J31</f>
        <v>62517</v>
      </c>
      <c r="I3" s="174">
        <f>'Budget v Actual Summaries'!K31</f>
        <v>103249</v>
      </c>
      <c r="J3" s="174">
        <f>I3-H3</f>
        <v>40732</v>
      </c>
      <c r="K3" s="160"/>
      <c r="L3" s="160"/>
      <c r="M3" s="161"/>
      <c r="N3" s="239" t="s">
        <v>477</v>
      </c>
      <c r="O3" s="168"/>
      <c r="P3" s="169"/>
      <c r="Q3" s="161"/>
      <c r="R3" s="240">
        <v>0.66821</v>
      </c>
      <c r="S3" s="161"/>
      <c r="T3" s="240">
        <v>0.33179</v>
      </c>
    </row>
    <row r="4" spans="1:20" ht="18" customHeight="1">
      <c r="A4" s="156">
        <v>18</v>
      </c>
      <c r="B4" s="171" t="s">
        <v>419</v>
      </c>
      <c r="C4" s="134" t="s">
        <v>386</v>
      </c>
      <c r="D4" s="84" t="s">
        <v>302</v>
      </c>
      <c r="E4" s="172">
        <v>571</v>
      </c>
      <c r="F4" s="173" t="s">
        <v>420</v>
      </c>
      <c r="G4" s="172">
        <v>215</v>
      </c>
      <c r="H4" s="174">
        <f>'Budget v Actual Summaries'!J32</f>
        <v>178800</v>
      </c>
      <c r="I4" s="174">
        <f>'Budget v Actual Summaries'!K32</f>
        <v>276526</v>
      </c>
      <c r="J4" s="174">
        <f>I4-H4</f>
        <v>97726</v>
      </c>
      <c r="M4" s="161"/>
      <c r="N4" s="239" t="s">
        <v>478</v>
      </c>
      <c r="O4" s="168"/>
      <c r="P4" s="169"/>
      <c r="Q4" s="161"/>
      <c r="R4" s="240">
        <v>0.62019</v>
      </c>
      <c r="S4" s="161"/>
      <c r="T4" s="240">
        <v>0.37981</v>
      </c>
    </row>
    <row r="5" spans="1:20" ht="21" customHeight="1">
      <c r="A5" s="156">
        <v>26</v>
      </c>
      <c r="B5" s="171" t="s">
        <v>423</v>
      </c>
      <c r="C5" s="134" t="s">
        <v>341</v>
      </c>
      <c r="D5" s="84" t="s">
        <v>303</v>
      </c>
      <c r="E5" s="172">
        <v>583</v>
      </c>
      <c r="F5" s="173" t="s">
        <v>424</v>
      </c>
      <c r="G5" s="183">
        <v>215</v>
      </c>
      <c r="H5" s="184">
        <f>'Budget v Actual Summaries'!J33</f>
        <v>404160</v>
      </c>
      <c r="I5" s="184">
        <f>'Budget v Actual Summaries'!K33</f>
        <v>472619</v>
      </c>
      <c r="J5" s="184">
        <f>I5-H5</f>
        <v>68459</v>
      </c>
      <c r="M5" s="239"/>
      <c r="N5" s="175" t="s">
        <v>418</v>
      </c>
      <c r="O5" s="168"/>
      <c r="P5" s="161"/>
      <c r="Q5" s="161"/>
      <c r="R5" s="161"/>
      <c r="S5" s="161"/>
      <c r="T5" s="176"/>
    </row>
    <row r="6" spans="1:20" ht="15.75" thickBot="1">
      <c r="A6" s="156"/>
      <c r="E6" s="172"/>
      <c r="F6" s="173"/>
      <c r="G6" s="172"/>
      <c r="H6" s="174">
        <f>SUM(H3:H5)</f>
        <v>645477</v>
      </c>
      <c r="I6" s="174">
        <f>SUM(I3:I5)</f>
        <v>852394</v>
      </c>
      <c r="J6" s="187">
        <f>SUM(J3:J5)</f>
        <v>206917</v>
      </c>
      <c r="M6" s="179" t="s">
        <v>421</v>
      </c>
      <c r="N6" s="176" t="s">
        <v>422</v>
      </c>
      <c r="O6" s="180"/>
      <c r="P6" s="181">
        <f>J3+J4</f>
        <v>138458</v>
      </c>
      <c r="Q6" s="176"/>
      <c r="R6" s="182">
        <f>P6*$R$2</f>
        <v>89430</v>
      </c>
      <c r="S6" s="182"/>
      <c r="T6" s="182">
        <f>P6*$T$2</f>
        <v>49028</v>
      </c>
    </row>
    <row r="7" spans="1:20" ht="15.75" thickTop="1">
      <c r="A7" s="156"/>
      <c r="E7" s="172"/>
      <c r="F7" s="166" t="s">
        <v>391</v>
      </c>
      <c r="G7" s="172"/>
      <c r="H7" s="174"/>
      <c r="I7" s="174"/>
      <c r="J7" s="190"/>
      <c r="M7" s="176">
        <v>583</v>
      </c>
      <c r="N7" s="176" t="s">
        <v>425</v>
      </c>
      <c r="O7" s="180"/>
      <c r="P7" s="185">
        <f>J5</f>
        <v>68459</v>
      </c>
      <c r="Q7" s="176"/>
      <c r="R7" s="186">
        <f>P7*$R$3</f>
        <v>45745</v>
      </c>
      <c r="S7" s="182"/>
      <c r="T7" s="186">
        <f>P7*$T$3</f>
        <v>22714</v>
      </c>
    </row>
    <row r="8" spans="1:20" ht="20.25" customHeight="1">
      <c r="A8" s="156">
        <v>6</v>
      </c>
      <c r="B8" s="171" t="s">
        <v>427</v>
      </c>
      <c r="C8" s="134" t="s">
        <v>344</v>
      </c>
      <c r="D8" s="64" t="s">
        <v>346</v>
      </c>
      <c r="E8" s="193">
        <v>885</v>
      </c>
      <c r="F8" s="194" t="s">
        <v>346</v>
      </c>
      <c r="G8" s="193">
        <v>215</v>
      </c>
      <c r="H8" s="195">
        <f>'Budget v Actual Summaries'!J42</f>
        <v>113401</v>
      </c>
      <c r="I8" s="195">
        <f>'Budget v Actual Summaries'!K42</f>
        <v>255429</v>
      </c>
      <c r="J8" s="195">
        <f>I8-H8</f>
        <v>142028</v>
      </c>
      <c r="K8" s="196"/>
      <c r="L8" s="196"/>
      <c r="M8" s="176"/>
      <c r="N8" s="176"/>
      <c r="O8" s="180"/>
      <c r="P8" s="188">
        <f>SUM(P6:P7)</f>
        <v>206917</v>
      </c>
      <c r="Q8" s="189"/>
      <c r="R8" s="189">
        <f>SUM(R6:R7)</f>
        <v>135175</v>
      </c>
      <c r="S8" s="189"/>
      <c r="T8" s="189">
        <f>SUM(T6:T7)</f>
        <v>71742</v>
      </c>
    </row>
    <row r="9" spans="1:20" ht="15.75">
      <c r="A9" s="156">
        <v>8</v>
      </c>
      <c r="B9" s="171" t="s">
        <v>26</v>
      </c>
      <c r="C9" s="134">
        <v>563</v>
      </c>
      <c r="D9" s="64" t="s">
        <v>232</v>
      </c>
      <c r="E9" s="172">
        <v>563</v>
      </c>
      <c r="F9" s="173" t="s">
        <v>428</v>
      </c>
      <c r="G9" s="172">
        <v>215</v>
      </c>
      <c r="H9" s="174">
        <f>'Budget v Actual Summaries'!J43</f>
        <v>16624</v>
      </c>
      <c r="I9" s="174">
        <f>'Budget v Actual Summaries'!K43</f>
        <v>26590</v>
      </c>
      <c r="J9" s="174">
        <f>I9-H9</f>
        <v>9966</v>
      </c>
      <c r="M9" s="176"/>
      <c r="N9" s="191" t="s">
        <v>426</v>
      </c>
      <c r="O9" s="180"/>
      <c r="P9" s="176"/>
      <c r="Q9" s="176"/>
      <c r="R9" s="182"/>
      <c r="S9" s="182"/>
      <c r="T9" s="192"/>
    </row>
    <row r="10" spans="1:20" ht="25.5" customHeight="1">
      <c r="A10" s="156">
        <v>13</v>
      </c>
      <c r="B10" s="171" t="s">
        <v>26</v>
      </c>
      <c r="C10" s="134" t="s">
        <v>430</v>
      </c>
      <c r="D10" s="64" t="s">
        <v>209</v>
      </c>
      <c r="E10" s="172" t="s">
        <v>431</v>
      </c>
      <c r="F10" s="173" t="s">
        <v>432</v>
      </c>
      <c r="G10" s="172">
        <v>215</v>
      </c>
      <c r="H10" s="174">
        <f>'Budget v Actual Summaries'!J44</f>
        <v>965023</v>
      </c>
      <c r="I10" s="174">
        <f>'Budget v Actual Summaries'!K44</f>
        <v>1326594</v>
      </c>
      <c r="J10" s="174">
        <f>I10-H10</f>
        <v>361571</v>
      </c>
      <c r="M10" s="197">
        <v>885</v>
      </c>
      <c r="N10" s="198" t="s">
        <v>346</v>
      </c>
      <c r="O10" s="199"/>
      <c r="P10" s="200">
        <f>SUM(J8)</f>
        <v>142028</v>
      </c>
      <c r="Q10" s="198"/>
      <c r="R10" s="186">
        <f>P10*$R$4</f>
        <v>88084</v>
      </c>
      <c r="S10" s="186"/>
      <c r="T10" s="186">
        <f>P10*$T$4</f>
        <v>53944</v>
      </c>
    </row>
    <row r="11" spans="1:20" ht="21" customHeight="1" thickBot="1">
      <c r="A11" s="156">
        <v>14</v>
      </c>
      <c r="B11" s="171" t="s">
        <v>427</v>
      </c>
      <c r="C11" s="134" t="s">
        <v>435</v>
      </c>
      <c r="D11" s="125" t="s">
        <v>210</v>
      </c>
      <c r="E11" s="172" t="s">
        <v>436</v>
      </c>
      <c r="F11" s="173" t="s">
        <v>437</v>
      </c>
      <c r="G11" s="172">
        <v>215</v>
      </c>
      <c r="H11" s="184">
        <f>'Budget v Actual Summaries'!J45</f>
        <v>4481900</v>
      </c>
      <c r="I11" s="184">
        <f>'Budget v Actual Summaries'!K45</f>
        <v>6658310</v>
      </c>
      <c r="J11" s="174">
        <f>I11-H11</f>
        <v>2176410</v>
      </c>
      <c r="M11" s="201"/>
      <c r="N11" s="191" t="s">
        <v>429</v>
      </c>
      <c r="O11" s="202"/>
      <c r="P11" s="181"/>
      <c r="Q11" s="176"/>
      <c r="R11" s="182"/>
      <c r="S11" s="182"/>
      <c r="T11" s="182"/>
    </row>
    <row r="12" spans="1:20" ht="16.5" thickBot="1">
      <c r="A12" s="156"/>
      <c r="E12" s="172"/>
      <c r="F12" s="173"/>
      <c r="G12" s="172"/>
      <c r="H12" s="174">
        <f>SUM(H8:H11)</f>
        <v>5576948</v>
      </c>
      <c r="I12" s="174">
        <f>SUM(I8:I11)</f>
        <v>8266923</v>
      </c>
      <c r="J12" s="187">
        <f>SUM(J8:J11)</f>
        <v>2689975</v>
      </c>
      <c r="M12" s="176" t="s">
        <v>433</v>
      </c>
      <c r="N12" s="176" t="s">
        <v>434</v>
      </c>
      <c r="O12" s="180"/>
      <c r="P12" s="181">
        <f>SUM(J9:J10)</f>
        <v>371537</v>
      </c>
      <c r="Q12" s="176"/>
      <c r="R12" s="182">
        <f>P12*$R$2</f>
        <v>239976</v>
      </c>
      <c r="S12" s="182"/>
      <c r="T12" s="182">
        <f>P12*$T$2</f>
        <v>131561</v>
      </c>
    </row>
    <row r="13" spans="1:20" ht="15.75" thickTop="1">
      <c r="A13" s="156"/>
      <c r="E13" s="172"/>
      <c r="F13" s="173"/>
      <c r="G13" s="172"/>
      <c r="H13" s="174"/>
      <c r="I13" s="174"/>
      <c r="J13" s="174"/>
      <c r="M13" s="176" t="s">
        <v>438</v>
      </c>
      <c r="N13" s="176" t="s">
        <v>439</v>
      </c>
      <c r="O13" s="180"/>
      <c r="P13" s="185">
        <f>SUM(J11)</f>
        <v>2176410</v>
      </c>
      <c r="Q13" s="176"/>
      <c r="R13" s="186">
        <f>P13*$R$3</f>
        <v>1454299</v>
      </c>
      <c r="S13" s="182"/>
      <c r="T13" s="186">
        <f>P13*$T$3</f>
        <v>722111</v>
      </c>
    </row>
    <row r="14" spans="1:22" ht="15">
      <c r="A14" s="156"/>
      <c r="E14" s="172"/>
      <c r="F14" s="173"/>
      <c r="G14" s="172"/>
      <c r="H14" s="174"/>
      <c r="I14" s="174"/>
      <c r="J14" s="174"/>
      <c r="M14" s="176"/>
      <c r="N14" s="176"/>
      <c r="O14" s="180"/>
      <c r="P14" s="188">
        <f>SUM(P12:P13)</f>
        <v>2547947</v>
      </c>
      <c r="Q14" s="176"/>
      <c r="R14" s="203">
        <f>SUM(R12:R13)</f>
        <v>1694275</v>
      </c>
      <c r="S14" s="192"/>
      <c r="T14" s="203">
        <f>SUM(T12:T13)</f>
        <v>853672</v>
      </c>
      <c r="V14" s="171"/>
    </row>
    <row r="15" spans="1:22" ht="16.5" thickBot="1">
      <c r="A15" s="206"/>
      <c r="B15" s="207"/>
      <c r="C15" s="207"/>
      <c r="D15" s="207"/>
      <c r="E15" s="172"/>
      <c r="F15" s="208" t="s">
        <v>440</v>
      </c>
      <c r="G15" s="172"/>
      <c r="H15" s="174"/>
      <c r="I15" s="174"/>
      <c r="J15" s="174"/>
      <c r="M15" s="204"/>
      <c r="N15" s="204"/>
      <c r="O15" s="205"/>
      <c r="P15" s="204"/>
      <c r="Q15" s="204"/>
      <c r="R15" s="204"/>
      <c r="S15" s="204"/>
      <c r="T15" s="204"/>
      <c r="V15" s="171"/>
    </row>
    <row r="16" spans="1:22" ht="15">
      <c r="A16" s="156">
        <v>6</v>
      </c>
      <c r="B16" s="171" t="s">
        <v>427</v>
      </c>
      <c r="E16" s="172">
        <v>562</v>
      </c>
      <c r="F16" s="173" t="s">
        <v>441</v>
      </c>
      <c r="G16" s="172">
        <v>215</v>
      </c>
      <c r="H16" s="174">
        <f>'Budget v Actual Summaries'!J37+'Budget v Actual Summaries'!J55+'Budget v Actual Summaries'!J13+'Budget v Actual Summaries'!J14+'Budget v Actual Summaries'!J16</f>
        <v>559852</v>
      </c>
      <c r="I16" s="174">
        <f>'Budget v Actual Summaries'!K37+'Budget v Actual Summaries'!K55+'Budget v Actual Summaries'!K13+'Budget v Actual Summaries'!K14+'Budget v Actual Summaries'!K16</f>
        <v>874782</v>
      </c>
      <c r="J16" s="174">
        <f aca="true" t="shared" si="0" ref="J16:J32">I16-H16</f>
        <v>314930</v>
      </c>
      <c r="V16" s="171"/>
    </row>
    <row r="17" spans="1:23" ht="15">
      <c r="A17" s="156">
        <v>8</v>
      </c>
      <c r="B17" s="171" t="s">
        <v>26</v>
      </c>
      <c r="E17" s="172">
        <v>563</v>
      </c>
      <c r="F17" s="173" t="s">
        <v>443</v>
      </c>
      <c r="G17" s="172">
        <v>215</v>
      </c>
      <c r="H17" s="174">
        <v>0</v>
      </c>
      <c r="I17" s="174">
        <v>0</v>
      </c>
      <c r="J17" s="174">
        <f t="shared" si="0"/>
        <v>0</v>
      </c>
      <c r="M17" s="176"/>
      <c r="N17" s="176"/>
      <c r="O17" s="180"/>
      <c r="P17" s="176"/>
      <c r="Q17" s="176"/>
      <c r="R17" s="176"/>
      <c r="S17" s="176"/>
      <c r="T17" s="176"/>
      <c r="V17" s="171"/>
      <c r="W17" s="171"/>
    </row>
    <row r="18" spans="1:30" s="207" customFormat="1" ht="23.25" customHeight="1">
      <c r="A18" s="156">
        <v>13</v>
      </c>
      <c r="B18" s="171" t="s">
        <v>26</v>
      </c>
      <c r="C18" s="171"/>
      <c r="D18" s="171"/>
      <c r="E18" s="172">
        <v>568</v>
      </c>
      <c r="F18" s="173" t="s">
        <v>444</v>
      </c>
      <c r="G18" s="172">
        <v>215</v>
      </c>
      <c r="H18" s="174">
        <f>'Budget v Actual Summaries'!J54</f>
        <v>105760</v>
      </c>
      <c r="I18" s="174">
        <f>'Budget v Actual Summaries'!K54</f>
        <v>146358</v>
      </c>
      <c r="J18" s="174">
        <f t="shared" si="0"/>
        <v>40598</v>
      </c>
      <c r="K18" s="178"/>
      <c r="L18" s="178"/>
      <c r="M18" s="201"/>
      <c r="N18" s="191" t="s">
        <v>442</v>
      </c>
      <c r="O18" s="202"/>
      <c r="P18" s="201"/>
      <c r="Q18" s="201"/>
      <c r="R18" s="192"/>
      <c r="S18" s="192"/>
      <c r="T18" s="182"/>
      <c r="U18" s="209"/>
      <c r="W18" s="171"/>
      <c r="X18" s="171"/>
      <c r="Y18" s="171"/>
      <c r="Z18" s="171"/>
      <c r="AA18" s="171"/>
      <c r="AB18" s="171"/>
      <c r="AC18" s="171"/>
      <c r="AD18" s="171"/>
    </row>
    <row r="19" spans="1:23" ht="28.5">
      <c r="A19" s="156">
        <v>14</v>
      </c>
      <c r="B19" s="171" t="s">
        <v>427</v>
      </c>
      <c r="E19" s="172">
        <v>569</v>
      </c>
      <c r="F19" s="173" t="s">
        <v>445</v>
      </c>
      <c r="G19" s="172">
        <v>215</v>
      </c>
      <c r="H19" s="174">
        <f>'Budget v Actual Summaries'!J56</f>
        <v>176179</v>
      </c>
      <c r="I19" s="174">
        <f>'Budget v Actual Summaries'!K56</f>
        <v>186749</v>
      </c>
      <c r="J19" s="174">
        <f t="shared" si="0"/>
        <v>10570</v>
      </c>
      <c r="K19" s="196"/>
      <c r="L19" s="196"/>
      <c r="M19" s="176" t="s">
        <v>433</v>
      </c>
      <c r="N19" s="176" t="s">
        <v>434</v>
      </c>
      <c r="O19" s="180"/>
      <c r="P19" s="181">
        <f>SUM(J16:J21)</f>
        <v>842903</v>
      </c>
      <c r="Q19" s="176"/>
      <c r="R19" s="182">
        <f>P19*$R$2</f>
        <v>544431</v>
      </c>
      <c r="S19" s="182"/>
      <c r="T19" s="182">
        <f>P19*$T$2</f>
        <v>298472</v>
      </c>
      <c r="V19" s="171"/>
      <c r="W19" s="171"/>
    </row>
    <row r="20" spans="1:22" ht="15">
      <c r="A20" s="156">
        <v>15</v>
      </c>
      <c r="B20" s="171" t="s">
        <v>427</v>
      </c>
      <c r="E20" s="172">
        <v>570</v>
      </c>
      <c r="F20" s="173" t="s">
        <v>446</v>
      </c>
      <c r="G20" s="172">
        <v>215</v>
      </c>
      <c r="H20" s="174">
        <f>'Budget v Actual Summaries'!J38+'Budget v Actual Summaries'!J57+'Budget v Actual Summaries'!J18</f>
        <v>215031</v>
      </c>
      <c r="I20" s="174">
        <f>'Budget v Actual Summaries'!K38+'Budget v Actual Summaries'!K57+'Budget v Actual Summaries'!K18</f>
        <v>331436</v>
      </c>
      <c r="J20" s="174">
        <f t="shared" si="0"/>
        <v>116405</v>
      </c>
      <c r="M20" s="176" t="s">
        <v>438</v>
      </c>
      <c r="N20" s="176" t="s">
        <v>439</v>
      </c>
      <c r="O20" s="180"/>
      <c r="P20" s="181">
        <f>SUM(J22:J32)-J24</f>
        <v>632485</v>
      </c>
      <c r="Q20" s="176"/>
      <c r="R20" s="182">
        <f>P20*$R$2</f>
        <v>408522</v>
      </c>
      <c r="S20" s="182"/>
      <c r="T20" s="182">
        <f>P20*$T$2</f>
        <v>223963</v>
      </c>
      <c r="V20" s="171"/>
    </row>
    <row r="21" spans="1:22" ht="15">
      <c r="A21" s="156">
        <v>17</v>
      </c>
      <c r="B21" s="171" t="s">
        <v>26</v>
      </c>
      <c r="E21" s="183">
        <v>571</v>
      </c>
      <c r="F21" s="211" t="s">
        <v>420</v>
      </c>
      <c r="G21" s="172">
        <v>215</v>
      </c>
      <c r="H21" s="174">
        <f>'Budget v Actual Summaries'!J6</f>
        <v>0</v>
      </c>
      <c r="I21" s="174">
        <f>'Budget v Actual Summaries'!K6</f>
        <v>360400</v>
      </c>
      <c r="J21" s="174">
        <f t="shared" si="0"/>
        <v>360400</v>
      </c>
      <c r="M21" s="238">
        <v>584</v>
      </c>
      <c r="N21" s="176" t="s">
        <v>476</v>
      </c>
      <c r="O21" s="180"/>
      <c r="P21" s="185">
        <f>J24</f>
        <v>114000</v>
      </c>
      <c r="Q21" s="176"/>
      <c r="R21" s="186">
        <f>P21</f>
        <v>114000</v>
      </c>
      <c r="S21" s="182"/>
      <c r="T21" s="186">
        <v>0</v>
      </c>
      <c r="V21" s="171"/>
    </row>
    <row r="22" spans="1:22" ht="15.75" thickBot="1">
      <c r="A22" s="156">
        <v>24</v>
      </c>
      <c r="B22" s="171" t="s">
        <v>448</v>
      </c>
      <c r="E22" s="172">
        <v>582</v>
      </c>
      <c r="F22" s="173" t="s">
        <v>449</v>
      </c>
      <c r="G22" s="172">
        <v>215</v>
      </c>
      <c r="H22" s="174">
        <f>'Budget v Actual Summaries'!J62+'Budget v Actual Summaries'!J15</f>
        <v>117917</v>
      </c>
      <c r="I22" s="174">
        <f>'Budget v Actual Summaries'!K62+'Budget v Actual Summaries'!K15</f>
        <v>239347</v>
      </c>
      <c r="J22" s="174">
        <f t="shared" si="0"/>
        <v>121430</v>
      </c>
      <c r="M22" s="176"/>
      <c r="N22" s="176"/>
      <c r="O22" s="180"/>
      <c r="P22" s="188">
        <f>SUM(P19:P21)</f>
        <v>1589388</v>
      </c>
      <c r="Q22" s="176"/>
      <c r="R22" s="210">
        <f>SUM(R19:R21)</f>
        <v>1066953</v>
      </c>
      <c r="S22" s="182"/>
      <c r="T22" s="210">
        <f>SUM(T19:T21)</f>
        <v>522435</v>
      </c>
      <c r="V22" s="171"/>
    </row>
    <row r="23" spans="1:22" ht="15.75">
      <c r="A23" s="156">
        <v>25</v>
      </c>
      <c r="B23" s="171" t="s">
        <v>25</v>
      </c>
      <c r="E23" s="172">
        <v>583</v>
      </c>
      <c r="F23" s="173" t="s">
        <v>424</v>
      </c>
      <c r="G23" s="172">
        <v>215</v>
      </c>
      <c r="H23" s="174">
        <v>0</v>
      </c>
      <c r="I23" s="174">
        <v>0</v>
      </c>
      <c r="J23" s="174">
        <f t="shared" si="0"/>
        <v>0</v>
      </c>
      <c r="M23" s="212" t="s">
        <v>447</v>
      </c>
      <c r="N23" s="213"/>
      <c r="O23" s="214"/>
      <c r="P23" s="213"/>
      <c r="Q23" s="213"/>
      <c r="R23" s="213"/>
      <c r="S23" s="213"/>
      <c r="T23" s="215"/>
      <c r="V23" s="171"/>
    </row>
    <row r="24" spans="1:22" ht="15.75" thickBot="1">
      <c r="A24" s="156">
        <v>27</v>
      </c>
      <c r="B24" s="171" t="s">
        <v>451</v>
      </c>
      <c r="E24" s="172">
        <v>584</v>
      </c>
      <c r="F24" s="173" t="s">
        <v>452</v>
      </c>
      <c r="G24" s="172">
        <v>215</v>
      </c>
      <c r="H24" s="174">
        <f>'Budget v Actual Summaries'!J23</f>
        <v>0</v>
      </c>
      <c r="I24" s="174">
        <f>'Budget v Actual Summaries'!K23</f>
        <v>114000</v>
      </c>
      <c r="J24" s="174">
        <f t="shared" si="0"/>
        <v>114000</v>
      </c>
      <c r="K24" s="178" t="s">
        <v>475</v>
      </c>
      <c r="M24" s="216"/>
      <c r="N24" s="204" t="s">
        <v>450</v>
      </c>
      <c r="O24" s="205"/>
      <c r="P24" s="217">
        <f>P10</f>
        <v>142028</v>
      </c>
      <c r="Q24" s="204"/>
      <c r="R24" s="217">
        <f>R10</f>
        <v>88084</v>
      </c>
      <c r="S24" s="204"/>
      <c r="T24" s="218">
        <f>T10</f>
        <v>53944</v>
      </c>
      <c r="V24" s="171"/>
    </row>
    <row r="25" spans="1:22" ht="15">
      <c r="A25" s="156">
        <v>29</v>
      </c>
      <c r="B25" s="171" t="s">
        <v>25</v>
      </c>
      <c r="E25" s="172">
        <v>586</v>
      </c>
      <c r="F25" s="173" t="s">
        <v>454</v>
      </c>
      <c r="G25" s="172">
        <v>215</v>
      </c>
      <c r="H25" s="174">
        <v>0</v>
      </c>
      <c r="I25" s="174">
        <v>0</v>
      </c>
      <c r="J25" s="174">
        <f t="shared" si="0"/>
        <v>0</v>
      </c>
      <c r="M25" s="219"/>
      <c r="N25" s="220"/>
      <c r="O25" s="221"/>
      <c r="P25" s="220"/>
      <c r="Q25" s="220"/>
      <c r="R25" s="220"/>
      <c r="S25" s="220"/>
      <c r="T25" s="282"/>
      <c r="V25" s="171"/>
    </row>
    <row r="26" spans="1:22" ht="15" customHeight="1">
      <c r="A26" s="156">
        <v>31</v>
      </c>
      <c r="B26" s="171" t="s">
        <v>25</v>
      </c>
      <c r="E26" s="172">
        <v>588</v>
      </c>
      <c r="F26" s="173" t="s">
        <v>456</v>
      </c>
      <c r="G26" s="172">
        <v>215</v>
      </c>
      <c r="H26" s="174">
        <v>0</v>
      </c>
      <c r="I26" s="174">
        <v>0</v>
      </c>
      <c r="J26" s="174">
        <f t="shared" si="0"/>
        <v>0</v>
      </c>
      <c r="M26" s="222" t="s">
        <v>453</v>
      </c>
      <c r="N26" s="223"/>
      <c r="O26" s="224"/>
      <c r="P26" s="223"/>
      <c r="Q26" s="223"/>
      <c r="R26" s="223"/>
      <c r="S26" s="223"/>
      <c r="T26" s="283"/>
      <c r="V26" s="171"/>
    </row>
    <row r="27" spans="1:22" ht="28.5">
      <c r="A27" s="156">
        <v>35</v>
      </c>
      <c r="B27" s="171" t="s">
        <v>25</v>
      </c>
      <c r="E27" s="172">
        <v>590</v>
      </c>
      <c r="F27" s="173" t="s">
        <v>457</v>
      </c>
      <c r="G27" s="172">
        <v>215</v>
      </c>
      <c r="H27" s="174">
        <f>'Budget v Actual Summaries'!J61</f>
        <v>102387</v>
      </c>
      <c r="I27" s="174">
        <f>'Budget v Actual Summaries'!K61</f>
        <v>165384</v>
      </c>
      <c r="J27" s="174">
        <f t="shared" si="0"/>
        <v>62997</v>
      </c>
      <c r="M27" s="225"/>
      <c r="N27" s="223" t="s">
        <v>455</v>
      </c>
      <c r="O27" s="224"/>
      <c r="P27" s="226">
        <f>P6+P19+P12</f>
        <v>1352898</v>
      </c>
      <c r="Q27" s="223"/>
      <c r="R27" s="226">
        <f>R6+R19+R12</f>
        <v>873837</v>
      </c>
      <c r="S27" s="223"/>
      <c r="T27" s="284">
        <f>T6+T19+T12</f>
        <v>479061</v>
      </c>
      <c r="V27" s="171"/>
    </row>
    <row r="28" spans="1:22" ht="17.25" customHeight="1">
      <c r="A28" s="156">
        <v>36</v>
      </c>
      <c r="B28" s="171" t="s">
        <v>448</v>
      </c>
      <c r="E28" s="172">
        <v>591</v>
      </c>
      <c r="F28" s="173" t="s">
        <v>459</v>
      </c>
      <c r="G28" s="172">
        <v>215</v>
      </c>
      <c r="H28" s="174">
        <f>'Budget v Actual Summaries'!J63+'Budget v Actual Summaries'!J17</f>
        <v>143973</v>
      </c>
      <c r="I28" s="174">
        <f>'Budget v Actual Summaries'!K63+'Budget v Actual Summaries'!K17</f>
        <v>152213</v>
      </c>
      <c r="J28" s="174">
        <f t="shared" si="0"/>
        <v>8240</v>
      </c>
      <c r="M28" s="225"/>
      <c r="N28" s="223" t="s">
        <v>450</v>
      </c>
      <c r="O28" s="224"/>
      <c r="P28" s="227">
        <f>P7+P20+P13+P21</f>
        <v>2991354</v>
      </c>
      <c r="Q28" s="223"/>
      <c r="R28" s="227">
        <f>R7+R20+R13+R21</f>
        <v>2022566</v>
      </c>
      <c r="S28" s="223"/>
      <c r="T28" s="285">
        <f>T7+T20+T13+T21</f>
        <v>968788</v>
      </c>
      <c r="V28" s="171"/>
    </row>
    <row r="29" spans="1:20" ht="15">
      <c r="A29" s="156">
        <v>37</v>
      </c>
      <c r="B29" s="171" t="s">
        <v>448</v>
      </c>
      <c r="E29" s="172">
        <v>592</v>
      </c>
      <c r="F29" s="173" t="s">
        <v>460</v>
      </c>
      <c r="G29" s="172">
        <v>215</v>
      </c>
      <c r="H29" s="174">
        <f>'Budget v Actual Summaries'!J64</f>
        <v>149235</v>
      </c>
      <c r="I29" s="174">
        <f>'Budget v Actual Summaries'!K64</f>
        <v>188190</v>
      </c>
      <c r="J29" s="174">
        <f t="shared" si="0"/>
        <v>38955</v>
      </c>
      <c r="M29" s="225"/>
      <c r="N29" s="223" t="s">
        <v>458</v>
      </c>
      <c r="O29" s="224"/>
      <c r="P29" s="226">
        <f>SUM(P27:P28)</f>
        <v>4344252</v>
      </c>
      <c r="Q29" s="223"/>
      <c r="R29" s="228">
        <f>SUM(R27:R28)</f>
        <v>2896403</v>
      </c>
      <c r="S29" s="228"/>
      <c r="T29" s="286">
        <f>SUM(T27:T28)</f>
        <v>1447849</v>
      </c>
    </row>
    <row r="30" spans="1:20" ht="15">
      <c r="A30" s="156">
        <v>39</v>
      </c>
      <c r="B30" s="171" t="s">
        <v>25</v>
      </c>
      <c r="E30" s="172">
        <v>593</v>
      </c>
      <c r="F30" s="173" t="s">
        <v>462</v>
      </c>
      <c r="G30" s="172">
        <v>215</v>
      </c>
      <c r="H30" s="174">
        <v>0</v>
      </c>
      <c r="I30" s="174">
        <v>0</v>
      </c>
      <c r="J30" s="174">
        <f t="shared" si="0"/>
        <v>0</v>
      </c>
      <c r="M30" s="225"/>
      <c r="N30" s="223"/>
      <c r="O30" s="224"/>
      <c r="P30" s="223"/>
      <c r="Q30" s="223"/>
      <c r="R30" s="223"/>
      <c r="S30" s="223"/>
      <c r="T30" s="283"/>
    </row>
    <row r="31" spans="1:20" ht="16.5" customHeight="1">
      <c r="A31" s="156">
        <v>41</v>
      </c>
      <c r="B31" s="171" t="s">
        <v>25</v>
      </c>
      <c r="E31" s="172">
        <v>594</v>
      </c>
      <c r="F31" s="173" t="s">
        <v>463</v>
      </c>
      <c r="G31" s="172">
        <v>215</v>
      </c>
      <c r="H31" s="174">
        <v>0</v>
      </c>
      <c r="I31" s="174">
        <v>0</v>
      </c>
      <c r="J31" s="174">
        <f t="shared" si="0"/>
        <v>0</v>
      </c>
      <c r="M31" s="225"/>
      <c r="N31" s="223" t="s">
        <v>461</v>
      </c>
      <c r="O31" s="224"/>
      <c r="P31" s="226">
        <f>P29</f>
        <v>4344252</v>
      </c>
      <c r="Q31" s="223"/>
      <c r="R31" s="226">
        <f>R29</f>
        <v>2896403</v>
      </c>
      <c r="S31" s="223"/>
      <c r="T31" s="284">
        <f>T29</f>
        <v>1447849</v>
      </c>
    </row>
    <row r="32" spans="1:20" ht="15">
      <c r="A32" s="156">
        <v>43</v>
      </c>
      <c r="B32" s="171" t="s">
        <v>25</v>
      </c>
      <c r="E32" s="172">
        <v>595</v>
      </c>
      <c r="F32" s="173" t="s">
        <v>465</v>
      </c>
      <c r="G32" s="172">
        <v>215</v>
      </c>
      <c r="H32" s="184">
        <f>'Budget v Actual Summaries'!J10+'Budget v Actual Summaries'!J65</f>
        <v>103410</v>
      </c>
      <c r="I32" s="184">
        <f>'Budget v Actual Summaries'!K10+'Budget v Actual Summaries'!K65</f>
        <v>504273</v>
      </c>
      <c r="J32" s="184">
        <f t="shared" si="0"/>
        <v>400863</v>
      </c>
      <c r="M32" s="225"/>
      <c r="N32" s="223"/>
      <c r="O32" s="224"/>
      <c r="P32" s="223"/>
      <c r="Q32" s="223"/>
      <c r="R32" s="223"/>
      <c r="S32" s="223"/>
      <c r="T32" s="283"/>
    </row>
    <row r="33" spans="1:20" ht="15" customHeight="1" thickBot="1">
      <c r="A33" s="156"/>
      <c r="E33" s="172"/>
      <c r="F33" s="173"/>
      <c r="G33" s="172"/>
      <c r="H33" s="231">
        <f>SUM(H16:H32)</f>
        <v>1673744</v>
      </c>
      <c r="I33" s="231">
        <f>SUM(I16:I32)</f>
        <v>3263132</v>
      </c>
      <c r="J33" s="187">
        <f>SUM(J16:J32)</f>
        <v>1589388</v>
      </c>
      <c r="M33" s="225"/>
      <c r="N33" s="223" t="s">
        <v>464</v>
      </c>
      <c r="O33" s="229">
        <v>0.012216</v>
      </c>
      <c r="P33" s="223"/>
      <c r="Q33" s="223"/>
      <c r="R33" s="230"/>
      <c r="S33" s="223"/>
      <c r="T33" s="287">
        <f>T31*O33</f>
        <v>17687</v>
      </c>
    </row>
    <row r="34" spans="1:20" ht="15" customHeight="1" thickTop="1">
      <c r="A34" s="156">
        <v>57</v>
      </c>
      <c r="E34" s="172"/>
      <c r="F34" s="159"/>
      <c r="G34" s="172"/>
      <c r="H34" s="184">
        <f>H33+H6+H12</f>
        <v>7896169</v>
      </c>
      <c r="I34" s="184">
        <f>I33+I6+I12</f>
        <v>12382449</v>
      </c>
      <c r="J34" s="184">
        <f>J33+J6+J12</f>
        <v>4486280</v>
      </c>
      <c r="M34" s="225"/>
      <c r="N34" s="223"/>
      <c r="O34" s="224"/>
      <c r="P34" s="223"/>
      <c r="Q34" s="223"/>
      <c r="R34" s="223"/>
      <c r="S34" s="223"/>
      <c r="T34" s="283"/>
    </row>
    <row r="35" spans="10:20" ht="15" customHeight="1">
      <c r="J35" s="232">
        <f>P24+P29</f>
        <v>4486280</v>
      </c>
      <c r="K35" s="178" t="s">
        <v>467</v>
      </c>
      <c r="M35" s="225"/>
      <c r="N35" s="223"/>
      <c r="O35" s="224"/>
      <c r="P35" s="223"/>
      <c r="Q35" s="223"/>
      <c r="R35" s="223"/>
      <c r="S35" s="223"/>
      <c r="T35" s="283"/>
    </row>
    <row r="36" spans="8:20" ht="15">
      <c r="H36" s="232"/>
      <c r="I36" s="232"/>
      <c r="J36" s="232"/>
      <c r="M36" s="225"/>
      <c r="N36" s="223" t="s">
        <v>466</v>
      </c>
      <c r="O36" s="224"/>
      <c r="P36" s="223"/>
      <c r="Q36" s="223"/>
      <c r="R36" s="226">
        <f>R31-R33</f>
        <v>2896403</v>
      </c>
      <c r="S36" s="223"/>
      <c r="T36" s="284">
        <f>T31-T33</f>
        <v>1430162</v>
      </c>
    </row>
    <row r="37" spans="13:20" ht="15">
      <c r="M37" s="225"/>
      <c r="N37" s="223"/>
      <c r="O37" s="224"/>
      <c r="P37" s="223"/>
      <c r="Q37" s="223"/>
      <c r="R37" s="223"/>
      <c r="S37" s="223"/>
      <c r="T37" s="283"/>
    </row>
    <row r="38" spans="13:20" ht="15">
      <c r="M38" s="225"/>
      <c r="N38" s="223" t="s">
        <v>468</v>
      </c>
      <c r="O38" s="233">
        <v>0.35</v>
      </c>
      <c r="P38" s="223"/>
      <c r="Q38" s="223"/>
      <c r="R38" s="227">
        <f>R36*O38</f>
        <v>1013741</v>
      </c>
      <c r="S38" s="223"/>
      <c r="T38" s="288">
        <f>T36*O38</f>
        <v>500557</v>
      </c>
    </row>
    <row r="39" spans="13:20" ht="15">
      <c r="M39" s="225"/>
      <c r="N39" s="223"/>
      <c r="O39" s="224"/>
      <c r="P39" s="223"/>
      <c r="Q39" s="223"/>
      <c r="R39" s="223"/>
      <c r="S39" s="223"/>
      <c r="T39" s="283"/>
    </row>
    <row r="40" spans="13:20" ht="15.75" thickBot="1">
      <c r="M40" s="242"/>
      <c r="N40" s="243" t="s">
        <v>469</v>
      </c>
      <c r="O40" s="244"/>
      <c r="P40" s="243"/>
      <c r="Q40" s="243"/>
      <c r="R40" s="234">
        <f>R36-R38</f>
        <v>1882662</v>
      </c>
      <c r="S40" s="245"/>
      <c r="T40" s="289">
        <f>T36-T38</f>
        <v>929605</v>
      </c>
    </row>
    <row r="41" spans="13:20" ht="3" customHeight="1" thickBot="1">
      <c r="M41" s="216"/>
      <c r="N41" s="204"/>
      <c r="O41" s="205"/>
      <c r="P41" s="204"/>
      <c r="Q41" s="204"/>
      <c r="R41" s="204"/>
      <c r="S41" s="204"/>
      <c r="T41" s="290"/>
    </row>
    <row r="42" ht="15" hidden="1">
      <c r="T42" s="209"/>
    </row>
    <row r="43" spans="13:20" ht="15.75" thickBot="1">
      <c r="M43" s="204"/>
      <c r="N43" s="204"/>
      <c r="O43" s="205"/>
      <c r="P43" s="204"/>
      <c r="Q43" s="204"/>
      <c r="R43" s="204"/>
      <c r="S43" s="204"/>
      <c r="T43" s="291"/>
    </row>
    <row r="44" spans="13:20" ht="15.75">
      <c r="M44" s="222" t="s">
        <v>346</v>
      </c>
      <c r="N44" s="223"/>
      <c r="O44" s="224"/>
      <c r="P44" s="223"/>
      <c r="Q44" s="223"/>
      <c r="R44" s="223"/>
      <c r="S44" s="223"/>
      <c r="T44" s="283"/>
    </row>
    <row r="45" spans="13:20" ht="15">
      <c r="M45" s="225"/>
      <c r="N45" s="223" t="s">
        <v>450</v>
      </c>
      <c r="O45" s="224"/>
      <c r="P45" s="227">
        <f>P24</f>
        <v>142028</v>
      </c>
      <c r="Q45" s="223"/>
      <c r="R45" s="227">
        <f>R24</f>
        <v>88084</v>
      </c>
      <c r="S45" s="223"/>
      <c r="T45" s="285">
        <f>T24</f>
        <v>53944</v>
      </c>
    </row>
    <row r="46" spans="13:20" ht="15">
      <c r="M46" s="225"/>
      <c r="N46" s="223" t="s">
        <v>458</v>
      </c>
      <c r="O46" s="224"/>
      <c r="P46" s="226">
        <f>SUM(P45:P45)</f>
        <v>142028</v>
      </c>
      <c r="Q46" s="223"/>
      <c r="R46" s="228">
        <f>SUM(R45:R45)</f>
        <v>88084</v>
      </c>
      <c r="S46" s="228"/>
      <c r="T46" s="286">
        <f>SUM(T45:T45)</f>
        <v>53944</v>
      </c>
    </row>
    <row r="47" spans="13:20" ht="15">
      <c r="M47" s="225"/>
      <c r="N47" s="223"/>
      <c r="O47" s="224"/>
      <c r="P47" s="223"/>
      <c r="Q47" s="223"/>
      <c r="R47" s="223"/>
      <c r="S47" s="223"/>
      <c r="T47" s="283"/>
    </row>
    <row r="48" spans="13:20" ht="15">
      <c r="M48" s="225"/>
      <c r="N48" s="223" t="s">
        <v>461</v>
      </c>
      <c r="O48" s="224"/>
      <c r="P48" s="226">
        <f>P46</f>
        <v>142028</v>
      </c>
      <c r="Q48" s="223"/>
      <c r="R48" s="226">
        <f>R46</f>
        <v>88084</v>
      </c>
      <c r="S48" s="223"/>
      <c r="T48" s="284">
        <f>T46</f>
        <v>53944</v>
      </c>
    </row>
    <row r="49" spans="13:20" ht="15">
      <c r="M49" s="225"/>
      <c r="N49" s="223"/>
      <c r="O49" s="224"/>
      <c r="P49" s="223"/>
      <c r="Q49" s="223"/>
      <c r="R49" s="223"/>
      <c r="S49" s="223"/>
      <c r="T49" s="283"/>
    </row>
    <row r="50" spans="13:20" ht="15">
      <c r="M50" s="225"/>
      <c r="N50" s="223" t="s">
        <v>464</v>
      </c>
      <c r="O50" s="229">
        <v>0.012216</v>
      </c>
      <c r="P50" s="223"/>
      <c r="Q50" s="223"/>
      <c r="R50" s="230"/>
      <c r="S50" s="223"/>
      <c r="T50" s="287">
        <f>T48*O50</f>
        <v>659</v>
      </c>
    </row>
    <row r="51" spans="13:20" ht="15">
      <c r="M51" s="225"/>
      <c r="N51" s="223"/>
      <c r="O51" s="224"/>
      <c r="P51" s="223"/>
      <c r="Q51" s="223"/>
      <c r="R51" s="223"/>
      <c r="S51" s="223"/>
      <c r="T51" s="283"/>
    </row>
    <row r="52" spans="13:20" ht="15">
      <c r="M52" s="225"/>
      <c r="N52" s="223"/>
      <c r="O52" s="224"/>
      <c r="P52" s="223"/>
      <c r="Q52" s="223"/>
      <c r="R52" s="223"/>
      <c r="S52" s="223"/>
      <c r="T52" s="283"/>
    </row>
    <row r="53" spans="13:20" ht="15">
      <c r="M53" s="225"/>
      <c r="N53" s="223" t="s">
        <v>466</v>
      </c>
      <c r="O53" s="224"/>
      <c r="P53" s="223"/>
      <c r="Q53" s="223"/>
      <c r="R53" s="226">
        <f>R48-R50</f>
        <v>88084</v>
      </c>
      <c r="S53" s="223"/>
      <c r="T53" s="284">
        <f>T48-T50</f>
        <v>53285</v>
      </c>
    </row>
    <row r="54" spans="13:20" ht="15">
      <c r="M54" s="225"/>
      <c r="N54" s="223"/>
      <c r="O54" s="224"/>
      <c r="P54" s="223"/>
      <c r="Q54" s="223"/>
      <c r="R54" s="223"/>
      <c r="S54" s="223"/>
      <c r="T54" s="283"/>
    </row>
    <row r="55" spans="13:20" ht="15">
      <c r="M55" s="225"/>
      <c r="N55" s="223" t="s">
        <v>468</v>
      </c>
      <c r="O55" s="233">
        <v>0.35</v>
      </c>
      <c r="P55" s="223"/>
      <c r="Q55" s="223"/>
      <c r="R55" s="227">
        <f>R53*O55</f>
        <v>30829</v>
      </c>
      <c r="S55" s="223"/>
      <c r="T55" s="288">
        <f>T53*O55</f>
        <v>18650</v>
      </c>
    </row>
    <row r="56" spans="13:20" ht="15">
      <c r="M56" s="225"/>
      <c r="N56" s="223"/>
      <c r="O56" s="224"/>
      <c r="P56" s="223"/>
      <c r="Q56" s="223"/>
      <c r="R56" s="223"/>
      <c r="S56" s="223"/>
      <c r="T56" s="283"/>
    </row>
    <row r="57" spans="13:20" ht="15.75" thickBot="1">
      <c r="M57" s="225"/>
      <c r="N57" s="223" t="s">
        <v>469</v>
      </c>
      <c r="O57" s="224"/>
      <c r="P57" s="223"/>
      <c r="Q57" s="223"/>
      <c r="R57" s="234">
        <f>R53-R55</f>
        <v>57255</v>
      </c>
      <c r="S57" s="223"/>
      <c r="T57" s="289">
        <f>T53-T55</f>
        <v>34635</v>
      </c>
    </row>
    <row r="58" spans="13:20" ht="16.5" thickBot="1" thickTop="1">
      <c r="M58" s="242"/>
      <c r="N58" s="243"/>
      <c r="O58" s="244"/>
      <c r="P58" s="243"/>
      <c r="Q58" s="243"/>
      <c r="R58" s="243"/>
      <c r="S58" s="243"/>
      <c r="T58" s="290"/>
    </row>
  </sheetData>
  <printOptions/>
  <pageMargins left="0.75" right="0.75" top="1" bottom="1" header="0.5" footer="0.5"/>
  <pageSetup horizontalDpi="600" verticalDpi="600" orientation="portrait" scale="64" r:id="rId3"/>
  <colBreaks count="2" manualBreakCount="2">
    <brk id="11" max="57" man="1"/>
    <brk id="20" max="5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view="pageBreakPreview" zoomScale="75" zoomScaleSheetLayoutView="75" workbookViewId="0" topLeftCell="A1">
      <pane xSplit="4" ySplit="1" topLeftCell="E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2" sqref="K22"/>
    </sheetView>
  </sheetViews>
  <sheetFormatPr defaultColWidth="9.00390625" defaultRowHeight="12.75"/>
  <cols>
    <col min="1" max="1" width="5.125" style="0" bestFit="1" customWidth="1"/>
    <col min="2" max="2" width="10.875" style="114" customWidth="1"/>
    <col min="3" max="3" width="26.875" style="114" customWidth="1"/>
    <col min="4" max="4" width="44.25390625" style="0" customWidth="1"/>
    <col min="5" max="5" width="31.125" style="0" customWidth="1"/>
    <col min="6" max="6" width="0.12890625" style="0" hidden="1" customWidth="1"/>
    <col min="7" max="7" width="11.25390625" style="0" hidden="1" customWidth="1"/>
    <col min="8" max="8" width="13.875" style="0" hidden="1" customWidth="1"/>
    <col min="9" max="9" width="12.25390625" style="0" hidden="1" customWidth="1"/>
    <col min="10" max="10" width="13.25390625" style="0" bestFit="1" customWidth="1"/>
    <col min="11" max="11" width="12.875" style="0" bestFit="1" customWidth="1"/>
    <col min="12" max="12" width="19.625" style="0" customWidth="1"/>
    <col min="13" max="13" width="15.625" style="0" customWidth="1"/>
    <col min="14" max="14" width="2.00390625" style="0" customWidth="1"/>
    <col min="16" max="16" width="10.125" style="155" bestFit="1" customWidth="1"/>
    <col min="17" max="17" width="10.125" style="155" customWidth="1"/>
    <col min="18" max="18" width="10.25390625" style="0" bestFit="1" customWidth="1"/>
    <col min="19" max="19" width="16.125" style="0" customWidth="1"/>
    <col min="20" max="20" width="40.375" style="0" bestFit="1" customWidth="1"/>
  </cols>
  <sheetData>
    <row r="1" spans="1:17" ht="42.75" customHeight="1">
      <c r="A1" s="113" t="s">
        <v>342</v>
      </c>
      <c r="B1" s="113" t="s">
        <v>368</v>
      </c>
      <c r="C1" s="113" t="s">
        <v>332</v>
      </c>
      <c r="D1" s="113"/>
      <c r="E1" s="59" t="s">
        <v>223</v>
      </c>
      <c r="F1" s="59" t="s">
        <v>221</v>
      </c>
      <c r="G1" s="59" t="s">
        <v>471</v>
      </c>
      <c r="H1" s="59" t="s">
        <v>470</v>
      </c>
      <c r="I1" s="59" t="s">
        <v>472</v>
      </c>
      <c r="J1" s="59" t="s">
        <v>363</v>
      </c>
      <c r="K1" s="59" t="s">
        <v>331</v>
      </c>
      <c r="L1" s="59" t="s">
        <v>365</v>
      </c>
      <c r="M1" s="61" t="s">
        <v>233</v>
      </c>
      <c r="O1" s="153" t="s">
        <v>393</v>
      </c>
      <c r="P1" s="154"/>
      <c r="Q1" s="154"/>
    </row>
    <row r="2" spans="1:18" ht="23.25" customHeight="1">
      <c r="A2" s="3"/>
      <c r="B2" s="134"/>
      <c r="C2" s="135"/>
      <c r="D2" s="115" t="s">
        <v>203</v>
      </c>
      <c r="E2" s="4"/>
      <c r="F2" s="3"/>
      <c r="G2" s="3"/>
      <c r="H2" s="3"/>
      <c r="I2" s="3"/>
      <c r="J2" s="3"/>
      <c r="K2" s="3"/>
      <c r="L2" s="3"/>
      <c r="M2" s="3"/>
      <c r="R2" t="s">
        <v>26</v>
      </c>
    </row>
    <row r="3" spans="1:18" ht="30" customHeight="1">
      <c r="A3" s="3">
        <v>215</v>
      </c>
      <c r="B3" s="136">
        <v>571</v>
      </c>
      <c r="C3" s="135">
        <v>571300</v>
      </c>
      <c r="D3" s="64" t="s">
        <v>218</v>
      </c>
      <c r="E3" s="65" t="s">
        <v>224</v>
      </c>
      <c r="F3" s="6">
        <v>30000</v>
      </c>
      <c r="G3" s="6">
        <v>0</v>
      </c>
      <c r="H3" s="6">
        <v>0</v>
      </c>
      <c r="I3" s="6">
        <v>250000</v>
      </c>
      <c r="J3" s="6">
        <f>'O&amp;M_ 07 Act vs 10 budg'!J178</f>
        <v>0</v>
      </c>
      <c r="K3" s="6">
        <f>'O&amp;M_ 07 Act vs 10 budg'!M178</f>
        <v>360400</v>
      </c>
      <c r="L3" s="60">
        <f>K3-J3</f>
        <v>360400</v>
      </c>
      <c r="M3" s="3"/>
      <c r="O3" t="s">
        <v>26</v>
      </c>
      <c r="P3" s="155">
        <f>IF(O3="","",L3)</f>
        <v>360400</v>
      </c>
      <c r="Q3" s="155">
        <f>IF(O3="","",K3)</f>
        <v>360400</v>
      </c>
      <c r="R3" t="s">
        <v>25</v>
      </c>
    </row>
    <row r="4" spans="1:18" ht="30" customHeight="1">
      <c r="A4" s="3">
        <v>215</v>
      </c>
      <c r="B4" s="134">
        <v>571</v>
      </c>
      <c r="C4" s="135">
        <v>571640</v>
      </c>
      <c r="D4" s="64" t="s">
        <v>219</v>
      </c>
      <c r="E4" s="65" t="s">
        <v>224</v>
      </c>
      <c r="F4" s="6">
        <v>0</v>
      </c>
      <c r="G4" s="6">
        <v>0</v>
      </c>
      <c r="H4" s="6">
        <v>0</v>
      </c>
      <c r="I4" s="6">
        <v>400000</v>
      </c>
      <c r="J4" s="6"/>
      <c r="K4" s="6"/>
      <c r="L4" s="60">
        <f>K4-J4</f>
        <v>0</v>
      </c>
      <c r="M4" s="3"/>
      <c r="O4" t="s">
        <v>26</v>
      </c>
      <c r="P4" s="155">
        <f aca="true" t="shared" si="0" ref="P4:P66">IF(O4="","",L4)</f>
        <v>0</v>
      </c>
      <c r="Q4" s="155">
        <f aca="true" t="shared" si="1" ref="Q4:Q66">IF(O4="","",K4)</f>
        <v>0</v>
      </c>
      <c r="R4" t="s">
        <v>394</v>
      </c>
    </row>
    <row r="5" spans="1:18" ht="30" customHeight="1" thickBot="1">
      <c r="A5" s="3">
        <v>215</v>
      </c>
      <c r="B5" s="134">
        <v>571</v>
      </c>
      <c r="C5" s="135">
        <v>571650</v>
      </c>
      <c r="D5" s="125" t="s">
        <v>220</v>
      </c>
      <c r="E5" s="120" t="s">
        <v>224</v>
      </c>
      <c r="F5" s="121">
        <v>0</v>
      </c>
      <c r="G5" s="121">
        <v>0</v>
      </c>
      <c r="H5" s="121">
        <v>0</v>
      </c>
      <c r="I5" s="121">
        <v>150000</v>
      </c>
      <c r="J5" s="121"/>
      <c r="K5" s="121"/>
      <c r="L5" s="122">
        <f>K5-J5</f>
        <v>0</v>
      </c>
      <c r="M5" s="123"/>
      <c r="O5" t="s">
        <v>26</v>
      </c>
      <c r="P5" s="155">
        <f t="shared" si="0"/>
        <v>0</v>
      </c>
      <c r="Q5" s="155">
        <f t="shared" si="1"/>
        <v>0</v>
      </c>
      <c r="R5" t="s">
        <v>392</v>
      </c>
    </row>
    <row r="6" spans="1:18" ht="12.75">
      <c r="A6" s="3"/>
      <c r="B6" s="134"/>
      <c r="C6" s="135"/>
      <c r="D6" s="124" t="s">
        <v>234</v>
      </c>
      <c r="E6" s="116" t="s">
        <v>224</v>
      </c>
      <c r="F6" s="117">
        <f>SUM(F3+F4+F5)</f>
        <v>30000</v>
      </c>
      <c r="G6" s="117">
        <f>SUM(G3+G4+G5)</f>
        <v>0</v>
      </c>
      <c r="H6" s="117">
        <f>SUM(H3+H4+H5)</f>
        <v>0</v>
      </c>
      <c r="I6" s="117">
        <f>SUM(I3+I4+I5)</f>
        <v>800000</v>
      </c>
      <c r="J6" s="117">
        <f>SUM(J3:J5)</f>
        <v>0</v>
      </c>
      <c r="K6" s="117">
        <f>SUM(K3:K5)</f>
        <v>360400</v>
      </c>
      <c r="L6" s="118" t="s">
        <v>224</v>
      </c>
      <c r="M6" s="119">
        <f>SUM(L3:L5)</f>
        <v>360400</v>
      </c>
      <c r="P6" s="155">
        <f t="shared" si="0"/>
      </c>
      <c r="Q6" s="155">
        <f t="shared" si="1"/>
      </c>
      <c r="R6" t="s">
        <v>211</v>
      </c>
    </row>
    <row r="7" spans="1:18" ht="4.5" customHeight="1">
      <c r="A7" s="140"/>
      <c r="B7" s="141"/>
      <c r="C7" s="142"/>
      <c r="D7" s="148"/>
      <c r="E7" s="149"/>
      <c r="F7" s="150"/>
      <c r="G7" s="150"/>
      <c r="H7" s="150"/>
      <c r="I7" s="150"/>
      <c r="J7" s="150"/>
      <c r="K7" s="150"/>
      <c r="L7" s="140"/>
      <c r="M7" s="140"/>
      <c r="P7" s="155">
        <f t="shared" si="0"/>
      </c>
      <c r="Q7" s="155">
        <f t="shared" si="1"/>
      </c>
      <c r="R7" t="s">
        <v>245</v>
      </c>
    </row>
    <row r="8" spans="1:18" ht="25.5" customHeight="1">
      <c r="A8" s="3"/>
      <c r="B8" s="134"/>
      <c r="C8" s="135"/>
      <c r="D8" s="115" t="s">
        <v>204</v>
      </c>
      <c r="E8" s="4"/>
      <c r="F8" s="6"/>
      <c r="G8" s="6"/>
      <c r="H8" s="6"/>
      <c r="I8" s="6"/>
      <c r="J8" s="6"/>
      <c r="K8" s="6"/>
      <c r="L8" s="3"/>
      <c r="M8" s="3"/>
      <c r="P8" s="155">
        <f t="shared" si="0"/>
      </c>
      <c r="Q8" s="155">
        <f t="shared" si="1"/>
      </c>
      <c r="R8" t="s">
        <v>396</v>
      </c>
    </row>
    <row r="9" spans="1:17" ht="30" customHeight="1" thickBot="1">
      <c r="A9" s="3">
        <v>215</v>
      </c>
      <c r="B9" s="134">
        <v>595</v>
      </c>
      <c r="C9" s="135">
        <v>595510</v>
      </c>
      <c r="D9" s="125" t="s">
        <v>222</v>
      </c>
      <c r="E9" s="120" t="s">
        <v>224</v>
      </c>
      <c r="F9" s="121">
        <v>90</v>
      </c>
      <c r="G9" s="121">
        <v>0</v>
      </c>
      <c r="H9" s="121">
        <v>0</v>
      </c>
      <c r="I9" s="121">
        <v>381000</v>
      </c>
      <c r="J9" s="121">
        <f>'O&amp;M_ 07 Act vs 10 budg'!J288</f>
        <v>8681</v>
      </c>
      <c r="K9" s="121">
        <f>'O&amp;M_ 07 Act vs 10 budg'!M288</f>
        <v>403860</v>
      </c>
      <c r="L9" s="122">
        <f>K9-J9</f>
        <v>395179</v>
      </c>
      <c r="M9" s="123"/>
      <c r="O9" t="s">
        <v>25</v>
      </c>
      <c r="P9" s="155">
        <f t="shared" si="0"/>
        <v>395179</v>
      </c>
      <c r="Q9" s="155">
        <f t="shared" si="1"/>
        <v>403860</v>
      </c>
    </row>
    <row r="10" spans="1:17" ht="12.75">
      <c r="A10" s="3"/>
      <c r="B10" s="134"/>
      <c r="C10" s="135"/>
      <c r="D10" s="124" t="s">
        <v>234</v>
      </c>
      <c r="E10" s="116" t="s">
        <v>224</v>
      </c>
      <c r="F10" s="117">
        <f>SUM(F9)</f>
        <v>90</v>
      </c>
      <c r="G10" s="117">
        <f>SUM(G9)</f>
        <v>0</v>
      </c>
      <c r="H10" s="117">
        <f>SUM(H9)</f>
        <v>0</v>
      </c>
      <c r="I10" s="117">
        <f>SUM(I9)</f>
        <v>381000</v>
      </c>
      <c r="J10" s="117">
        <f>SUM(J9:J9)</f>
        <v>8681</v>
      </c>
      <c r="K10" s="117">
        <f>SUM(K9:K9)</f>
        <v>403860</v>
      </c>
      <c r="L10" s="118" t="s">
        <v>224</v>
      </c>
      <c r="M10" s="119">
        <f>SUM(L9:L9)</f>
        <v>395179</v>
      </c>
      <c r="P10" s="155">
        <f t="shared" si="0"/>
      </c>
      <c r="Q10" s="155">
        <f t="shared" si="1"/>
      </c>
    </row>
    <row r="11" spans="1:17" ht="6" customHeight="1">
      <c r="A11" s="140"/>
      <c r="B11" s="141"/>
      <c r="C11" s="142"/>
      <c r="D11" s="148"/>
      <c r="E11" s="149"/>
      <c r="F11" s="150"/>
      <c r="G11" s="150"/>
      <c r="H11" s="150"/>
      <c r="I11" s="150"/>
      <c r="J11" s="150"/>
      <c r="K11" s="150"/>
      <c r="L11" s="140"/>
      <c r="M11" s="140"/>
      <c r="P11" s="155">
        <f t="shared" si="0"/>
      </c>
      <c r="Q11" s="155">
        <f t="shared" si="1"/>
      </c>
    </row>
    <row r="12" spans="1:17" ht="23.25" customHeight="1">
      <c r="A12" s="3"/>
      <c r="B12" s="134"/>
      <c r="C12" s="135"/>
      <c r="D12" s="115" t="s">
        <v>205</v>
      </c>
      <c r="E12" s="4"/>
      <c r="F12" s="6"/>
      <c r="G12" s="6"/>
      <c r="H12" s="6"/>
      <c r="I12" s="6"/>
      <c r="J12" s="6"/>
      <c r="K12" s="6"/>
      <c r="L12" s="3"/>
      <c r="M12" s="3"/>
      <c r="P12" s="155">
        <f t="shared" si="0"/>
      </c>
      <c r="Q12" s="155">
        <f t="shared" si="1"/>
      </c>
    </row>
    <row r="13" spans="1:19" ht="30" customHeight="1">
      <c r="A13" s="3">
        <v>215</v>
      </c>
      <c r="B13" s="136" t="s">
        <v>334</v>
      </c>
      <c r="C13" s="135" t="s">
        <v>400</v>
      </c>
      <c r="D13" s="64" t="s">
        <v>225</v>
      </c>
      <c r="E13" s="65" t="s">
        <v>224</v>
      </c>
      <c r="F13" s="6">
        <f>'O&amp;M_ 07 Act vs 10 budg'!H132+'O&amp;M_ 07 Act vs 10 budg'!H165+'O&amp;M_ 07 Act vs 10 budg'!H202+'O&amp;M_ 07 Act vs 10 budg'!H257+'O&amp;M_ 07 Act vs 10 budg'!H203</f>
        <v>74604</v>
      </c>
      <c r="G13" s="6">
        <v>100310</v>
      </c>
      <c r="H13" s="6"/>
      <c r="I13" s="6">
        <v>194259</v>
      </c>
      <c r="J13" s="6">
        <f>'O&amp;M_ 07 Act vs 10 budg'!J132+'O&amp;M_ 07 Act vs 10 budg'!J165+'O&amp;M_ 07 Act vs 10 budg'!J202+'O&amp;M_ 07 Act vs 10 budg'!J257+'O&amp;M_ 07 Act vs 10 budg'!J203</f>
        <v>86243</v>
      </c>
      <c r="K13" s="6">
        <f>'O&amp;M_ 07 Act vs 10 budg'!M132+'O&amp;M_ 07 Act vs 10 budg'!M165+'O&amp;M_ 07 Act vs 10 budg'!M202+'O&amp;M_ 07 Act vs 10 budg'!M257+'O&amp;M_ 07 Act vs 10 budg'!M203+'O&amp;M_ 07 Act vs 10 budg'!M133</f>
        <v>185663</v>
      </c>
      <c r="L13" s="60">
        <f aca="true" t="shared" si="2" ref="L13:L18">K13-J13</f>
        <v>99420</v>
      </c>
      <c r="M13" s="3"/>
      <c r="N13" t="s">
        <v>333</v>
      </c>
      <c r="O13" t="s">
        <v>394</v>
      </c>
      <c r="P13" s="155">
        <f t="shared" si="0"/>
        <v>99420</v>
      </c>
      <c r="Q13" s="155">
        <f t="shared" si="1"/>
        <v>185663</v>
      </c>
      <c r="R13" s="139">
        <f>125000-K13</f>
        <v>-60663</v>
      </c>
      <c r="S13" s="139">
        <f>R13/2</f>
        <v>-30332</v>
      </c>
    </row>
    <row r="14" spans="1:19" ht="30" customHeight="1">
      <c r="A14" s="3">
        <v>215</v>
      </c>
      <c r="B14" s="136" t="s">
        <v>335</v>
      </c>
      <c r="C14" s="138" t="s">
        <v>370</v>
      </c>
      <c r="D14" s="64" t="s">
        <v>226</v>
      </c>
      <c r="E14" s="65" t="s">
        <v>224</v>
      </c>
      <c r="F14" s="6">
        <v>130287</v>
      </c>
      <c r="G14" s="6">
        <v>323252</v>
      </c>
      <c r="H14" s="6"/>
      <c r="I14" s="6">
        <v>306000</v>
      </c>
      <c r="J14" s="6">
        <f>'O&amp;M_ 07 Act vs 10 budg'!J131+'O&amp;M_ 07 Act vs 10 budg'!J164</f>
        <v>257151</v>
      </c>
      <c r="K14" s="6">
        <f>'O&amp;M_ 07 Act vs 10 budg'!M131+'O&amp;M_ 07 Act vs 10 budg'!M164</f>
        <v>346000</v>
      </c>
      <c r="L14" s="60">
        <f t="shared" si="2"/>
        <v>88849</v>
      </c>
      <c r="M14" s="3"/>
      <c r="O14" t="s">
        <v>394</v>
      </c>
      <c r="P14" s="155">
        <f t="shared" si="0"/>
        <v>88849</v>
      </c>
      <c r="Q14" s="155">
        <f t="shared" si="1"/>
        <v>346000</v>
      </c>
      <c r="R14" s="139">
        <f>336000-K14</f>
        <v>-10000</v>
      </c>
      <c r="S14" s="139">
        <f>R14/2</f>
        <v>-5000</v>
      </c>
    </row>
    <row r="15" spans="1:17" ht="30" customHeight="1">
      <c r="A15" s="3">
        <v>215</v>
      </c>
      <c r="B15" s="136" t="s">
        <v>336</v>
      </c>
      <c r="C15" s="138" t="s">
        <v>371</v>
      </c>
      <c r="D15" s="64" t="s">
        <v>227</v>
      </c>
      <c r="E15" s="65" t="s">
        <v>224</v>
      </c>
      <c r="F15" s="6">
        <v>148136</v>
      </c>
      <c r="G15" s="6">
        <v>132309</v>
      </c>
      <c r="H15" s="6"/>
      <c r="I15" s="6">
        <v>200000</v>
      </c>
      <c r="J15" s="6">
        <f>'O&amp;M_ 07 Act vs 10 budg'!J256+'O&amp;M_ 07 Act vs 10 budg'!J201</f>
        <v>112912</v>
      </c>
      <c r="K15" s="6">
        <f>'O&amp;M_ 07 Act vs 10 budg'!M201+'O&amp;M_ 07 Act vs 10 budg'!M256</f>
        <v>207000</v>
      </c>
      <c r="L15" s="60">
        <f t="shared" si="2"/>
        <v>94088</v>
      </c>
      <c r="M15" s="3"/>
      <c r="O15" t="s">
        <v>394</v>
      </c>
      <c r="P15" s="155">
        <f t="shared" si="0"/>
        <v>94088</v>
      </c>
      <c r="Q15" s="155">
        <f t="shared" si="1"/>
        <v>207000</v>
      </c>
    </row>
    <row r="16" spans="1:17" ht="30" customHeight="1">
      <c r="A16" s="3">
        <v>215</v>
      </c>
      <c r="B16" s="136" t="s">
        <v>335</v>
      </c>
      <c r="C16" s="135">
        <v>570520</v>
      </c>
      <c r="D16" s="64" t="s">
        <v>48</v>
      </c>
      <c r="E16" s="65" t="s">
        <v>224</v>
      </c>
      <c r="F16" s="6">
        <v>45554</v>
      </c>
      <c r="G16" s="6"/>
      <c r="H16" s="6"/>
      <c r="I16" s="6">
        <v>104000</v>
      </c>
      <c r="J16" s="6">
        <f>'O&amp;M_ 07 Act vs 10 budg'!J166</f>
        <v>1973</v>
      </c>
      <c r="K16" s="6">
        <f>'O&amp;M_ 07 Act vs 10 budg'!M166</f>
        <v>117000</v>
      </c>
      <c r="L16" s="60">
        <f t="shared" si="2"/>
        <v>115027</v>
      </c>
      <c r="M16" s="3"/>
      <c r="O16" t="s">
        <v>394</v>
      </c>
      <c r="P16" s="155">
        <f t="shared" si="0"/>
        <v>115027</v>
      </c>
      <c r="Q16" s="155">
        <f t="shared" si="1"/>
        <v>117000</v>
      </c>
    </row>
    <row r="17" spans="1:17" ht="30" customHeight="1">
      <c r="A17" s="3">
        <v>215</v>
      </c>
      <c r="B17" s="136" t="s">
        <v>337</v>
      </c>
      <c r="C17" s="135" t="s">
        <v>339</v>
      </c>
      <c r="D17" s="64" t="s">
        <v>228</v>
      </c>
      <c r="E17" s="65" t="s">
        <v>224</v>
      </c>
      <c r="F17" s="6">
        <v>47147</v>
      </c>
      <c r="G17" s="6"/>
      <c r="H17" s="6"/>
      <c r="I17" s="6">
        <v>49000</v>
      </c>
      <c r="J17" s="6">
        <f>'O&amp;M_ 07 Act vs 10 budg'!J157+'O&amp;M_ 07 Act vs 10 budg'!J250</f>
        <v>64758</v>
      </c>
      <c r="K17" s="6">
        <f>'O&amp;M_ 07 Act vs 10 budg'!M157+'O&amp;M_ 07 Act vs 10 budg'!M250</f>
        <v>68643</v>
      </c>
      <c r="L17" s="60">
        <f t="shared" si="2"/>
        <v>3885</v>
      </c>
      <c r="M17" s="3"/>
      <c r="N17" t="s">
        <v>333</v>
      </c>
      <c r="O17" t="s">
        <v>394</v>
      </c>
      <c r="P17" s="155">
        <f t="shared" si="0"/>
        <v>3885</v>
      </c>
      <c r="Q17" s="155">
        <f t="shared" si="1"/>
        <v>68643</v>
      </c>
    </row>
    <row r="18" spans="1:17" ht="30" customHeight="1" thickBot="1">
      <c r="A18" s="3">
        <v>215</v>
      </c>
      <c r="B18" s="134">
        <v>570</v>
      </c>
      <c r="C18" s="135">
        <v>570530</v>
      </c>
      <c r="D18" s="125" t="s">
        <v>229</v>
      </c>
      <c r="E18" s="120" t="s">
        <v>224</v>
      </c>
      <c r="F18" s="121">
        <v>231329</v>
      </c>
      <c r="G18" s="121">
        <v>232641</v>
      </c>
      <c r="H18" s="121"/>
      <c r="I18" s="121">
        <v>235000</v>
      </c>
      <c r="J18" s="121">
        <f>'O&amp;M_ 07 Act vs 10 budg'!J167</f>
        <v>104596</v>
      </c>
      <c r="K18" s="121">
        <f>'O&amp;M_ 07 Act vs 10 budg'!M167</f>
        <v>177568</v>
      </c>
      <c r="L18" s="122">
        <f t="shared" si="2"/>
        <v>72972</v>
      </c>
      <c r="M18" s="123"/>
      <c r="O18" t="s">
        <v>394</v>
      </c>
      <c r="P18" s="155">
        <f t="shared" si="0"/>
        <v>72972</v>
      </c>
      <c r="Q18" s="155">
        <f t="shared" si="1"/>
        <v>177568</v>
      </c>
    </row>
    <row r="19" spans="1:17" ht="12.75">
      <c r="A19" s="3"/>
      <c r="B19" s="134"/>
      <c r="C19" s="135"/>
      <c r="D19" s="124" t="s">
        <v>234</v>
      </c>
      <c r="E19" s="116" t="s">
        <v>224</v>
      </c>
      <c r="F19" s="117">
        <f>SUM(F18+F17+F16+F15+F14+F13)</f>
        <v>677057</v>
      </c>
      <c r="G19" s="117">
        <f>SUM(G18+G17+G16+G15+G14+G13)</f>
        <v>788512</v>
      </c>
      <c r="H19" s="117">
        <f>SUM(H18+H17+H16+H15+H14+H13)</f>
        <v>0</v>
      </c>
      <c r="I19" s="117">
        <f>SUM(I18+I17+I16+I15+I14+I13)</f>
        <v>1088259</v>
      </c>
      <c r="J19" s="117">
        <f>SUM(J13:J18)</f>
        <v>627633</v>
      </c>
      <c r="K19" s="117">
        <f>SUM(K13:K18)</f>
        <v>1101874</v>
      </c>
      <c r="L19" s="118" t="s">
        <v>224</v>
      </c>
      <c r="M19" s="119">
        <f>SUM(L13:L18)</f>
        <v>474241</v>
      </c>
      <c r="P19" s="155">
        <f t="shared" si="0"/>
      </c>
      <c r="Q19" s="155">
        <f t="shared" si="1"/>
      </c>
    </row>
    <row r="20" spans="1:17" ht="12.75">
      <c r="A20" s="3"/>
      <c r="B20" s="134"/>
      <c r="C20" s="135"/>
      <c r="D20" s="8"/>
      <c r="E20" s="5"/>
      <c r="F20" s="6"/>
      <c r="G20" s="6"/>
      <c r="H20" s="6"/>
      <c r="I20" s="6"/>
      <c r="J20" s="85"/>
      <c r="K20" s="85"/>
      <c r="P20" s="155">
        <f t="shared" si="0"/>
      </c>
      <c r="Q20" s="155">
        <f t="shared" si="1"/>
      </c>
    </row>
    <row r="21" spans="1:17" ht="20.25" customHeight="1">
      <c r="A21" s="3"/>
      <c r="B21" s="134"/>
      <c r="C21" s="135"/>
      <c r="D21" s="115" t="s">
        <v>207</v>
      </c>
      <c r="E21" s="4"/>
      <c r="F21" s="6"/>
      <c r="G21" s="6"/>
      <c r="H21" s="6"/>
      <c r="I21" s="6"/>
      <c r="J21" s="6"/>
      <c r="K21" s="6"/>
      <c r="L21" s="3"/>
      <c r="M21" s="3"/>
      <c r="P21" s="155">
        <f t="shared" si="0"/>
      </c>
      <c r="Q21" s="155">
        <f t="shared" si="1"/>
      </c>
    </row>
    <row r="22" spans="1:17" ht="30" customHeight="1" thickBot="1">
      <c r="A22" s="3">
        <v>245</v>
      </c>
      <c r="B22" s="136" t="s">
        <v>338</v>
      </c>
      <c r="C22" s="135" t="s">
        <v>340</v>
      </c>
      <c r="D22" s="125" t="s">
        <v>230</v>
      </c>
      <c r="E22" s="120" t="s">
        <v>224</v>
      </c>
      <c r="F22" s="121">
        <v>0</v>
      </c>
      <c r="G22" s="121"/>
      <c r="H22" s="121"/>
      <c r="I22" s="121">
        <v>86000</v>
      </c>
      <c r="J22" s="121">
        <f>'O&amp;M_ 07 Act vs 10 budg'!J218+'O&amp;M_ 07 Act vs 10 budg'!J280</f>
        <v>0</v>
      </c>
      <c r="K22" s="121">
        <f>'O&amp;M_ 07 Act vs 10 budg'!M218+'O&amp;M_ 07 Act vs 10 budg'!M280</f>
        <v>114000</v>
      </c>
      <c r="L22" s="122">
        <f>K22-J22</f>
        <v>114000</v>
      </c>
      <c r="M22" s="123"/>
      <c r="O22" t="s">
        <v>211</v>
      </c>
      <c r="P22" s="155">
        <f t="shared" si="0"/>
        <v>114000</v>
      </c>
      <c r="Q22" s="155">
        <f t="shared" si="1"/>
        <v>114000</v>
      </c>
    </row>
    <row r="23" spans="1:17" ht="12.75">
      <c r="A23" s="3"/>
      <c r="B23" s="134"/>
      <c r="C23" s="135"/>
      <c r="D23" s="124" t="s">
        <v>234</v>
      </c>
      <c r="E23" s="116" t="s">
        <v>224</v>
      </c>
      <c r="F23" s="117">
        <f aca="true" t="shared" si="3" ref="F23:K23">SUM(F22)</f>
        <v>0</v>
      </c>
      <c r="G23" s="117">
        <f t="shared" si="3"/>
        <v>0</v>
      </c>
      <c r="H23" s="117">
        <f t="shared" si="3"/>
        <v>0</v>
      </c>
      <c r="I23" s="117">
        <f t="shared" si="3"/>
        <v>86000</v>
      </c>
      <c r="J23" s="117">
        <f t="shared" si="3"/>
        <v>0</v>
      </c>
      <c r="K23" s="117">
        <f t="shared" si="3"/>
        <v>114000</v>
      </c>
      <c r="L23" s="118" t="s">
        <v>224</v>
      </c>
      <c r="M23" s="119">
        <f>SUM(L22)</f>
        <v>114000</v>
      </c>
      <c r="P23" s="155">
        <f t="shared" si="0"/>
      </c>
      <c r="Q23" s="155">
        <f t="shared" si="1"/>
      </c>
    </row>
    <row r="24" spans="4:17" ht="13.5" thickBot="1">
      <c r="D24" s="110"/>
      <c r="E24" s="109"/>
      <c r="F24" s="63"/>
      <c r="G24" s="63"/>
      <c r="H24" s="63"/>
      <c r="I24" s="63"/>
      <c r="J24" s="63"/>
      <c r="K24" s="63"/>
      <c r="L24" s="111"/>
      <c r="M24" s="112"/>
      <c r="P24" s="155">
        <f t="shared" si="0"/>
      </c>
      <c r="Q24" s="155">
        <f t="shared" si="1"/>
      </c>
    </row>
    <row r="25" spans="1:17" ht="27.75" customHeight="1" thickBot="1">
      <c r="A25" s="248" t="s">
        <v>307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9"/>
      <c r="P25" s="155">
        <f t="shared" si="0"/>
      </c>
      <c r="Q25" s="155">
        <f t="shared" si="1"/>
      </c>
    </row>
    <row r="26" spans="1:17" ht="39.75" customHeight="1" thickBot="1">
      <c r="A26" s="250" t="s">
        <v>364</v>
      </c>
      <c r="B26" s="251"/>
      <c r="C26" s="251"/>
      <c r="D26" s="251"/>
      <c r="E26" s="251"/>
      <c r="F26" s="251"/>
      <c r="G26" s="251"/>
      <c r="H26" s="251"/>
      <c r="I26" s="251"/>
      <c r="J26" s="137"/>
      <c r="K26" s="137"/>
      <c r="L26" s="256">
        <f>M6+M10+M19+M23</f>
        <v>1343820</v>
      </c>
      <c r="M26" s="257"/>
      <c r="P26" s="155">
        <f t="shared" si="0"/>
      </c>
      <c r="Q26" s="155">
        <f t="shared" si="1"/>
      </c>
    </row>
    <row r="27" spans="4:17" ht="0.75" customHeight="1">
      <c r="D27" s="86"/>
      <c r="E27" s="86"/>
      <c r="F27" s="86"/>
      <c r="G27" s="86"/>
      <c r="H27" s="86"/>
      <c r="I27" s="86"/>
      <c r="J27" s="86"/>
      <c r="K27" s="86"/>
      <c r="L27" s="87"/>
      <c r="M27" s="87"/>
      <c r="P27" s="155">
        <f t="shared" si="0"/>
      </c>
      <c r="Q27" s="155">
        <f t="shared" si="1"/>
      </c>
    </row>
    <row r="28" spans="1:17" ht="27.75" customHeight="1">
      <c r="A28" s="252" t="s">
        <v>308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P28" s="155">
        <f t="shared" si="0"/>
      </c>
      <c r="Q28" s="155">
        <f t="shared" si="1"/>
      </c>
    </row>
    <row r="29" spans="1:17" ht="50.25" customHeight="1">
      <c r="A29" s="113" t="s">
        <v>342</v>
      </c>
      <c r="B29" s="113" t="s">
        <v>368</v>
      </c>
      <c r="C29" s="113" t="s">
        <v>332</v>
      </c>
      <c r="D29" s="113"/>
      <c r="E29" s="59" t="s">
        <v>223</v>
      </c>
      <c r="F29" s="59" t="s">
        <v>221</v>
      </c>
      <c r="G29" s="59" t="s">
        <v>169</v>
      </c>
      <c r="H29" s="59" t="s">
        <v>200</v>
      </c>
      <c r="I29" s="59" t="s">
        <v>168</v>
      </c>
      <c r="J29" s="59" t="s">
        <v>328</v>
      </c>
      <c r="K29" s="59" t="s">
        <v>331</v>
      </c>
      <c r="L29" s="59" t="s">
        <v>306</v>
      </c>
      <c r="M29" s="61" t="s">
        <v>233</v>
      </c>
      <c r="P29" s="155">
        <f t="shared" si="0"/>
      </c>
      <c r="Q29" s="155">
        <f t="shared" si="1"/>
      </c>
    </row>
    <row r="30" spans="1:17" ht="20.25" customHeight="1">
      <c r="A30" s="3"/>
      <c r="B30" s="134"/>
      <c r="C30" s="135"/>
      <c r="D30" s="126" t="s">
        <v>301</v>
      </c>
      <c r="E30" s="5"/>
      <c r="F30" s="6"/>
      <c r="G30" s="6"/>
      <c r="H30" s="6"/>
      <c r="I30" s="6"/>
      <c r="J30" s="6"/>
      <c r="K30" s="6"/>
      <c r="L30" s="3"/>
      <c r="M30" s="3"/>
      <c r="P30" s="155">
        <f t="shared" si="0"/>
      </c>
      <c r="Q30" s="155">
        <f t="shared" si="1"/>
      </c>
    </row>
    <row r="31" spans="1:17" ht="30" customHeight="1">
      <c r="A31" s="3">
        <v>215</v>
      </c>
      <c r="B31" s="134" t="s">
        <v>373</v>
      </c>
      <c r="C31" s="135" t="s">
        <v>372</v>
      </c>
      <c r="D31" s="84" t="s">
        <v>232</v>
      </c>
      <c r="E31" s="65" t="s">
        <v>224</v>
      </c>
      <c r="F31" s="80">
        <v>50906</v>
      </c>
      <c r="G31" s="6">
        <v>52688</v>
      </c>
      <c r="H31" s="6">
        <f>'O&amp;M_ 07 Act vs 10 budg'!$M$120</f>
        <v>51388</v>
      </c>
      <c r="I31" s="6">
        <f>'O&amp;M_ 07 Act vs 10 budg'!$M$120</f>
        <v>51388</v>
      </c>
      <c r="J31" s="6">
        <f>'O&amp;M_ 07 Act vs 10 budg'!J120+'O&amp;M_ 07 Act vs 10 budg'!J138</f>
        <v>62517</v>
      </c>
      <c r="K31" s="6">
        <f>'O&amp;M_ 07 Act vs 10 budg'!M120+'O&amp;M_ 07 Act vs 10 budg'!M138</f>
        <v>103249</v>
      </c>
      <c r="L31" s="60">
        <f>K31-J31</f>
        <v>40732</v>
      </c>
      <c r="M31" s="3"/>
      <c r="O31" t="s">
        <v>396</v>
      </c>
      <c r="P31" s="155">
        <f t="shared" si="0"/>
        <v>40732</v>
      </c>
      <c r="Q31" s="155">
        <f t="shared" si="1"/>
        <v>103249</v>
      </c>
    </row>
    <row r="32" spans="1:17" ht="30" customHeight="1">
      <c r="A32" s="3">
        <v>215</v>
      </c>
      <c r="B32" s="134" t="s">
        <v>386</v>
      </c>
      <c r="C32" s="135" t="s">
        <v>385</v>
      </c>
      <c r="D32" s="84" t="s">
        <v>302</v>
      </c>
      <c r="E32" s="65" t="s">
        <v>224</v>
      </c>
      <c r="F32" s="6">
        <f>'O&amp;M_ 07 Act vs 10 budg'!$H$179</f>
        <v>0</v>
      </c>
      <c r="G32" s="6">
        <v>273333</v>
      </c>
      <c r="H32" s="6">
        <v>283000</v>
      </c>
      <c r="I32" s="6">
        <v>283000</v>
      </c>
      <c r="J32" s="6">
        <f>'O&amp;M_ 07 Act vs 10 budg'!J179+'O&amp;M_ 07 Act vs 10 budg'!J141+'O&amp;M_ 07 Act vs 10 budg'!J239</f>
        <v>178800</v>
      </c>
      <c r="K32" s="6">
        <f>'O&amp;M_ 07 Act vs 10 budg'!M179+'O&amp;M_ 07 Act vs 10 budg'!M239+'O&amp;M_ 07 Act vs 10 budg'!M141</f>
        <v>276526</v>
      </c>
      <c r="L32" s="60">
        <f>K32-J32</f>
        <v>97726</v>
      </c>
      <c r="M32" s="3"/>
      <c r="O32" t="s">
        <v>396</v>
      </c>
      <c r="P32" s="155">
        <f t="shared" si="0"/>
        <v>97726</v>
      </c>
      <c r="Q32" s="155">
        <f t="shared" si="1"/>
        <v>276526</v>
      </c>
    </row>
    <row r="33" spans="1:17" ht="30" customHeight="1" thickBot="1">
      <c r="A33" s="3">
        <v>215</v>
      </c>
      <c r="B33" s="134" t="s">
        <v>341</v>
      </c>
      <c r="C33" s="135">
        <v>583530</v>
      </c>
      <c r="D33" s="84" t="s">
        <v>303</v>
      </c>
      <c r="E33" s="120" t="s">
        <v>224</v>
      </c>
      <c r="F33" s="121">
        <f>'O&amp;M_ 07 Act vs 10 budg'!$H$211</f>
        <v>217586</v>
      </c>
      <c r="G33" s="121">
        <v>390156</v>
      </c>
      <c r="H33" s="121">
        <v>404000</v>
      </c>
      <c r="I33" s="121">
        <v>404000</v>
      </c>
      <c r="J33" s="121">
        <f>'O&amp;M_ 07 Act vs 10 budg'!J211</f>
        <v>404160</v>
      </c>
      <c r="K33" s="121">
        <f>'O&amp;M_ 07 Act vs 10 budg'!M211</f>
        <v>472619</v>
      </c>
      <c r="L33" s="122">
        <f>K33-J33</f>
        <v>68459</v>
      </c>
      <c r="M33" s="123"/>
      <c r="O33" t="s">
        <v>396</v>
      </c>
      <c r="P33" s="155">
        <f t="shared" si="0"/>
        <v>68459</v>
      </c>
      <c r="Q33" s="155">
        <f t="shared" si="1"/>
        <v>472619</v>
      </c>
    </row>
    <row r="34" spans="1:17" ht="12.75">
      <c r="A34" s="3"/>
      <c r="B34" s="134"/>
      <c r="C34" s="135"/>
      <c r="D34" s="124" t="s">
        <v>234</v>
      </c>
      <c r="E34" s="116" t="s">
        <v>224</v>
      </c>
      <c r="F34" s="117">
        <f>F31+F32+F33</f>
        <v>268492</v>
      </c>
      <c r="G34" s="117">
        <f>G31+G32+G33</f>
        <v>716177</v>
      </c>
      <c r="H34" s="117">
        <f>H31+H32+H33</f>
        <v>738388</v>
      </c>
      <c r="I34" s="117">
        <f>I31+I32+I33</f>
        <v>738388</v>
      </c>
      <c r="J34" s="117">
        <f>SUM(J31:J33)</f>
        <v>645477</v>
      </c>
      <c r="K34" s="117">
        <f>SUM(K31:K33)</f>
        <v>852394</v>
      </c>
      <c r="L34" s="118" t="s">
        <v>224</v>
      </c>
      <c r="M34" s="119">
        <f>SUM(L31:L33)</f>
        <v>206917</v>
      </c>
      <c r="P34" s="155">
        <f t="shared" si="0"/>
      </c>
      <c r="Q34" s="155">
        <f t="shared" si="1"/>
      </c>
    </row>
    <row r="35" spans="1:17" ht="12.75">
      <c r="A35" s="140"/>
      <c r="B35" s="141"/>
      <c r="C35" s="142"/>
      <c r="D35" s="143"/>
      <c r="E35" s="144"/>
      <c r="F35" s="145"/>
      <c r="G35" s="145"/>
      <c r="H35" s="145"/>
      <c r="I35" s="145"/>
      <c r="J35" s="145"/>
      <c r="K35" s="145"/>
      <c r="L35" s="146"/>
      <c r="M35" s="147"/>
      <c r="P35" s="155">
        <f t="shared" si="0"/>
      </c>
      <c r="Q35" s="155">
        <f t="shared" si="1"/>
      </c>
    </row>
    <row r="36" spans="1:17" ht="31.5" customHeight="1">
      <c r="A36" s="3"/>
      <c r="B36" s="134"/>
      <c r="C36" s="135"/>
      <c r="D36" s="126" t="s">
        <v>309</v>
      </c>
      <c r="E36" s="81"/>
      <c r="F36" s="62"/>
      <c r="G36" s="62"/>
      <c r="H36" s="62"/>
      <c r="I36" s="62"/>
      <c r="J36" s="62"/>
      <c r="K36" s="62"/>
      <c r="L36" s="82"/>
      <c r="M36" s="83"/>
      <c r="P36" s="155">
        <f t="shared" si="0"/>
      </c>
      <c r="Q36" s="155">
        <f t="shared" si="1"/>
      </c>
    </row>
    <row r="37" spans="1:17" ht="30" customHeight="1">
      <c r="A37" s="3">
        <v>215</v>
      </c>
      <c r="B37" s="134" t="s">
        <v>359</v>
      </c>
      <c r="C37" s="135" t="s">
        <v>360</v>
      </c>
      <c r="D37" s="84" t="s">
        <v>304</v>
      </c>
      <c r="E37" s="65" t="s">
        <v>224</v>
      </c>
      <c r="F37" s="62">
        <f>'O&amp;M_ 07 Act vs 10 budg'!H129+'O&amp;M_ 07 Act vs 10 budg'!H199</f>
        <v>156712</v>
      </c>
      <c r="G37" s="62">
        <f>F37*1.035</f>
        <v>162197</v>
      </c>
      <c r="H37" s="62">
        <f>G37*1.035</f>
        <v>167874</v>
      </c>
      <c r="I37" s="62">
        <f>'O&amp;M_ 07 Act vs 10 budg'!M129+'O&amp;M_ 07 Act vs 10 budg'!M199</f>
        <v>197796</v>
      </c>
      <c r="J37" s="62">
        <f>'O&amp;M_ 07 Act vs 10 budg'!J129+'O&amp;M_ 07 Act vs 10 budg'!J199</f>
        <v>186600</v>
      </c>
      <c r="K37" s="62">
        <f>'O&amp;M_ 07 Act vs 10 budg'!M129+'O&amp;M_ 07 Act vs 10 budg'!M199</f>
        <v>197796</v>
      </c>
      <c r="L37" s="60">
        <f>K37-J37</f>
        <v>11196</v>
      </c>
      <c r="M37" s="83"/>
      <c r="O37" t="s">
        <v>394</v>
      </c>
      <c r="P37" s="155">
        <f t="shared" si="0"/>
        <v>11196</v>
      </c>
      <c r="Q37" s="155">
        <f t="shared" si="1"/>
        <v>197796</v>
      </c>
    </row>
    <row r="38" spans="1:17" ht="30" customHeight="1" thickBot="1">
      <c r="A38" s="3">
        <v>215</v>
      </c>
      <c r="B38" s="134" t="s">
        <v>361</v>
      </c>
      <c r="C38" s="135" t="s">
        <v>362</v>
      </c>
      <c r="D38" s="127" t="s">
        <v>305</v>
      </c>
      <c r="E38" s="120" t="s">
        <v>224</v>
      </c>
      <c r="F38" s="128">
        <f>'O&amp;M_ 07 Act vs 10 budg'!H130+'O&amp;M_ 07 Act vs 10 budg'!H168</f>
        <v>16558</v>
      </c>
      <c r="G38" s="128">
        <f>F38*1.035</f>
        <v>17138</v>
      </c>
      <c r="H38" s="128">
        <f>G38*1.035</f>
        <v>17738</v>
      </c>
      <c r="I38" s="128">
        <f>'O&amp;M_ 07 Act vs 10 budg'!M130+'O&amp;M_ 07 Act vs 10 budg'!M168</f>
        <v>26687</v>
      </c>
      <c r="J38" s="128">
        <f>'O&amp;M_ 07 Act vs 10 budg'!J168+'O&amp;M_ 07 Act vs 10 budg'!J130+'O&amp;M_ 07 Act vs 10 budg'!J200</f>
        <v>16686</v>
      </c>
      <c r="K38" s="128">
        <f>'O&amp;M_ 07 Act vs 10 budg'!M168+'O&amp;M_ 07 Act vs 10 budg'!M130+'O&amp;M_ 07 Act vs 10 budg'!M200</f>
        <v>36494</v>
      </c>
      <c r="L38" s="122">
        <f>K38-J38</f>
        <v>19808</v>
      </c>
      <c r="M38" s="129"/>
      <c r="O38" t="s">
        <v>394</v>
      </c>
      <c r="P38" s="155">
        <f t="shared" si="0"/>
        <v>19808</v>
      </c>
      <c r="Q38" s="155">
        <f t="shared" si="1"/>
        <v>36494</v>
      </c>
    </row>
    <row r="39" spans="1:17" ht="12.75">
      <c r="A39" s="3"/>
      <c r="B39" s="134"/>
      <c r="C39" s="135"/>
      <c r="D39" s="124" t="s">
        <v>234</v>
      </c>
      <c r="E39" s="116" t="s">
        <v>224</v>
      </c>
      <c r="F39" s="117">
        <f>F38+F37</f>
        <v>173270</v>
      </c>
      <c r="G39" s="117">
        <f>G38+G37</f>
        <v>179335</v>
      </c>
      <c r="H39" s="117">
        <f>H38+H37</f>
        <v>185612</v>
      </c>
      <c r="I39" s="117">
        <f>I38+I37</f>
        <v>224483</v>
      </c>
      <c r="J39" s="117">
        <f>SUM(J37:J38)</f>
        <v>203286</v>
      </c>
      <c r="K39" s="117">
        <f>SUM(K37:K38)</f>
        <v>234290</v>
      </c>
      <c r="L39" s="118" t="s">
        <v>224</v>
      </c>
      <c r="M39" s="119">
        <f>SUM(L37:L38)</f>
        <v>31004</v>
      </c>
      <c r="P39" s="155">
        <f t="shared" si="0"/>
      </c>
      <c r="Q39" s="155">
        <f t="shared" si="1"/>
      </c>
    </row>
    <row r="40" spans="1:17" ht="6" customHeight="1">
      <c r="A40" s="140"/>
      <c r="B40" s="141"/>
      <c r="C40" s="142"/>
      <c r="D40" s="151"/>
      <c r="E40" s="144"/>
      <c r="F40" s="145"/>
      <c r="G40" s="145"/>
      <c r="H40" s="145"/>
      <c r="I40" s="145"/>
      <c r="J40" s="145"/>
      <c r="K40" s="145"/>
      <c r="L40" s="146"/>
      <c r="M40" s="147"/>
      <c r="P40" s="155">
        <f t="shared" si="0"/>
      </c>
      <c r="Q40" s="155">
        <f t="shared" si="1"/>
      </c>
    </row>
    <row r="41" spans="1:17" ht="18">
      <c r="A41" s="3"/>
      <c r="B41" s="134"/>
      <c r="C41" s="135"/>
      <c r="D41" s="126" t="s">
        <v>206</v>
      </c>
      <c r="E41" s="4"/>
      <c r="F41" s="6"/>
      <c r="G41" s="6"/>
      <c r="H41" s="6"/>
      <c r="I41" s="6"/>
      <c r="J41" s="6"/>
      <c r="K41" s="6"/>
      <c r="L41" s="3"/>
      <c r="M41" s="3"/>
      <c r="P41" s="155">
        <f t="shared" si="0"/>
      </c>
      <c r="Q41" s="155">
        <f t="shared" si="1"/>
      </c>
    </row>
    <row r="42" spans="1:17" ht="30" customHeight="1">
      <c r="A42" s="3">
        <v>206</v>
      </c>
      <c r="B42" s="134" t="s">
        <v>344</v>
      </c>
      <c r="C42" s="135" t="s">
        <v>345</v>
      </c>
      <c r="D42" s="64" t="s">
        <v>346</v>
      </c>
      <c r="E42" s="65" t="s">
        <v>224</v>
      </c>
      <c r="F42" s="130" t="s">
        <v>347</v>
      </c>
      <c r="G42" s="130" t="s">
        <v>347</v>
      </c>
      <c r="H42" s="130" t="s">
        <v>347</v>
      </c>
      <c r="I42" s="130" t="s">
        <v>347</v>
      </c>
      <c r="J42" s="6">
        <f>'O&amp;M_ 07 Act vs 10 budg'!J90+'O&amp;M_ 07 Act vs 10 budg'!J94</f>
        <v>113401</v>
      </c>
      <c r="K42" s="6">
        <f>'O&amp;M_ 07 Act vs 10 budg'!M90+'O&amp;M_ 07 Act vs 10 budg'!M94</f>
        <v>255429</v>
      </c>
      <c r="L42" s="60">
        <f>K42-J42</f>
        <v>142028</v>
      </c>
      <c r="M42" s="3"/>
      <c r="O42" t="s">
        <v>245</v>
      </c>
      <c r="P42" s="155">
        <f t="shared" si="0"/>
        <v>142028</v>
      </c>
      <c r="Q42" s="155">
        <f t="shared" si="1"/>
        <v>255429</v>
      </c>
    </row>
    <row r="43" spans="1:17" ht="30" customHeight="1">
      <c r="A43" s="3">
        <v>206</v>
      </c>
      <c r="B43" s="134">
        <v>563</v>
      </c>
      <c r="C43" s="135">
        <v>563000</v>
      </c>
      <c r="D43" s="64" t="s">
        <v>232</v>
      </c>
      <c r="E43" s="65" t="s">
        <v>224</v>
      </c>
      <c r="F43" s="6">
        <v>20968</v>
      </c>
      <c r="G43" s="6"/>
      <c r="H43" s="6">
        <v>41600</v>
      </c>
      <c r="I43" s="6">
        <v>41600</v>
      </c>
      <c r="J43" s="6">
        <f>'O&amp;M_ 07 Act vs 10 budg'!J20</f>
        <v>16624</v>
      </c>
      <c r="K43" s="6">
        <f>'O&amp;M_ 07 Act vs 10 budg'!M20</f>
        <v>26590</v>
      </c>
      <c r="L43" s="60">
        <f>K43-J43</f>
        <v>9966</v>
      </c>
      <c r="M43" s="3"/>
      <c r="O43" t="s">
        <v>245</v>
      </c>
      <c r="P43" s="155">
        <f t="shared" si="0"/>
        <v>9966</v>
      </c>
      <c r="Q43" s="155">
        <f t="shared" si="1"/>
        <v>26590</v>
      </c>
    </row>
    <row r="44" spans="1:17" ht="30" customHeight="1">
      <c r="A44" s="131" t="s">
        <v>374</v>
      </c>
      <c r="B44" s="134" t="s">
        <v>384</v>
      </c>
      <c r="C44" s="135" t="s">
        <v>395</v>
      </c>
      <c r="D44" s="64" t="s">
        <v>209</v>
      </c>
      <c r="E44" s="65" t="s">
        <v>224</v>
      </c>
      <c r="F44" s="6">
        <v>1950220</v>
      </c>
      <c r="G44" s="6"/>
      <c r="H44" s="6">
        <v>859439</v>
      </c>
      <c r="I44" s="6">
        <v>2350220</v>
      </c>
      <c r="J44" s="6">
        <f>'O&amp;M_ 07 Act vs 10 budg'!J28+'O&amp;M_ 07 Act vs 10 budg'!J36+'O&amp;M_ 07 Act vs 10 budg'!J52+'O&amp;M_ 07 Act vs 10 budg'!J102+'O&amp;M_ 07 Act vs 10 budg'!J44</f>
        <v>965023</v>
      </c>
      <c r="K44" s="6">
        <f>'O&amp;M_ 07 Act vs 10 budg'!M28+'O&amp;M_ 07 Act vs 10 budg'!M36+'O&amp;M_ 07 Act vs 10 budg'!M52+'O&amp;M_ 07 Act vs 10 budg'!M102+'O&amp;M_ 07 Act vs 10 budg'!M44+'O&amp;M_ 07 Act vs 10 budg'!M12</f>
        <v>1326594</v>
      </c>
      <c r="L44" s="60">
        <f>K44-J44</f>
        <v>361571</v>
      </c>
      <c r="M44" s="3"/>
      <c r="O44" t="s">
        <v>245</v>
      </c>
      <c r="P44" s="155">
        <f t="shared" si="0"/>
        <v>361571</v>
      </c>
      <c r="Q44" s="155">
        <f t="shared" si="1"/>
        <v>1326594</v>
      </c>
    </row>
    <row r="45" spans="1:17" ht="30" customHeight="1" thickBot="1">
      <c r="A45" s="131" t="s">
        <v>375</v>
      </c>
      <c r="B45" s="134" t="s">
        <v>376</v>
      </c>
      <c r="C45" s="135" t="s">
        <v>377</v>
      </c>
      <c r="D45" s="125" t="s">
        <v>210</v>
      </c>
      <c r="E45" s="120" t="s">
        <v>224</v>
      </c>
      <c r="F45" s="121">
        <v>3242049</v>
      </c>
      <c r="G45" s="121"/>
      <c r="H45" s="121">
        <v>4335553</v>
      </c>
      <c r="I45" s="121">
        <v>4642049</v>
      </c>
      <c r="J45" s="121">
        <f>'O&amp;M_ 07 Act vs 10 budg'!J56+'O&amp;M_ 07 Act vs 10 budg'!J68+'O&amp;M_ 07 Act vs 10 budg'!J85+'O&amp;M_ 07 Act vs 10 budg'!J106</f>
        <v>4481900</v>
      </c>
      <c r="K45" s="121">
        <f>'O&amp;M_ 07 Act vs 10 budg'!M56+'O&amp;M_ 07 Act vs 10 budg'!M68+'O&amp;M_ 07 Act vs 10 budg'!M85+'O&amp;M_ 07 Act vs 10 budg'!M106</f>
        <v>6658310</v>
      </c>
      <c r="L45" s="122">
        <f>K45-J45</f>
        <v>2176410</v>
      </c>
      <c r="M45" s="123"/>
      <c r="O45" t="s">
        <v>245</v>
      </c>
      <c r="P45" s="155">
        <f t="shared" si="0"/>
        <v>2176410</v>
      </c>
      <c r="Q45" s="155">
        <f t="shared" si="1"/>
        <v>6658310</v>
      </c>
    </row>
    <row r="46" spans="1:17" ht="12.75">
      <c r="A46" s="3"/>
      <c r="B46" s="134"/>
      <c r="C46" s="135"/>
      <c r="D46" s="124" t="s">
        <v>234</v>
      </c>
      <c r="E46" s="116" t="s">
        <v>224</v>
      </c>
      <c r="F46" s="117">
        <f aca="true" t="shared" si="4" ref="F46:K46">SUM(F42:F45)</f>
        <v>5213237</v>
      </c>
      <c r="G46" s="117">
        <f t="shared" si="4"/>
        <v>0</v>
      </c>
      <c r="H46" s="117">
        <f t="shared" si="4"/>
        <v>5236592</v>
      </c>
      <c r="I46" s="117">
        <f t="shared" si="4"/>
        <v>7033869</v>
      </c>
      <c r="J46" s="117">
        <f t="shared" si="4"/>
        <v>5576948</v>
      </c>
      <c r="K46" s="117">
        <f t="shared" si="4"/>
        <v>8266923</v>
      </c>
      <c r="L46" s="118" t="s">
        <v>224</v>
      </c>
      <c r="M46" s="119">
        <f>SUM(L42:L45)</f>
        <v>2689975</v>
      </c>
      <c r="P46" s="155">
        <f t="shared" si="0"/>
      </c>
      <c r="Q46" s="155">
        <f t="shared" si="1"/>
      </c>
    </row>
    <row r="47" spans="4:17" ht="6.75" customHeight="1" thickBot="1">
      <c r="D47" s="7"/>
      <c r="E47" s="1"/>
      <c r="F47" s="58"/>
      <c r="P47" s="155">
        <f t="shared" si="0"/>
      </c>
      <c r="Q47" s="155">
        <f t="shared" si="1"/>
      </c>
    </row>
    <row r="48" spans="1:17" ht="25.5" customHeight="1" thickBot="1">
      <c r="A48" s="248" t="s">
        <v>366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9"/>
      <c r="P48" s="155">
        <f t="shared" si="0"/>
      </c>
      <c r="Q48" s="155">
        <f t="shared" si="1"/>
      </c>
    </row>
    <row r="49" spans="1:17" ht="30.75" customHeight="1" thickBot="1">
      <c r="A49" s="246" t="s">
        <v>364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54">
        <f>SUM(M46,M39,M34)</f>
        <v>2927896</v>
      </c>
      <c r="M49" s="255"/>
      <c r="P49" s="155">
        <f t="shared" si="0"/>
      </c>
      <c r="Q49" s="155">
        <f t="shared" si="1"/>
      </c>
    </row>
    <row r="50" spans="4:17" ht="3" customHeight="1">
      <c r="D50" s="7"/>
      <c r="E50" s="1"/>
      <c r="F50" s="1"/>
      <c r="P50" s="155">
        <f t="shared" si="0"/>
      </c>
      <c r="Q50" s="155">
        <f t="shared" si="1"/>
      </c>
    </row>
    <row r="51" spans="1:17" ht="26.25" customHeight="1">
      <c r="A51" s="252" t="s">
        <v>369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P51" s="155">
        <f t="shared" si="0"/>
      </c>
      <c r="Q51" s="155">
        <f t="shared" si="1"/>
      </c>
    </row>
    <row r="52" spans="1:17" ht="48.75" customHeight="1">
      <c r="A52" s="113" t="s">
        <v>342</v>
      </c>
      <c r="B52" s="113" t="s">
        <v>368</v>
      </c>
      <c r="C52" s="113" t="s">
        <v>332</v>
      </c>
      <c r="D52" s="113"/>
      <c r="E52" s="59" t="s">
        <v>223</v>
      </c>
      <c r="F52" s="59" t="s">
        <v>221</v>
      </c>
      <c r="G52" s="59" t="s">
        <v>169</v>
      </c>
      <c r="H52" s="59" t="s">
        <v>200</v>
      </c>
      <c r="I52" s="59" t="s">
        <v>168</v>
      </c>
      <c r="J52" s="59" t="s">
        <v>328</v>
      </c>
      <c r="K52" s="59" t="s">
        <v>331</v>
      </c>
      <c r="L52" s="59" t="s">
        <v>306</v>
      </c>
      <c r="M52" s="61" t="s">
        <v>233</v>
      </c>
      <c r="P52" s="155">
        <f t="shared" si="0"/>
      </c>
      <c r="Q52" s="155">
        <f t="shared" si="1"/>
      </c>
    </row>
    <row r="53" spans="1:17" ht="31.5">
      <c r="A53" s="3"/>
      <c r="B53" s="134"/>
      <c r="C53" s="135"/>
      <c r="D53" s="126" t="s">
        <v>349</v>
      </c>
      <c r="E53" s="5"/>
      <c r="F53" s="6"/>
      <c r="G53" s="6"/>
      <c r="H53" s="6"/>
      <c r="I53" s="6"/>
      <c r="J53" s="6"/>
      <c r="K53" s="6"/>
      <c r="L53" s="3"/>
      <c r="M53" s="3"/>
      <c r="P53" s="155">
        <f t="shared" si="0"/>
      </c>
      <c r="Q53" s="155">
        <f t="shared" si="1"/>
      </c>
    </row>
    <row r="54" spans="1:17" ht="30" customHeight="1">
      <c r="A54" s="3">
        <v>215</v>
      </c>
      <c r="B54" s="134">
        <v>568</v>
      </c>
      <c r="C54" s="135">
        <v>568000</v>
      </c>
      <c r="D54" s="84" t="s">
        <v>38</v>
      </c>
      <c r="E54" s="65" t="s">
        <v>224</v>
      </c>
      <c r="F54" s="6"/>
      <c r="G54" s="6"/>
      <c r="H54" s="6"/>
      <c r="I54" s="6"/>
      <c r="J54" s="6">
        <f>'O&amp;M_ 07 Act vs 10 budg'!J153</f>
        <v>105760</v>
      </c>
      <c r="K54" s="6">
        <f>'O&amp;M_ 07 Act vs 10 budg'!M153</f>
        <v>146358</v>
      </c>
      <c r="L54" s="60">
        <f>K54-J54</f>
        <v>40598</v>
      </c>
      <c r="M54" s="3"/>
      <c r="O54" t="s">
        <v>26</v>
      </c>
      <c r="P54" s="155">
        <f t="shared" si="0"/>
        <v>40598</v>
      </c>
      <c r="Q54" s="155">
        <f t="shared" si="1"/>
        <v>146358</v>
      </c>
    </row>
    <row r="55" spans="1:17" ht="30" customHeight="1">
      <c r="A55" s="3">
        <v>215</v>
      </c>
      <c r="B55" s="134" t="s">
        <v>378</v>
      </c>
      <c r="C55" s="135" t="s">
        <v>379</v>
      </c>
      <c r="D55" s="131" t="s">
        <v>54</v>
      </c>
      <c r="E55" s="65" t="s">
        <v>224</v>
      </c>
      <c r="F55" s="6"/>
      <c r="G55" s="6"/>
      <c r="H55" s="6"/>
      <c r="I55" s="6"/>
      <c r="J55" s="6">
        <f>'O&amp;M_ 07 Act vs 10 budg'!J133+'O&amp;M_ 07 Act vs 10 budg'!J134+'O&amp;M_ 07 Act vs 10 budg'!J181+'O&amp;M_ 07 Act vs 10 budg'!J191</f>
        <v>27885</v>
      </c>
      <c r="K55" s="6">
        <f>'O&amp;M_ 07 Act vs 10 budg'!M133+'O&amp;M_ 07 Act vs 10 budg'!M134+'O&amp;M_ 07 Act vs 10 budg'!M181+'O&amp;M_ 07 Act vs 10 budg'!M191</f>
        <v>28323</v>
      </c>
      <c r="L55" s="60">
        <f>K55-J55</f>
        <v>438</v>
      </c>
      <c r="M55" s="3"/>
      <c r="O55" t="s">
        <v>394</v>
      </c>
      <c r="P55" s="155">
        <f t="shared" si="0"/>
        <v>438</v>
      </c>
      <c r="Q55" s="155">
        <f t="shared" si="1"/>
        <v>28323</v>
      </c>
    </row>
    <row r="56" spans="1:17" ht="30" customHeight="1">
      <c r="A56" s="3">
        <v>215</v>
      </c>
      <c r="B56" s="134">
        <v>569</v>
      </c>
      <c r="C56" s="135" t="s">
        <v>348</v>
      </c>
      <c r="D56" s="131" t="s">
        <v>351</v>
      </c>
      <c r="E56" s="65" t="s">
        <v>224</v>
      </c>
      <c r="F56" s="80"/>
      <c r="G56" s="6"/>
      <c r="H56" s="6"/>
      <c r="I56" s="6"/>
      <c r="J56" s="6">
        <f>'O&amp;M_ 07 Act vs 10 budg'!J158+'O&amp;M_ 07 Act vs 10 budg'!J159+'O&amp;M_ 07 Act vs 10 budg'!J160</f>
        <v>176179</v>
      </c>
      <c r="K56" s="6">
        <f>'O&amp;M_ 07 Act vs 10 budg'!M158+'O&amp;M_ 07 Act vs 10 budg'!M159+'O&amp;M_ 07 Act vs 10 budg'!M160</f>
        <v>186749</v>
      </c>
      <c r="L56" s="60">
        <f>K56-J56</f>
        <v>10570</v>
      </c>
      <c r="M56" s="3"/>
      <c r="O56" t="s">
        <v>394</v>
      </c>
      <c r="P56" s="155">
        <f t="shared" si="0"/>
        <v>10570</v>
      </c>
      <c r="Q56" s="155">
        <f t="shared" si="1"/>
        <v>186749</v>
      </c>
    </row>
    <row r="57" spans="1:17" ht="30" customHeight="1" thickBot="1">
      <c r="A57" s="3">
        <v>215</v>
      </c>
      <c r="B57" s="134">
        <v>570</v>
      </c>
      <c r="C57" s="135" t="s">
        <v>353</v>
      </c>
      <c r="D57" s="84" t="s">
        <v>350</v>
      </c>
      <c r="E57" s="120" t="s">
        <v>224</v>
      </c>
      <c r="F57" s="121"/>
      <c r="G57" s="121"/>
      <c r="H57" s="121"/>
      <c r="I57" s="121"/>
      <c r="J57" s="121">
        <f>'O&amp;M_ 07 Act vs 10 budg'!J169+'O&amp;M_ 07 Act vs 10 budg'!J170</f>
        <v>93749</v>
      </c>
      <c r="K57" s="121">
        <f>'O&amp;M_ 07 Act vs 10 budg'!M169+'O&amp;M_ 07 Act vs 10 budg'!M170</f>
        <v>117374</v>
      </c>
      <c r="L57" s="122">
        <f>K57-J57</f>
        <v>23625</v>
      </c>
      <c r="M57" s="123"/>
      <c r="O57" t="s">
        <v>394</v>
      </c>
      <c r="P57" s="155">
        <f t="shared" si="0"/>
        <v>23625</v>
      </c>
      <c r="Q57" s="155">
        <f t="shared" si="1"/>
        <v>117374</v>
      </c>
    </row>
    <row r="58" spans="1:17" ht="12.75">
      <c r="A58" s="3"/>
      <c r="B58" s="134"/>
      <c r="C58" s="135"/>
      <c r="D58" s="124" t="s">
        <v>234</v>
      </c>
      <c r="E58" s="116" t="s">
        <v>224</v>
      </c>
      <c r="F58" s="117"/>
      <c r="G58" s="117"/>
      <c r="H58" s="117"/>
      <c r="I58" s="117"/>
      <c r="J58" s="117">
        <f>SUM(J54:J57)</f>
        <v>403573</v>
      </c>
      <c r="K58" s="117">
        <f>SUM(K54:K57)</f>
        <v>478804</v>
      </c>
      <c r="L58" s="118" t="s">
        <v>224</v>
      </c>
      <c r="M58" s="119">
        <f>SUM(L54:L57)</f>
        <v>75231</v>
      </c>
      <c r="P58" s="155">
        <f t="shared" si="0"/>
      </c>
      <c r="Q58" s="155">
        <f t="shared" si="1"/>
      </c>
    </row>
    <row r="59" spans="1:17" ht="12.75">
      <c r="A59" s="140"/>
      <c r="B59" s="141"/>
      <c r="C59" s="142"/>
      <c r="D59" s="143"/>
      <c r="E59" s="144"/>
      <c r="F59" s="145"/>
      <c r="G59" s="145"/>
      <c r="H59" s="145"/>
      <c r="I59" s="145"/>
      <c r="J59" s="145"/>
      <c r="K59" s="145"/>
      <c r="L59" s="146"/>
      <c r="M59" s="147"/>
      <c r="P59" s="155">
        <f t="shared" si="0"/>
      </c>
      <c r="Q59" s="155">
        <f t="shared" si="1"/>
      </c>
    </row>
    <row r="60" spans="1:17" ht="31.5">
      <c r="A60" s="3"/>
      <c r="B60" s="134"/>
      <c r="C60" s="135"/>
      <c r="D60" s="126" t="s">
        <v>352</v>
      </c>
      <c r="E60" s="81"/>
      <c r="F60" s="62"/>
      <c r="G60" s="62"/>
      <c r="H60" s="62"/>
      <c r="I60" s="62"/>
      <c r="J60" s="62"/>
      <c r="K60" s="62"/>
      <c r="L60" s="82"/>
      <c r="M60" s="83"/>
      <c r="P60" s="155">
        <f t="shared" si="0"/>
      </c>
      <c r="Q60" s="155">
        <f t="shared" si="1"/>
      </c>
    </row>
    <row r="61" spans="1:17" ht="30" customHeight="1">
      <c r="A61" s="3">
        <v>215</v>
      </c>
      <c r="B61" s="134">
        <v>590</v>
      </c>
      <c r="C61" s="135">
        <v>590000</v>
      </c>
      <c r="D61" s="84" t="s">
        <v>38</v>
      </c>
      <c r="E61" s="65" t="s">
        <v>224</v>
      </c>
      <c r="F61" s="62"/>
      <c r="G61" s="62"/>
      <c r="H61" s="62"/>
      <c r="I61" s="62"/>
      <c r="J61" s="62">
        <f>'O&amp;M_ 07 Act vs 10 budg'!J246</f>
        <v>102387</v>
      </c>
      <c r="K61" s="62">
        <f>'O&amp;M_ 07 Act vs 10 budg'!M246</f>
        <v>165384</v>
      </c>
      <c r="L61" s="60">
        <f>K61-J61</f>
        <v>62997</v>
      </c>
      <c r="M61" s="83"/>
      <c r="O61" t="s">
        <v>25</v>
      </c>
      <c r="P61" s="155">
        <f t="shared" si="0"/>
        <v>62997</v>
      </c>
      <c r="Q61" s="155">
        <f t="shared" si="1"/>
        <v>165384</v>
      </c>
    </row>
    <row r="62" spans="1:17" ht="30" customHeight="1">
      <c r="A62" s="3">
        <v>215</v>
      </c>
      <c r="B62" s="134" t="s">
        <v>381</v>
      </c>
      <c r="C62" s="135" t="s">
        <v>387</v>
      </c>
      <c r="D62" s="84" t="s">
        <v>388</v>
      </c>
      <c r="E62" s="65" t="s">
        <v>224</v>
      </c>
      <c r="F62" s="62"/>
      <c r="G62" s="62"/>
      <c r="H62" s="62"/>
      <c r="I62" s="62"/>
      <c r="J62" s="62">
        <f>'O&amp;M_ 07 Act vs 10 budg'!J204+'O&amp;M_ 07 Act vs 10 budg'!J209+'O&amp;M_ 07 Act vs 10 budg'!J195+'O&amp;M_ 07 Act vs 10 budg'!J267</f>
        <v>5005</v>
      </c>
      <c r="K62" s="62">
        <f>'O&amp;M_ 07 Act vs 10 budg'!M204+'O&amp;M_ 07 Act vs 10 budg'!M209+'O&amp;M_ 07 Act vs 10 budg'!M195+'O&amp;M_ 07 Act vs 10 budg'!M267</f>
        <v>32347</v>
      </c>
      <c r="L62" s="60">
        <f>K62-J62</f>
        <v>27342</v>
      </c>
      <c r="M62" s="83"/>
      <c r="O62" t="s">
        <v>394</v>
      </c>
      <c r="P62" s="155">
        <f t="shared" si="0"/>
        <v>27342</v>
      </c>
      <c r="Q62" s="155">
        <f t="shared" si="1"/>
        <v>32347</v>
      </c>
    </row>
    <row r="63" spans="1:17" ht="30" customHeight="1">
      <c r="A63" s="3">
        <v>215</v>
      </c>
      <c r="B63" s="134" t="s">
        <v>382</v>
      </c>
      <c r="C63" s="135" t="s">
        <v>383</v>
      </c>
      <c r="D63" s="84" t="s">
        <v>356</v>
      </c>
      <c r="E63" s="65" t="s">
        <v>224</v>
      </c>
      <c r="F63" s="62"/>
      <c r="G63" s="62"/>
      <c r="H63" s="62"/>
      <c r="I63" s="62"/>
      <c r="J63" s="62">
        <f>'O&amp;M_ 07 Act vs 10 budg'!J251+'O&amp;M_ 07 Act vs 10 budg'!J252+'O&amp;M_ 07 Act vs 10 budg'!J309</f>
        <v>79215</v>
      </c>
      <c r="K63" s="62">
        <f>'O&amp;M_ 07 Act vs 10 budg'!M251+'O&amp;M_ 07 Act vs 10 budg'!M252+'O&amp;M_ 07 Act vs 10 budg'!M309</f>
        <v>83570</v>
      </c>
      <c r="L63" s="60">
        <f>K63-J63</f>
        <v>4355</v>
      </c>
      <c r="M63" s="83"/>
      <c r="O63" t="s">
        <v>394</v>
      </c>
      <c r="P63" s="155">
        <f t="shared" si="0"/>
        <v>4355</v>
      </c>
      <c r="Q63" s="155">
        <f t="shared" si="1"/>
        <v>83570</v>
      </c>
    </row>
    <row r="64" spans="1:17" ht="30" customHeight="1">
      <c r="A64" s="3">
        <v>215</v>
      </c>
      <c r="B64" s="134">
        <v>592</v>
      </c>
      <c r="C64" s="135" t="s">
        <v>354</v>
      </c>
      <c r="D64" s="84" t="s">
        <v>357</v>
      </c>
      <c r="E64" s="65" t="s">
        <v>224</v>
      </c>
      <c r="F64" s="132"/>
      <c r="G64" s="132"/>
      <c r="H64" s="132"/>
      <c r="I64" s="132"/>
      <c r="J64" s="132">
        <f>'O&amp;M_ 07 Act vs 10 budg'!J258+'O&amp;M_ 07 Act vs 10 budg'!J259+'O&amp;M_ 07 Act vs 10 budg'!J260+'O&amp;M_ 07 Act vs 10 budg'!J261+'O&amp;M_ 07 Act vs 10 budg'!J262+'O&amp;M_ 07 Act vs 10 budg'!J263</f>
        <v>149235</v>
      </c>
      <c r="K64" s="132">
        <f>'O&amp;M_ 07 Act vs 10 budg'!M258+'O&amp;M_ 07 Act vs 10 budg'!M259+'O&amp;M_ 07 Act vs 10 budg'!M260+'O&amp;M_ 07 Act vs 10 budg'!M261+'O&amp;M_ 07 Act vs 10 budg'!M262+'O&amp;M_ 07 Act vs 10 budg'!M263</f>
        <v>188190</v>
      </c>
      <c r="L64" s="60">
        <f>K64-J64</f>
        <v>38955</v>
      </c>
      <c r="M64" s="133"/>
      <c r="O64" t="s">
        <v>394</v>
      </c>
      <c r="P64" s="155">
        <f t="shared" si="0"/>
        <v>38955</v>
      </c>
      <c r="Q64" s="155">
        <f t="shared" si="1"/>
        <v>188190</v>
      </c>
    </row>
    <row r="65" spans="1:17" ht="30" customHeight="1" thickBot="1">
      <c r="A65" s="3">
        <v>215</v>
      </c>
      <c r="B65" s="134">
        <v>595</v>
      </c>
      <c r="C65" s="135" t="s">
        <v>355</v>
      </c>
      <c r="D65" s="84" t="s">
        <v>358</v>
      </c>
      <c r="E65" s="120" t="s">
        <v>224</v>
      </c>
      <c r="F65" s="128"/>
      <c r="G65" s="128"/>
      <c r="H65" s="128"/>
      <c r="I65" s="128"/>
      <c r="J65" s="128">
        <f>'O&amp;M_ 07 Act vs 10 budg'!J287+'O&amp;M_ 07 Act vs 10 budg'!J289</f>
        <v>94729</v>
      </c>
      <c r="K65" s="128">
        <f>'O&amp;M_ 07 Act vs 10 budg'!M287+'O&amp;M_ 07 Act vs 10 budg'!M289</f>
        <v>100413</v>
      </c>
      <c r="L65" s="122">
        <f>K65-J65</f>
        <v>5684</v>
      </c>
      <c r="M65" s="129"/>
      <c r="O65" t="s">
        <v>394</v>
      </c>
      <c r="P65" s="155">
        <f t="shared" si="0"/>
        <v>5684</v>
      </c>
      <c r="Q65" s="155">
        <f t="shared" si="1"/>
        <v>100413</v>
      </c>
    </row>
    <row r="66" spans="1:17" ht="12.75">
      <c r="A66" s="3"/>
      <c r="B66" s="134"/>
      <c r="C66" s="135"/>
      <c r="D66" s="124" t="s">
        <v>234</v>
      </c>
      <c r="E66" s="116" t="s">
        <v>224</v>
      </c>
      <c r="F66" s="117"/>
      <c r="G66" s="117"/>
      <c r="H66" s="117"/>
      <c r="I66" s="117"/>
      <c r="J66" s="117">
        <f>SUM(J61:J65)</f>
        <v>430571</v>
      </c>
      <c r="K66" s="117">
        <f>SUM(K61:K65)</f>
        <v>569904</v>
      </c>
      <c r="L66" s="118" t="s">
        <v>224</v>
      </c>
      <c r="M66" s="119">
        <f>SUM(L61:L65)</f>
        <v>139333</v>
      </c>
      <c r="P66" s="155">
        <f t="shared" si="0"/>
      </c>
      <c r="Q66" s="155">
        <f t="shared" si="1"/>
      </c>
    </row>
    <row r="67" ht="13.5" thickBot="1"/>
    <row r="68" spans="1:13" ht="31.5" customHeight="1" thickBot="1">
      <c r="A68" s="248" t="s">
        <v>367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9"/>
    </row>
    <row r="69" spans="1:13" ht="30.75" customHeight="1" thickBot="1">
      <c r="A69" s="246" t="s">
        <v>364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54">
        <f>SUM(M58,M66)</f>
        <v>214564</v>
      </c>
      <c r="M69" s="255"/>
    </row>
    <row r="70" ht="0.75" customHeight="1"/>
    <row r="71" ht="0.75" customHeight="1"/>
    <row r="72" spans="6:13" ht="13.5" thickBot="1">
      <c r="F72" s="139">
        <f aca="true" t="shared" si="5" ref="F72:K72">SUM(F66,F58,F46,F39,F34,F23,F19,F10,F6)</f>
        <v>6362146</v>
      </c>
      <c r="G72" s="139">
        <f t="shared" si="5"/>
        <v>1684024</v>
      </c>
      <c r="H72" s="139">
        <f t="shared" si="5"/>
        <v>6160592</v>
      </c>
      <c r="I72" s="139">
        <f t="shared" si="5"/>
        <v>10351999</v>
      </c>
      <c r="J72" s="139">
        <f t="shared" si="5"/>
        <v>7896169</v>
      </c>
      <c r="K72" s="139">
        <f t="shared" si="5"/>
        <v>12382449</v>
      </c>
      <c r="L72" s="139"/>
      <c r="M72" s="139">
        <f>SUM(L69,L49,L26)</f>
        <v>4486280</v>
      </c>
    </row>
    <row r="73" spans="2:5" ht="21" thickBot="1">
      <c r="B73" s="246" t="s">
        <v>389</v>
      </c>
      <c r="C73" s="247"/>
      <c r="D73" s="152" t="s">
        <v>390</v>
      </c>
      <c r="E73" s="152" t="s">
        <v>398</v>
      </c>
    </row>
    <row r="74" spans="2:5" ht="21" thickBot="1">
      <c r="B74" s="246" t="s">
        <v>209</v>
      </c>
      <c r="C74" s="247"/>
      <c r="D74" s="152">
        <f>ROUND(SUMIF(O:O,"T",P:P),-3)</f>
        <v>401000</v>
      </c>
      <c r="E74" s="152">
        <f>ROUND(SUMIF(O:O,"T",Q:Q),-3)</f>
        <v>507000</v>
      </c>
    </row>
    <row r="75" spans="2:5" ht="21" thickBot="1">
      <c r="B75" s="246" t="s">
        <v>208</v>
      </c>
      <c r="C75" s="247"/>
      <c r="D75" s="152">
        <f>ROUND(SUMIF(O:O,"S",P:P),-3)</f>
        <v>616000</v>
      </c>
      <c r="E75" s="152">
        <f>ROUND(SUMIF(O:O,"S",Q:Q),-3)</f>
        <v>2073000</v>
      </c>
    </row>
    <row r="76" spans="2:9" ht="21" thickBot="1">
      <c r="B76" s="246" t="s">
        <v>210</v>
      </c>
      <c r="C76" s="247"/>
      <c r="D76" s="152">
        <f>ROUND(SUMIF(O:O,"D",P:P),-3)</f>
        <v>458000</v>
      </c>
      <c r="E76" s="152">
        <f>ROUND(SUMIF(O:O,"D",Q:Q),-3)</f>
        <v>569000</v>
      </c>
      <c r="G76" t="s">
        <v>210</v>
      </c>
      <c r="H76" t="s">
        <v>209</v>
      </c>
      <c r="I76" t="s">
        <v>403</v>
      </c>
    </row>
    <row r="77" spans="2:9" ht="21" thickBot="1">
      <c r="B77" s="246" t="s">
        <v>391</v>
      </c>
      <c r="C77" s="247"/>
      <c r="D77" s="152">
        <f>ROUND(SUMIF(O:O,"V",P:P),-3)</f>
        <v>2690000</v>
      </c>
      <c r="E77" s="152">
        <f>ROUND(SUMIF(O:O,"V",Q:Q),-3)</f>
        <v>8267000</v>
      </c>
      <c r="G77" s="139">
        <f>SUM(K42,K45)</f>
        <v>6913739</v>
      </c>
      <c r="H77" s="139">
        <f>K44+K43</f>
        <v>1353184</v>
      </c>
      <c r="I77" s="139">
        <f>H77+G77-E77</f>
        <v>-77</v>
      </c>
    </row>
    <row r="78" spans="2:5" ht="21" customHeight="1" thickBot="1">
      <c r="B78" s="246" t="s">
        <v>397</v>
      </c>
      <c r="C78" s="247" t="s">
        <v>397</v>
      </c>
      <c r="D78" s="152">
        <f>ROUND(SUMIF(O:O,"WPM",P:P),-3)</f>
        <v>207000</v>
      </c>
      <c r="E78" s="152">
        <f>ROUND(SUMIF(O:O,"WPM",Q:Q),-3)</f>
        <v>852000</v>
      </c>
    </row>
    <row r="79" spans="2:5" ht="21" thickBot="1">
      <c r="B79" s="246" t="s">
        <v>211</v>
      </c>
      <c r="C79" s="247"/>
      <c r="D79" s="152">
        <f>ROUND(SUMIF(O:O,R6,P:P),-3)</f>
        <v>114000</v>
      </c>
      <c r="E79" s="152">
        <f>ROUND(SUMIF(O:O,"Network",Q:Q),-3)</f>
        <v>114000</v>
      </c>
    </row>
    <row r="80" spans="2:5" ht="21" thickBot="1">
      <c r="B80" s="246" t="s">
        <v>392</v>
      </c>
      <c r="C80" s="247"/>
      <c r="D80" s="152">
        <f>SUMIF(O:O,R5,P:P)</f>
        <v>0</v>
      </c>
      <c r="E80" s="152">
        <f>ROUND(SUMIF(O:O,"Other",Q:Q),-3)</f>
        <v>0</v>
      </c>
    </row>
    <row r="81" spans="2:5" ht="21" thickBot="1">
      <c r="B81" s="246" t="s">
        <v>312</v>
      </c>
      <c r="C81" s="247"/>
      <c r="D81" s="152">
        <f>SUM(D74:D80)</f>
        <v>4486000</v>
      </c>
      <c r="E81" s="152">
        <f>SUM(E74:E80)</f>
        <v>12382000</v>
      </c>
    </row>
    <row r="82" spans="3:4" ht="12.75">
      <c r="C82" s="235" t="s">
        <v>474</v>
      </c>
      <c r="D82" s="236">
        <f>L42</f>
        <v>142028</v>
      </c>
    </row>
    <row r="83" spans="3:4" ht="12.75">
      <c r="C83" s="235" t="s">
        <v>473</v>
      </c>
      <c r="D83" s="236">
        <f>D81-D82</f>
        <v>4343972</v>
      </c>
    </row>
    <row r="84" ht="13.5" thickBot="1">
      <c r="D84" s="237">
        <f>SUM(D82:D83)</f>
        <v>4486000</v>
      </c>
    </row>
    <row r="85" ht="13.5" thickTop="1"/>
  </sheetData>
  <mergeCells count="20">
    <mergeCell ref="L49:M49"/>
    <mergeCell ref="L26:M26"/>
    <mergeCell ref="A69:K69"/>
    <mergeCell ref="L69:M69"/>
    <mergeCell ref="A49:K49"/>
    <mergeCell ref="A51:M51"/>
    <mergeCell ref="A68:M68"/>
    <mergeCell ref="A25:M25"/>
    <mergeCell ref="A26:I26"/>
    <mergeCell ref="A28:M28"/>
    <mergeCell ref="A48:M48"/>
    <mergeCell ref="B73:C73"/>
    <mergeCell ref="B74:C74"/>
    <mergeCell ref="B75:C75"/>
    <mergeCell ref="B76:C76"/>
    <mergeCell ref="B77:C77"/>
    <mergeCell ref="B79:C79"/>
    <mergeCell ref="B80:C80"/>
    <mergeCell ref="B81:C81"/>
    <mergeCell ref="B78:C78"/>
  </mergeCells>
  <dataValidations count="1">
    <dataValidation type="list" allowBlank="1" showInputMessage="1" showErrorMessage="1" sqref="O1:O65536">
      <formula1>$R$2:$R$9</formula1>
    </dataValidation>
  </dataValidations>
  <printOptions/>
  <pageMargins left="0.92" right="0.32" top="0.92" bottom="1" header="0.3" footer="0.5"/>
  <pageSetup fitToHeight="1" fitToWidth="1" horizontalDpi="600" verticalDpi="600" orientation="portrait" paperSize="3" scale="56" r:id="rId3"/>
  <headerFooter alignWithMargins="0">
    <oddHeader>&amp;C&amp;Z&amp;F</oddHeader>
    <oddFooter>&amp;Lgmm9385&amp;CPage &amp;P&amp;R&amp;T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0"/>
  <sheetViews>
    <sheetView view="pageBreakPreview" zoomScaleSheetLayoutView="100" workbookViewId="0" topLeftCell="A1">
      <pane xSplit="5" ySplit="8" topLeftCell="J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5" sqref="C5:D5"/>
    </sheetView>
  </sheetViews>
  <sheetFormatPr defaultColWidth="9.00390625" defaultRowHeight="12.75"/>
  <cols>
    <col min="1" max="1" width="5.00390625" style="9" customWidth="1"/>
    <col min="2" max="2" width="7.125" style="9" bestFit="1" customWidth="1"/>
    <col min="3" max="3" width="8.625" style="9" customWidth="1"/>
    <col min="4" max="4" width="8.75390625" style="15" customWidth="1"/>
    <col min="5" max="5" width="30.375" style="15" customWidth="1"/>
    <col min="6" max="6" width="14.75390625" style="15" hidden="1" customWidth="1"/>
    <col min="7" max="8" width="13.75390625" style="15" hidden="1" customWidth="1"/>
    <col min="9" max="9" width="12.00390625" style="15" hidden="1" customWidth="1"/>
    <col min="10" max="10" width="12.00390625" style="15" customWidth="1"/>
    <col min="11" max="11" width="3.125" style="13" customWidth="1"/>
    <col min="12" max="12" width="13.625" style="13" customWidth="1"/>
    <col min="13" max="13" width="12.375" style="15" customWidth="1"/>
    <col min="14" max="14" width="13.25390625" style="54" customWidth="1"/>
    <col min="15" max="15" width="12.875" style="55" customWidth="1"/>
    <col min="16" max="16" width="2.625" style="55" customWidth="1"/>
    <col min="17" max="19" width="11.375" style="15" customWidth="1"/>
    <col min="20" max="20" width="15.75390625" style="15" customWidth="1"/>
    <col min="21" max="21" width="11.125" style="15" bestFit="1" customWidth="1"/>
    <col min="22" max="16384" width="11.375" style="15" customWidth="1"/>
  </cols>
  <sheetData>
    <row r="1" spans="1:16" ht="15.75">
      <c r="A1" s="69" t="s">
        <v>243</v>
      </c>
      <c r="B1" s="10"/>
      <c r="C1" s="11"/>
      <c r="D1" s="12"/>
      <c r="E1" s="56" t="s">
        <v>24</v>
      </c>
      <c r="F1" s="57"/>
      <c r="G1" s="57"/>
      <c r="H1" s="57"/>
      <c r="I1" s="57"/>
      <c r="J1" s="57"/>
      <c r="M1" s="12"/>
      <c r="N1" s="12"/>
      <c r="O1" s="14"/>
      <c r="P1" s="14"/>
    </row>
    <row r="2" spans="1:16" ht="15.75">
      <c r="A2" s="273"/>
      <c r="B2" s="274"/>
      <c r="C2" s="11" t="s">
        <v>209</v>
      </c>
      <c r="D2" s="12"/>
      <c r="E2" s="56" t="s">
        <v>19</v>
      </c>
      <c r="F2" s="57"/>
      <c r="G2" s="57"/>
      <c r="H2" s="57"/>
      <c r="I2" s="57"/>
      <c r="J2" s="57"/>
      <c r="M2" s="12"/>
      <c r="N2" s="12"/>
      <c r="O2" s="14"/>
      <c r="P2" s="14"/>
    </row>
    <row r="3" spans="1:16" ht="15.75">
      <c r="A3" s="275"/>
      <c r="B3" s="276"/>
      <c r="C3" s="11" t="s">
        <v>208</v>
      </c>
      <c r="D3" s="12"/>
      <c r="E3" s="56" t="s">
        <v>317</v>
      </c>
      <c r="F3" s="57"/>
      <c r="G3" s="57"/>
      <c r="H3" s="57"/>
      <c r="I3" s="57"/>
      <c r="J3" s="57"/>
      <c r="M3" s="12"/>
      <c r="N3" s="12"/>
      <c r="O3" s="14"/>
      <c r="P3" s="14"/>
    </row>
    <row r="4" spans="1:16" ht="24" customHeight="1">
      <c r="A4" s="277"/>
      <c r="B4" s="278"/>
      <c r="C4" s="11" t="s">
        <v>210</v>
      </c>
      <c r="D4" s="12"/>
      <c r="E4" s="56" t="s">
        <v>112</v>
      </c>
      <c r="F4" s="57"/>
      <c r="G4" s="57"/>
      <c r="H4" s="57"/>
      <c r="I4" s="57"/>
      <c r="J4" s="57"/>
      <c r="M4" s="12"/>
      <c r="N4" s="12"/>
      <c r="O4" s="14"/>
      <c r="P4" s="14"/>
    </row>
    <row r="5" spans="1:16" ht="52.5" customHeight="1">
      <c r="A5" s="279"/>
      <c r="B5" s="280"/>
      <c r="C5" s="271" t="s">
        <v>244</v>
      </c>
      <c r="D5" s="272"/>
      <c r="E5" s="16"/>
      <c r="F5" s="16"/>
      <c r="M5" s="17"/>
      <c r="N5" s="17"/>
      <c r="O5" s="18"/>
      <c r="P5" s="18"/>
    </row>
    <row r="6" spans="1:21" ht="16.5" thickBot="1">
      <c r="A6" s="17"/>
      <c r="E6" s="281" t="s">
        <v>27</v>
      </c>
      <c r="F6" s="281"/>
      <c r="G6" s="281"/>
      <c r="H6" s="281"/>
      <c r="I6" s="17"/>
      <c r="J6" s="17"/>
      <c r="N6" s="17"/>
      <c r="O6" s="18"/>
      <c r="P6" s="18"/>
      <c r="T6" s="92"/>
      <c r="U6" s="92"/>
    </row>
    <row r="7" spans="1:22" ht="12.75">
      <c r="A7" s="17" t="s">
        <v>20</v>
      </c>
      <c r="B7" s="17"/>
      <c r="F7" s="17">
        <v>2005</v>
      </c>
      <c r="G7" s="17">
        <v>2006</v>
      </c>
      <c r="H7" s="17">
        <v>2007</v>
      </c>
      <c r="I7" s="17">
        <v>2008</v>
      </c>
      <c r="J7" s="104">
        <v>2009</v>
      </c>
      <c r="K7" s="269" t="s">
        <v>104</v>
      </c>
      <c r="L7" s="66"/>
      <c r="M7" s="17">
        <v>2010</v>
      </c>
      <c r="N7" s="17" t="s">
        <v>164</v>
      </c>
      <c r="O7" s="19" t="s">
        <v>102</v>
      </c>
      <c r="P7" s="269" t="s">
        <v>104</v>
      </c>
      <c r="R7" s="15">
        <v>2008</v>
      </c>
      <c r="S7" s="88"/>
      <c r="T7" s="94" t="s">
        <v>311</v>
      </c>
      <c r="U7" s="95"/>
      <c r="V7" s="90"/>
    </row>
    <row r="8" spans="1:22" ht="23.25" customHeight="1">
      <c r="A8" s="20" t="s">
        <v>21</v>
      </c>
      <c r="B8" s="20"/>
      <c r="F8" s="17" t="s">
        <v>22</v>
      </c>
      <c r="G8" s="17" t="s">
        <v>22</v>
      </c>
      <c r="H8" s="17" t="s">
        <v>22</v>
      </c>
      <c r="I8" s="17" t="s">
        <v>216</v>
      </c>
      <c r="J8" s="105" t="s">
        <v>363</v>
      </c>
      <c r="K8" s="270"/>
      <c r="L8" s="67"/>
      <c r="M8" s="17" t="s">
        <v>13</v>
      </c>
      <c r="N8" s="17" t="s">
        <v>318</v>
      </c>
      <c r="O8" s="18" t="s">
        <v>231</v>
      </c>
      <c r="P8" s="270"/>
      <c r="Q8" s="15" t="s">
        <v>310</v>
      </c>
      <c r="R8" s="15" t="s">
        <v>216</v>
      </c>
      <c r="S8" s="88"/>
      <c r="T8" s="96" t="s">
        <v>310</v>
      </c>
      <c r="U8" s="97" t="s">
        <v>312</v>
      </c>
      <c r="V8" s="90"/>
    </row>
    <row r="9" spans="1:22" ht="20.25">
      <c r="A9" s="17">
        <v>1</v>
      </c>
      <c r="B9" s="20"/>
      <c r="C9" s="2" t="s">
        <v>401</v>
      </c>
      <c r="F9" s="21"/>
      <c r="G9" s="21"/>
      <c r="H9" s="21"/>
      <c r="I9" s="21"/>
      <c r="J9" s="21"/>
      <c r="K9" s="22"/>
      <c r="L9" s="22"/>
      <c r="M9" s="21"/>
      <c r="N9" s="21"/>
      <c r="O9" s="21"/>
      <c r="P9" s="21"/>
      <c r="S9" s="88"/>
      <c r="T9" s="98">
        <v>56</v>
      </c>
      <c r="U9" s="99"/>
      <c r="V9" s="90"/>
    </row>
    <row r="10" spans="1:22" s="25" customFormat="1" ht="12.75">
      <c r="A10" s="17">
        <v>2</v>
      </c>
      <c r="B10" s="23">
        <f>IF(C10="",B9,VALUE(LEFT(C10,3)))</f>
        <v>560</v>
      </c>
      <c r="C10" s="24" t="s">
        <v>159</v>
      </c>
      <c r="F10" s="21"/>
      <c r="G10" s="21"/>
      <c r="H10" s="21"/>
      <c r="I10" s="21"/>
      <c r="J10" s="21"/>
      <c r="K10" s="26"/>
      <c r="L10" s="26"/>
      <c r="M10" s="21"/>
      <c r="N10" s="21"/>
      <c r="O10" s="21"/>
      <c r="P10" s="21"/>
      <c r="Q10" s="25">
        <v>560</v>
      </c>
      <c r="S10" s="89"/>
      <c r="T10" s="98">
        <v>560</v>
      </c>
      <c r="U10" s="99">
        <v>2379</v>
      </c>
      <c r="V10" s="91"/>
    </row>
    <row r="11" spans="1:22" s="25" customFormat="1" ht="12.75">
      <c r="A11" s="17">
        <v>3</v>
      </c>
      <c r="B11" s="23">
        <f aca="true" t="shared" si="0" ref="B11:B74">IF(C11="",B10,VALUE(LEFT(C11,3)))</f>
        <v>560</v>
      </c>
      <c r="C11" s="27">
        <v>560000</v>
      </c>
      <c r="D11" s="25" t="s">
        <v>160</v>
      </c>
      <c r="F11" s="21">
        <v>145</v>
      </c>
      <c r="G11" s="21"/>
      <c r="H11" s="21">
        <v>4440</v>
      </c>
      <c r="I11" s="21"/>
      <c r="J11" s="21">
        <v>0</v>
      </c>
      <c r="K11" s="28"/>
      <c r="L11" s="28"/>
      <c r="M11" s="21"/>
      <c r="N11" s="21"/>
      <c r="O11" s="21"/>
      <c r="P11" s="21"/>
      <c r="Q11" s="25">
        <v>560</v>
      </c>
      <c r="S11" s="89"/>
      <c r="T11" s="98">
        <v>561</v>
      </c>
      <c r="U11" s="99">
        <v>0</v>
      </c>
      <c r="V11" s="91"/>
    </row>
    <row r="12" spans="1:22" s="25" customFormat="1" ht="12.75">
      <c r="A12" s="17">
        <v>4</v>
      </c>
      <c r="B12" s="23">
        <f t="shared" si="0"/>
        <v>560</v>
      </c>
      <c r="C12" s="27"/>
      <c r="E12" s="25" t="s">
        <v>217</v>
      </c>
      <c r="F12" s="21">
        <f>SUM(F11)</f>
        <v>145</v>
      </c>
      <c r="G12" s="21">
        <f>SUM(G11)</f>
        <v>0</v>
      </c>
      <c r="H12" s="21">
        <f>SUM(H11)</f>
        <v>4440</v>
      </c>
      <c r="I12" s="21">
        <v>0</v>
      </c>
      <c r="J12" s="21">
        <v>0</v>
      </c>
      <c r="K12" s="26"/>
      <c r="L12" s="26"/>
      <c r="M12" s="21">
        <v>0</v>
      </c>
      <c r="N12" s="71">
        <f>M12-J12</f>
        <v>0</v>
      </c>
      <c r="O12" s="21"/>
      <c r="P12" s="21"/>
      <c r="Q12" s="25">
        <v>560</v>
      </c>
      <c r="R12" s="25">
        <v>0</v>
      </c>
      <c r="S12" s="89"/>
      <c r="T12" s="98">
        <v>562</v>
      </c>
      <c r="U12" s="99">
        <v>16749</v>
      </c>
      <c r="V12" s="91"/>
    </row>
    <row r="13" spans="1:22" s="25" customFormat="1" ht="12.75">
      <c r="A13" s="17">
        <v>5</v>
      </c>
      <c r="B13" s="23">
        <f t="shared" si="0"/>
        <v>560</v>
      </c>
      <c r="C13" s="27"/>
      <c r="F13" s="21"/>
      <c r="G13" s="21"/>
      <c r="H13" s="21"/>
      <c r="I13" s="21"/>
      <c r="J13" s="21"/>
      <c r="K13" s="26"/>
      <c r="L13" s="26"/>
      <c r="M13" s="21"/>
      <c r="N13" s="21"/>
      <c r="O13" s="21"/>
      <c r="P13" s="21"/>
      <c r="Q13" s="25">
        <v>560</v>
      </c>
      <c r="S13" s="89"/>
      <c r="T13" s="98">
        <v>563</v>
      </c>
      <c r="U13" s="99">
        <v>41600</v>
      </c>
      <c r="V13" s="91"/>
    </row>
    <row r="14" spans="1:22" s="25" customFormat="1" ht="12.75">
      <c r="A14" s="17">
        <v>6</v>
      </c>
      <c r="B14" s="23">
        <f t="shared" si="0"/>
        <v>561</v>
      </c>
      <c r="C14" s="24" t="s">
        <v>146</v>
      </c>
      <c r="F14" s="21"/>
      <c r="G14" s="21"/>
      <c r="H14" s="21"/>
      <c r="I14" s="21"/>
      <c r="J14" s="21"/>
      <c r="K14" s="26"/>
      <c r="L14" s="26"/>
      <c r="M14" s="21"/>
      <c r="N14" s="21"/>
      <c r="O14" s="21"/>
      <c r="P14" s="21"/>
      <c r="Q14" s="25">
        <v>561</v>
      </c>
      <c r="S14" s="89"/>
      <c r="T14" s="98">
        <v>566</v>
      </c>
      <c r="U14" s="99">
        <v>0</v>
      </c>
      <c r="V14" s="91"/>
    </row>
    <row r="15" spans="1:22" s="25" customFormat="1" ht="12.75">
      <c r="A15" s="17">
        <v>7</v>
      </c>
      <c r="B15" s="23">
        <f t="shared" si="0"/>
        <v>561</v>
      </c>
      <c r="C15" s="27">
        <v>561010</v>
      </c>
      <c r="D15" s="25" t="s">
        <v>147</v>
      </c>
      <c r="F15" s="21"/>
      <c r="G15" s="21"/>
      <c r="H15" s="21">
        <v>84</v>
      </c>
      <c r="I15" s="21"/>
      <c r="J15" s="21"/>
      <c r="K15" s="28"/>
      <c r="L15" s="28"/>
      <c r="M15" s="21"/>
      <c r="N15" s="21"/>
      <c r="O15" s="21"/>
      <c r="P15" s="21"/>
      <c r="Q15" s="25">
        <v>561</v>
      </c>
      <c r="S15" s="89"/>
      <c r="T15" s="98">
        <v>567</v>
      </c>
      <c r="U15" s="99">
        <v>0</v>
      </c>
      <c r="V15" s="91"/>
    </row>
    <row r="16" spans="1:22" s="25" customFormat="1" ht="12.75">
      <c r="A16" s="17">
        <v>8</v>
      </c>
      <c r="B16" s="23">
        <f t="shared" si="0"/>
        <v>561</v>
      </c>
      <c r="C16" s="27"/>
      <c r="E16" s="25" t="s">
        <v>217</v>
      </c>
      <c r="F16" s="21">
        <f>SUM(F15)</f>
        <v>0</v>
      </c>
      <c r="G16" s="21">
        <f>SUM(G15)</f>
        <v>0</v>
      </c>
      <c r="H16" s="21">
        <f>SUM(H15)</f>
        <v>84</v>
      </c>
      <c r="I16" s="21">
        <v>0</v>
      </c>
      <c r="J16" s="21">
        <v>0</v>
      </c>
      <c r="K16" s="26"/>
      <c r="L16" s="26"/>
      <c r="M16" s="21">
        <f>I16*1.035</f>
        <v>0</v>
      </c>
      <c r="N16" s="71">
        <f>M16-J16</f>
        <v>0</v>
      </c>
      <c r="O16" s="21"/>
      <c r="P16" s="21"/>
      <c r="Q16" s="25">
        <v>561</v>
      </c>
      <c r="R16" s="25">
        <v>0</v>
      </c>
      <c r="S16" s="89"/>
      <c r="T16" s="98">
        <v>568</v>
      </c>
      <c r="U16" s="99">
        <v>211877</v>
      </c>
      <c r="V16" s="91"/>
    </row>
    <row r="17" spans="1:22" s="25" customFormat="1" ht="12.75">
      <c r="A17" s="17">
        <v>9</v>
      </c>
      <c r="B17" s="23">
        <f t="shared" si="0"/>
        <v>561</v>
      </c>
      <c r="C17" s="27"/>
      <c r="F17" s="21"/>
      <c r="G17" s="21"/>
      <c r="H17" s="21"/>
      <c r="I17" s="21"/>
      <c r="J17" s="21"/>
      <c r="K17" s="26"/>
      <c r="L17" s="26"/>
      <c r="M17" s="21"/>
      <c r="N17" s="21"/>
      <c r="O17" s="21"/>
      <c r="P17" s="21"/>
      <c r="Q17" s="25">
        <v>561</v>
      </c>
      <c r="S17" s="89"/>
      <c r="T17" s="98">
        <v>569</v>
      </c>
      <c r="U17" s="99">
        <v>176704</v>
      </c>
      <c r="V17" s="91"/>
    </row>
    <row r="18" spans="1:22" s="25" customFormat="1" ht="12.75">
      <c r="A18" s="17">
        <v>10</v>
      </c>
      <c r="B18" s="23">
        <f t="shared" si="0"/>
        <v>563</v>
      </c>
      <c r="C18" s="24" t="s">
        <v>81</v>
      </c>
      <c r="F18" s="21"/>
      <c r="G18" s="21"/>
      <c r="H18" s="21"/>
      <c r="I18" s="21"/>
      <c r="J18" s="21"/>
      <c r="K18" s="26"/>
      <c r="L18" s="26"/>
      <c r="M18" s="21"/>
      <c r="N18" s="21"/>
      <c r="O18" s="21"/>
      <c r="P18" s="21"/>
      <c r="Q18" s="25">
        <v>563</v>
      </c>
      <c r="S18" s="89"/>
      <c r="T18" s="98">
        <v>570</v>
      </c>
      <c r="U18" s="99">
        <v>384764</v>
      </c>
      <c r="V18" s="91"/>
    </row>
    <row r="19" spans="1:22" s="25" customFormat="1" ht="12.75">
      <c r="A19" s="17">
        <v>11</v>
      </c>
      <c r="B19" s="23">
        <f t="shared" si="0"/>
        <v>563</v>
      </c>
      <c r="C19" s="29">
        <v>563000</v>
      </c>
      <c r="D19" s="30" t="s">
        <v>82</v>
      </c>
      <c r="F19" s="21">
        <v>25863</v>
      </c>
      <c r="G19" s="31">
        <f>'[2]O&amp;M Cost By FERC'!$H$16</f>
        <v>20609</v>
      </c>
      <c r="H19" s="31">
        <v>14417</v>
      </c>
      <c r="I19" s="31"/>
      <c r="J19" s="31">
        <v>16624</v>
      </c>
      <c r="K19" s="28"/>
      <c r="L19" s="28"/>
      <c r="M19" s="31"/>
      <c r="N19" s="31"/>
      <c r="O19" s="31"/>
      <c r="P19" s="31"/>
      <c r="Q19" s="25">
        <v>563</v>
      </c>
      <c r="S19" s="89"/>
      <c r="T19" s="98">
        <v>571</v>
      </c>
      <c r="U19" s="99">
        <v>1047929</v>
      </c>
      <c r="V19" s="91"/>
    </row>
    <row r="20" spans="1:22" s="25" customFormat="1" ht="12.75">
      <c r="A20" s="17">
        <v>12</v>
      </c>
      <c r="B20" s="23">
        <f t="shared" si="0"/>
        <v>563</v>
      </c>
      <c r="C20" s="27"/>
      <c r="E20" s="25" t="s">
        <v>217</v>
      </c>
      <c r="F20" s="21">
        <f>SUM(F19)</f>
        <v>25863</v>
      </c>
      <c r="G20" s="21">
        <f>SUM(G19)</f>
        <v>20609</v>
      </c>
      <c r="H20" s="21">
        <f>SUM(H19)</f>
        <v>14417</v>
      </c>
      <c r="I20" s="31">
        <v>41600</v>
      </c>
      <c r="J20" s="31">
        <f>SUM(J19)</f>
        <v>16624</v>
      </c>
      <c r="K20" s="28"/>
      <c r="L20" s="28"/>
      <c r="M20" s="21">
        <v>26590</v>
      </c>
      <c r="N20" s="71">
        <f>M20-J20</f>
        <v>9966</v>
      </c>
      <c r="O20" s="31"/>
      <c r="P20" s="31"/>
      <c r="Q20" s="25">
        <v>563</v>
      </c>
      <c r="R20" s="25">
        <v>41600</v>
      </c>
      <c r="S20" s="89"/>
      <c r="T20" s="98">
        <v>572</v>
      </c>
      <c r="U20" s="99">
        <v>0</v>
      </c>
      <c r="V20" s="91"/>
    </row>
    <row r="21" spans="1:22" s="25" customFormat="1" ht="12.75">
      <c r="A21" s="17">
        <v>13</v>
      </c>
      <c r="B21" s="23">
        <f t="shared" si="0"/>
        <v>563</v>
      </c>
      <c r="C21" s="27"/>
      <c r="F21" s="21"/>
      <c r="G21" s="31"/>
      <c r="H21" s="31"/>
      <c r="I21" s="31"/>
      <c r="J21" s="31"/>
      <c r="K21" s="28"/>
      <c r="L21" s="28"/>
      <c r="M21" s="31"/>
      <c r="N21" s="31"/>
      <c r="O21" s="31"/>
      <c r="P21" s="31"/>
      <c r="Q21" s="25">
        <v>563</v>
      </c>
      <c r="S21" s="89"/>
      <c r="T21" s="98">
        <v>573</v>
      </c>
      <c r="U21" s="99">
        <v>0</v>
      </c>
      <c r="V21" s="91"/>
    </row>
    <row r="22" spans="1:22" s="25" customFormat="1" ht="12.75">
      <c r="A22" s="17">
        <v>14</v>
      </c>
      <c r="B22" s="23">
        <f t="shared" si="0"/>
        <v>566</v>
      </c>
      <c r="C22" s="24" t="s">
        <v>161</v>
      </c>
      <c r="F22" s="21"/>
      <c r="G22" s="31"/>
      <c r="H22" s="31"/>
      <c r="I22" s="31"/>
      <c r="J22" s="31"/>
      <c r="K22" s="28"/>
      <c r="L22" s="28"/>
      <c r="M22" s="31"/>
      <c r="N22" s="31"/>
      <c r="O22" s="31"/>
      <c r="P22" s="31"/>
      <c r="Q22" s="25">
        <v>566</v>
      </c>
      <c r="S22" s="89"/>
      <c r="T22" s="98">
        <v>580</v>
      </c>
      <c r="U22" s="99">
        <v>0</v>
      </c>
      <c r="V22" s="91"/>
    </row>
    <row r="23" spans="1:22" s="25" customFormat="1" ht="12.75">
      <c r="A23" s="17">
        <v>15</v>
      </c>
      <c r="B23" s="23">
        <f t="shared" si="0"/>
        <v>566</v>
      </c>
      <c r="C23" s="27">
        <v>566000</v>
      </c>
      <c r="D23" s="25" t="s">
        <v>162</v>
      </c>
      <c r="F23" s="21">
        <v>0</v>
      </c>
      <c r="G23" s="31">
        <v>115</v>
      </c>
      <c r="H23" s="31">
        <v>500</v>
      </c>
      <c r="I23" s="31"/>
      <c r="J23" s="31">
        <v>0</v>
      </c>
      <c r="K23" s="28"/>
      <c r="L23" s="28"/>
      <c r="M23" s="31"/>
      <c r="N23" s="31"/>
      <c r="O23" s="31"/>
      <c r="P23" s="31"/>
      <c r="Q23" s="25">
        <v>566</v>
      </c>
      <c r="S23" s="89"/>
      <c r="T23" s="98">
        <v>582</v>
      </c>
      <c r="U23" s="99">
        <v>11700</v>
      </c>
      <c r="V23" s="91"/>
    </row>
    <row r="24" spans="1:22" s="25" customFormat="1" ht="12.75">
      <c r="A24" s="17">
        <v>16</v>
      </c>
      <c r="B24" s="23">
        <f t="shared" si="0"/>
        <v>566</v>
      </c>
      <c r="C24" s="27"/>
      <c r="E24" s="25" t="s">
        <v>217</v>
      </c>
      <c r="F24" s="21">
        <f>SUM(F23)</f>
        <v>0</v>
      </c>
      <c r="G24" s="21">
        <f>SUM(G23)</f>
        <v>115</v>
      </c>
      <c r="H24" s="21">
        <f>SUM(H23)</f>
        <v>500</v>
      </c>
      <c r="I24" s="31">
        <v>0</v>
      </c>
      <c r="J24" s="31">
        <v>0</v>
      </c>
      <c r="K24" s="28"/>
      <c r="L24" s="28"/>
      <c r="M24" s="21">
        <f>I24*1.035</f>
        <v>0</v>
      </c>
      <c r="N24" s="71">
        <f>M24-J24</f>
        <v>0</v>
      </c>
      <c r="O24" s="31"/>
      <c r="P24" s="31"/>
      <c r="Q24" s="25">
        <v>566</v>
      </c>
      <c r="R24" s="25">
        <v>0</v>
      </c>
      <c r="S24" s="89"/>
      <c r="T24" s="98">
        <v>583</v>
      </c>
      <c r="U24" s="99">
        <v>356328</v>
      </c>
      <c r="V24" s="91"/>
    </row>
    <row r="25" spans="1:22" s="25" customFormat="1" ht="12.75">
      <c r="A25" s="17">
        <v>17</v>
      </c>
      <c r="B25" s="23">
        <f t="shared" si="0"/>
        <v>566</v>
      </c>
      <c r="C25" s="27"/>
      <c r="F25" s="21"/>
      <c r="G25" s="31"/>
      <c r="H25" s="31"/>
      <c r="I25" s="31"/>
      <c r="J25" s="31"/>
      <c r="K25" s="28"/>
      <c r="L25" s="28"/>
      <c r="M25" s="31"/>
      <c r="N25" s="31"/>
      <c r="O25" s="31"/>
      <c r="P25" s="31"/>
      <c r="Q25" s="25">
        <v>566</v>
      </c>
      <c r="S25" s="89"/>
      <c r="T25" s="98">
        <v>584</v>
      </c>
      <c r="U25" s="99">
        <v>0</v>
      </c>
      <c r="V25" s="91"/>
    </row>
    <row r="26" spans="1:22" s="25" customFormat="1" ht="12.75">
      <c r="A26" s="17">
        <v>18</v>
      </c>
      <c r="B26" s="23">
        <f t="shared" si="0"/>
        <v>568</v>
      </c>
      <c r="C26" s="24" t="s">
        <v>83</v>
      </c>
      <c r="F26" s="21"/>
      <c r="G26" s="31"/>
      <c r="H26" s="31"/>
      <c r="I26" s="31"/>
      <c r="J26" s="31"/>
      <c r="K26" s="28"/>
      <c r="L26" s="28"/>
      <c r="M26" s="31"/>
      <c r="N26" s="31"/>
      <c r="O26" s="31"/>
      <c r="P26" s="31"/>
      <c r="Q26" s="25">
        <v>568</v>
      </c>
      <c r="S26" s="89"/>
      <c r="T26" s="98">
        <v>585</v>
      </c>
      <c r="U26" s="99">
        <v>0</v>
      </c>
      <c r="V26" s="91"/>
    </row>
    <row r="27" spans="1:22" s="25" customFormat="1" ht="12.75">
      <c r="A27" s="17">
        <v>19</v>
      </c>
      <c r="B27" s="23">
        <f t="shared" si="0"/>
        <v>568</v>
      </c>
      <c r="C27" s="29">
        <v>568000</v>
      </c>
      <c r="D27" s="30" t="s">
        <v>84</v>
      </c>
      <c r="F27" s="21">
        <v>98725</v>
      </c>
      <c r="G27" s="31">
        <v>94380</v>
      </c>
      <c r="H27" s="31">
        <v>144353</v>
      </c>
      <c r="I27" s="31"/>
      <c r="J27" s="31">
        <v>186124</v>
      </c>
      <c r="K27" s="28"/>
      <c r="L27" s="28"/>
      <c r="M27" s="31"/>
      <c r="N27" s="31"/>
      <c r="O27" s="31"/>
      <c r="P27" s="31"/>
      <c r="Q27" s="25">
        <v>568</v>
      </c>
      <c r="S27" s="89"/>
      <c r="T27" s="98">
        <v>586</v>
      </c>
      <c r="U27" s="99">
        <v>3423</v>
      </c>
      <c r="V27" s="91"/>
    </row>
    <row r="28" spans="1:22" s="25" customFormat="1" ht="12.75">
      <c r="A28" s="17">
        <v>20</v>
      </c>
      <c r="B28" s="23">
        <f t="shared" si="0"/>
        <v>568</v>
      </c>
      <c r="C28" s="29"/>
      <c r="D28" s="30"/>
      <c r="E28" s="25" t="s">
        <v>217</v>
      </c>
      <c r="F28" s="21">
        <f>SUM(F27)</f>
        <v>98725</v>
      </c>
      <c r="G28" s="21">
        <f>SUM(G27)</f>
        <v>94380</v>
      </c>
      <c r="H28" s="21">
        <f>SUM(H27)</f>
        <v>144353</v>
      </c>
      <c r="I28" s="31">
        <v>167839</v>
      </c>
      <c r="J28" s="21">
        <f>SUM(J27)</f>
        <v>186124</v>
      </c>
      <c r="K28" s="28"/>
      <c r="L28" s="28"/>
      <c r="M28" s="31">
        <f>1.06*J28</f>
        <v>197291</v>
      </c>
      <c r="N28" s="71">
        <f>M28-J28</f>
        <v>11167</v>
      </c>
      <c r="O28" s="31"/>
      <c r="P28" s="31"/>
      <c r="Q28" s="25">
        <v>568</v>
      </c>
      <c r="R28" s="25">
        <v>167839</v>
      </c>
      <c r="S28" s="89"/>
      <c r="T28" s="98">
        <v>587</v>
      </c>
      <c r="U28" s="99">
        <v>0</v>
      </c>
      <c r="V28" s="91"/>
    </row>
    <row r="29" spans="1:22" s="25" customFormat="1" ht="12.75">
      <c r="A29" s="17">
        <v>21</v>
      </c>
      <c r="B29" s="23">
        <f t="shared" si="0"/>
        <v>568</v>
      </c>
      <c r="C29" s="29"/>
      <c r="D29" s="30"/>
      <c r="F29" s="21"/>
      <c r="G29" s="31"/>
      <c r="H29" s="31"/>
      <c r="I29" s="31"/>
      <c r="J29" s="31"/>
      <c r="K29" s="28"/>
      <c r="L29" s="28"/>
      <c r="M29" s="31"/>
      <c r="N29" s="31"/>
      <c r="O29" s="31"/>
      <c r="P29" s="31"/>
      <c r="Q29" s="25">
        <v>568</v>
      </c>
      <c r="S29" s="89"/>
      <c r="T29" s="98">
        <v>588</v>
      </c>
      <c r="U29" s="99">
        <v>6000</v>
      </c>
      <c r="V29" s="91"/>
    </row>
    <row r="30" spans="1:22" s="25" customFormat="1" ht="12.75">
      <c r="A30" s="17">
        <v>22</v>
      </c>
      <c r="B30" s="23">
        <f t="shared" si="0"/>
        <v>571</v>
      </c>
      <c r="C30" s="24" t="s">
        <v>85</v>
      </c>
      <c r="F30" s="21"/>
      <c r="G30" s="31"/>
      <c r="H30" s="31"/>
      <c r="I30" s="31"/>
      <c r="J30" s="31"/>
      <c r="K30" s="28"/>
      <c r="L30" s="28"/>
      <c r="M30" s="31"/>
      <c r="N30" s="31"/>
      <c r="O30" s="31"/>
      <c r="P30" s="31"/>
      <c r="Q30" s="25">
        <v>571</v>
      </c>
      <c r="S30" s="89"/>
      <c r="T30" s="98">
        <v>589</v>
      </c>
      <c r="U30" s="99">
        <v>0</v>
      </c>
      <c r="V30" s="91"/>
    </row>
    <row r="31" spans="1:22" s="25" customFormat="1" ht="12.75">
      <c r="A31" s="17">
        <v>23</v>
      </c>
      <c r="B31" s="23">
        <f t="shared" si="0"/>
        <v>571</v>
      </c>
      <c r="C31" s="27">
        <v>571010</v>
      </c>
      <c r="D31" s="25" t="s">
        <v>163</v>
      </c>
      <c r="F31" s="21">
        <v>1146</v>
      </c>
      <c r="G31" s="31"/>
      <c r="H31" s="31"/>
      <c r="I31" s="31"/>
      <c r="J31" s="31"/>
      <c r="K31" s="28"/>
      <c r="L31" s="28"/>
      <c r="M31" s="31"/>
      <c r="N31" s="31"/>
      <c r="O31" s="31"/>
      <c r="P31" s="31"/>
      <c r="Q31" s="25">
        <v>571</v>
      </c>
      <c r="S31" s="89"/>
      <c r="T31" s="98">
        <v>590</v>
      </c>
      <c r="U31" s="99">
        <v>861669</v>
      </c>
      <c r="V31" s="91"/>
    </row>
    <row r="32" spans="1:22" s="25" customFormat="1" ht="12.75">
      <c r="A32" s="17">
        <v>24</v>
      </c>
      <c r="B32" s="23">
        <f t="shared" si="0"/>
        <v>571</v>
      </c>
      <c r="C32" s="29">
        <v>571031</v>
      </c>
      <c r="D32" s="30" t="s">
        <v>86</v>
      </c>
      <c r="F32" s="21">
        <v>491159</v>
      </c>
      <c r="G32" s="31">
        <v>621916</v>
      </c>
      <c r="H32" s="31">
        <v>535802</v>
      </c>
      <c r="I32" s="31"/>
      <c r="J32" s="31">
        <v>629029</v>
      </c>
      <c r="K32" s="28"/>
      <c r="L32" s="28"/>
      <c r="M32" s="31"/>
      <c r="N32" s="31"/>
      <c r="O32" s="31"/>
      <c r="P32" s="31"/>
      <c r="Q32" s="25">
        <v>571</v>
      </c>
      <c r="S32" s="89"/>
      <c r="T32" s="98">
        <v>591</v>
      </c>
      <c r="U32" s="99">
        <v>57874</v>
      </c>
      <c r="V32" s="91"/>
    </row>
    <row r="33" spans="1:22" s="25" customFormat="1" ht="12.75">
      <c r="A33" s="17">
        <v>25</v>
      </c>
      <c r="B33" s="23">
        <f t="shared" si="0"/>
        <v>571</v>
      </c>
      <c r="C33" s="29">
        <v>571032</v>
      </c>
      <c r="D33" s="30" t="s">
        <v>87</v>
      </c>
      <c r="F33" s="21">
        <v>150681</v>
      </c>
      <c r="G33" s="31">
        <v>172436</v>
      </c>
      <c r="H33" s="31">
        <v>156699</v>
      </c>
      <c r="I33" s="31"/>
      <c r="J33" s="31">
        <v>139045</v>
      </c>
      <c r="K33" s="28"/>
      <c r="L33" s="28"/>
      <c r="M33" s="31"/>
      <c r="N33" s="31"/>
      <c r="O33" s="31"/>
      <c r="P33" s="31"/>
      <c r="Q33" s="25">
        <v>571</v>
      </c>
      <c r="S33" s="89"/>
      <c r="T33" s="98">
        <v>592</v>
      </c>
      <c r="U33" s="99">
        <v>266718</v>
      </c>
      <c r="V33" s="91"/>
    </row>
    <row r="34" spans="1:22" s="25" customFormat="1" ht="12.75">
      <c r="A34" s="17">
        <v>26</v>
      </c>
      <c r="B34" s="23">
        <f t="shared" si="0"/>
        <v>571</v>
      </c>
      <c r="C34" s="29">
        <v>571033</v>
      </c>
      <c r="D34" s="30" t="s">
        <v>88</v>
      </c>
      <c r="F34" s="21">
        <v>0</v>
      </c>
      <c r="G34" s="31">
        <v>0</v>
      </c>
      <c r="H34" s="31">
        <v>0</v>
      </c>
      <c r="I34" s="31"/>
      <c r="J34" s="31">
        <v>0</v>
      </c>
      <c r="K34" s="28"/>
      <c r="L34" s="28"/>
      <c r="M34" s="31"/>
      <c r="N34" s="31"/>
      <c r="O34" s="31"/>
      <c r="P34" s="31"/>
      <c r="Q34" s="25">
        <v>571</v>
      </c>
      <c r="S34" s="89"/>
      <c r="T34" s="98">
        <v>593</v>
      </c>
      <c r="U34" s="99">
        <v>3761258</v>
      </c>
      <c r="V34" s="91"/>
    </row>
    <row r="35" spans="1:22" s="25" customFormat="1" ht="12.75">
      <c r="A35" s="17">
        <v>27</v>
      </c>
      <c r="B35" s="23">
        <f t="shared" si="0"/>
        <v>571</v>
      </c>
      <c r="C35" s="29">
        <v>571034</v>
      </c>
      <c r="D35" s="30" t="s">
        <v>89</v>
      </c>
      <c r="F35" s="21">
        <v>5310</v>
      </c>
      <c r="G35" s="31">
        <f>'[1]O&amp;M Cost By FERC'!H42</f>
        <v>658</v>
      </c>
      <c r="H35" s="31">
        <v>4824</v>
      </c>
      <c r="I35" s="31"/>
      <c r="J35" s="31">
        <v>7317</v>
      </c>
      <c r="K35" s="28"/>
      <c r="L35" s="28"/>
      <c r="M35" s="31"/>
      <c r="N35" s="31"/>
      <c r="O35" s="31"/>
      <c r="P35" s="31"/>
      <c r="Q35" s="25">
        <v>571</v>
      </c>
      <c r="S35" s="89"/>
      <c r="T35" s="98">
        <v>594</v>
      </c>
      <c r="U35" s="99">
        <v>20534</v>
      </c>
      <c r="V35" s="91"/>
    </row>
    <row r="36" spans="1:22" s="25" customFormat="1" ht="12.75">
      <c r="A36" s="17">
        <v>28</v>
      </c>
      <c r="B36" s="23">
        <f t="shared" si="0"/>
        <v>571</v>
      </c>
      <c r="C36" s="27"/>
      <c r="E36" s="25" t="s">
        <v>217</v>
      </c>
      <c r="F36" s="21">
        <f>SUM(F31:F35)</f>
        <v>648296</v>
      </c>
      <c r="G36" s="21">
        <f>SUM(G31:G35)</f>
        <v>795010</v>
      </c>
      <c r="H36" s="21">
        <f>SUM(H31:H35)</f>
        <v>697325</v>
      </c>
      <c r="I36" s="31">
        <v>691600</v>
      </c>
      <c r="J36" s="21">
        <f>SUM(J31:J35)</f>
        <v>775391</v>
      </c>
      <c r="K36" s="28"/>
      <c r="L36" s="28"/>
      <c r="M36" s="31">
        <v>1122720</v>
      </c>
      <c r="N36" s="71">
        <f>M36-J36</f>
        <v>347329</v>
      </c>
      <c r="O36" s="31"/>
      <c r="P36" s="31"/>
      <c r="Q36" s="25">
        <v>571</v>
      </c>
      <c r="R36" s="25">
        <v>691600</v>
      </c>
      <c r="S36" s="89"/>
      <c r="T36" s="98">
        <v>595</v>
      </c>
      <c r="U36" s="99">
        <v>112985</v>
      </c>
      <c r="V36" s="91"/>
    </row>
    <row r="37" spans="1:22" s="25" customFormat="1" ht="12.75">
      <c r="A37" s="17">
        <v>29</v>
      </c>
      <c r="B37" s="23">
        <f t="shared" si="0"/>
        <v>571</v>
      </c>
      <c r="C37" s="27"/>
      <c r="F37" s="21"/>
      <c r="G37" s="21"/>
      <c r="H37" s="21"/>
      <c r="I37" s="31"/>
      <c r="J37" s="31"/>
      <c r="K37" s="28"/>
      <c r="L37" s="28"/>
      <c r="M37" s="31"/>
      <c r="N37" s="31"/>
      <c r="O37" s="31"/>
      <c r="P37" s="31"/>
      <c r="Q37" s="25">
        <v>571</v>
      </c>
      <c r="S37" s="89"/>
      <c r="T37" s="98">
        <v>596</v>
      </c>
      <c r="U37" s="99">
        <v>0</v>
      </c>
      <c r="V37" s="91"/>
    </row>
    <row r="38" spans="1:22" s="25" customFormat="1" ht="12.75">
      <c r="A38" s="17">
        <v>30</v>
      </c>
      <c r="B38" s="23">
        <f t="shared" si="0"/>
        <v>573</v>
      </c>
      <c r="C38" s="24" t="s">
        <v>90</v>
      </c>
      <c r="F38" s="21"/>
      <c r="G38" s="31"/>
      <c r="H38" s="31"/>
      <c r="I38" s="31"/>
      <c r="J38" s="31"/>
      <c r="K38" s="28"/>
      <c r="L38" s="28"/>
      <c r="M38" s="31"/>
      <c r="N38" s="31"/>
      <c r="O38" s="31"/>
      <c r="P38" s="31"/>
      <c r="Q38" s="25">
        <v>573</v>
      </c>
      <c r="S38" s="89"/>
      <c r="T38" s="98">
        <v>597</v>
      </c>
      <c r="U38" s="99">
        <v>1711</v>
      </c>
      <c r="V38" s="91"/>
    </row>
    <row r="39" spans="1:22" s="25" customFormat="1" ht="12.75">
      <c r="A39" s="17">
        <v>31</v>
      </c>
      <c r="B39" s="23">
        <f t="shared" si="0"/>
        <v>573</v>
      </c>
      <c r="C39" s="29">
        <v>573000</v>
      </c>
      <c r="D39" s="30" t="s">
        <v>91</v>
      </c>
      <c r="F39" s="21">
        <v>95557</v>
      </c>
      <c r="G39" s="31">
        <f>'[2]O&amp;M Cost By FERC'!$H$45</f>
        <v>0</v>
      </c>
      <c r="H39" s="31">
        <v>0</v>
      </c>
      <c r="I39" s="31"/>
      <c r="J39" s="31">
        <v>0</v>
      </c>
      <c r="K39" s="28"/>
      <c r="L39" s="28"/>
      <c r="M39" s="31"/>
      <c r="N39" s="31"/>
      <c r="O39" s="31"/>
      <c r="P39" s="31"/>
      <c r="Q39" s="25">
        <v>573</v>
      </c>
      <c r="S39" s="89"/>
      <c r="T39" s="98">
        <v>598</v>
      </c>
      <c r="U39" s="99">
        <v>0</v>
      </c>
      <c r="V39" s="91"/>
    </row>
    <row r="40" spans="1:22" s="25" customFormat="1" ht="12.75">
      <c r="A40" s="17">
        <v>32</v>
      </c>
      <c r="B40" s="23">
        <f t="shared" si="0"/>
        <v>573</v>
      </c>
      <c r="C40" s="27"/>
      <c r="E40" s="25" t="s">
        <v>217</v>
      </c>
      <c r="F40" s="21">
        <f>SUM(F39)</f>
        <v>95557</v>
      </c>
      <c r="G40" s="21">
        <f>SUM(G39)</f>
        <v>0</v>
      </c>
      <c r="H40" s="21">
        <f>SUM(H39)</f>
        <v>0</v>
      </c>
      <c r="I40" s="31">
        <v>0</v>
      </c>
      <c r="J40" s="31">
        <v>0</v>
      </c>
      <c r="K40" s="28"/>
      <c r="L40" s="28"/>
      <c r="M40" s="21">
        <f>I40*1.035</f>
        <v>0</v>
      </c>
      <c r="N40" s="71">
        <f>M40-J40</f>
        <v>0</v>
      </c>
      <c r="O40" s="31"/>
      <c r="P40" s="31"/>
      <c r="Q40" s="25">
        <v>573</v>
      </c>
      <c r="R40" s="25">
        <v>0</v>
      </c>
      <c r="S40" s="89"/>
      <c r="T40" s="98">
        <v>885</v>
      </c>
      <c r="U40" s="99">
        <v>23671</v>
      </c>
      <c r="V40" s="91"/>
    </row>
    <row r="41" spans="1:22" s="25" customFormat="1" ht="12.75">
      <c r="A41" s="17">
        <v>33</v>
      </c>
      <c r="B41" s="23">
        <f t="shared" si="0"/>
        <v>573</v>
      </c>
      <c r="C41" s="27"/>
      <c r="F41" s="21"/>
      <c r="G41" s="21"/>
      <c r="H41" s="21"/>
      <c r="I41" s="31"/>
      <c r="J41" s="31"/>
      <c r="K41" s="28"/>
      <c r="L41" s="28"/>
      <c r="M41" s="31"/>
      <c r="N41" s="31"/>
      <c r="O41" s="31"/>
      <c r="P41" s="31"/>
      <c r="Q41" s="25">
        <v>573</v>
      </c>
      <c r="S41" s="89"/>
      <c r="T41" s="98">
        <v>887</v>
      </c>
      <c r="U41" s="99">
        <v>105000</v>
      </c>
      <c r="V41" s="91"/>
    </row>
    <row r="42" spans="1:22" s="25" customFormat="1" ht="12.75">
      <c r="A42" s="17">
        <v>34</v>
      </c>
      <c r="B42" s="23">
        <f t="shared" si="0"/>
        <v>580</v>
      </c>
      <c r="C42" s="24">
        <v>580</v>
      </c>
      <c r="F42" s="21"/>
      <c r="G42" s="21"/>
      <c r="H42" s="21"/>
      <c r="I42" s="31"/>
      <c r="J42" s="31"/>
      <c r="K42" s="28"/>
      <c r="L42" s="28"/>
      <c r="M42" s="31"/>
      <c r="N42" s="31"/>
      <c r="O42" s="31"/>
      <c r="P42" s="31"/>
      <c r="Q42" s="25">
        <v>580</v>
      </c>
      <c r="S42" s="89"/>
      <c r="T42" s="98">
        <v>921</v>
      </c>
      <c r="U42" s="99">
        <v>0</v>
      </c>
      <c r="V42" s="91"/>
    </row>
    <row r="43" spans="1:22" s="25" customFormat="1" ht="12.75">
      <c r="A43" s="17">
        <v>35</v>
      </c>
      <c r="B43" s="23">
        <f t="shared" si="0"/>
        <v>580</v>
      </c>
      <c r="C43" s="27">
        <v>580000</v>
      </c>
      <c r="F43" s="21"/>
      <c r="G43" s="21">
        <v>10</v>
      </c>
      <c r="H43" s="21"/>
      <c r="I43" s="31"/>
      <c r="J43" s="31">
        <v>901</v>
      </c>
      <c r="K43" s="28"/>
      <c r="L43" s="28"/>
      <c r="M43" s="31"/>
      <c r="N43" s="31"/>
      <c r="O43" s="31"/>
      <c r="P43" s="31"/>
      <c r="Q43" s="25">
        <v>580</v>
      </c>
      <c r="S43" s="89"/>
      <c r="T43" s="98">
        <v>923</v>
      </c>
      <c r="U43" s="99">
        <v>0</v>
      </c>
      <c r="V43" s="91"/>
    </row>
    <row r="44" spans="1:22" s="25" customFormat="1" ht="12.75">
      <c r="A44" s="17">
        <v>36</v>
      </c>
      <c r="B44" s="23">
        <f t="shared" si="0"/>
        <v>580</v>
      </c>
      <c r="C44" s="27"/>
      <c r="E44" s="25" t="s">
        <v>217</v>
      </c>
      <c r="F44" s="21">
        <f>SUM(F43)</f>
        <v>0</v>
      </c>
      <c r="G44" s="21">
        <f>SUM(G43)</f>
        <v>10</v>
      </c>
      <c r="H44" s="21">
        <f>SUM(H43)</f>
        <v>0</v>
      </c>
      <c r="I44" s="31">
        <v>0</v>
      </c>
      <c r="J44" s="21">
        <f>SUM(J43)</f>
        <v>901</v>
      </c>
      <c r="K44" s="28"/>
      <c r="L44" s="28"/>
      <c r="M44" s="21">
        <f>I44*1.035</f>
        <v>0</v>
      </c>
      <c r="N44" s="71">
        <f>M44-J44</f>
        <v>-901</v>
      </c>
      <c r="O44" s="31"/>
      <c r="P44" s="31"/>
      <c r="Q44" s="25">
        <v>580</v>
      </c>
      <c r="R44" s="25">
        <v>0</v>
      </c>
      <c r="S44" s="89"/>
      <c r="T44" s="98">
        <v>925</v>
      </c>
      <c r="U44" s="99">
        <v>0</v>
      </c>
      <c r="V44" s="91"/>
    </row>
    <row r="45" spans="1:22" s="25" customFormat="1" ht="12.75">
      <c r="A45" s="17">
        <v>37</v>
      </c>
      <c r="B45" s="23">
        <f t="shared" si="0"/>
        <v>580</v>
      </c>
      <c r="C45" s="27"/>
      <c r="F45" s="21"/>
      <c r="G45" s="21"/>
      <c r="H45" s="21"/>
      <c r="I45" s="31"/>
      <c r="J45" s="31"/>
      <c r="K45" s="28"/>
      <c r="L45" s="28"/>
      <c r="M45" s="31"/>
      <c r="N45" s="31"/>
      <c r="O45" s="31"/>
      <c r="P45" s="31"/>
      <c r="Q45" s="25">
        <v>580</v>
      </c>
      <c r="S45" s="89"/>
      <c r="T45" s="98">
        <v>926</v>
      </c>
      <c r="U45" s="99">
        <v>0</v>
      </c>
      <c r="V45" s="91"/>
    </row>
    <row r="46" spans="1:22" s="25" customFormat="1" ht="12.75">
      <c r="A46" s="17">
        <v>38</v>
      </c>
      <c r="B46" s="23">
        <f t="shared" si="0"/>
        <v>588</v>
      </c>
      <c r="C46" s="24">
        <v>588</v>
      </c>
      <c r="F46" s="21"/>
      <c r="G46" s="21"/>
      <c r="H46" s="21"/>
      <c r="I46" s="31"/>
      <c r="J46" s="31"/>
      <c r="K46" s="28"/>
      <c r="L46" s="28"/>
      <c r="M46" s="31"/>
      <c r="N46" s="31"/>
      <c r="O46" s="31"/>
      <c r="P46" s="31"/>
      <c r="Q46" s="25">
        <v>588</v>
      </c>
      <c r="S46" s="89"/>
      <c r="T46" s="98">
        <v>930</v>
      </c>
      <c r="U46" s="99">
        <v>5371263</v>
      </c>
      <c r="V46" s="91"/>
    </row>
    <row r="47" spans="1:22" s="25" customFormat="1" ht="12.75">
      <c r="A47" s="17">
        <v>39</v>
      </c>
      <c r="B47" s="23">
        <f t="shared" si="0"/>
        <v>588</v>
      </c>
      <c r="C47" s="27">
        <v>588000</v>
      </c>
      <c r="F47" s="21">
        <v>511</v>
      </c>
      <c r="G47" s="21">
        <v>1492</v>
      </c>
      <c r="H47" s="21">
        <v>98</v>
      </c>
      <c r="I47" s="31"/>
      <c r="J47" s="31">
        <v>267</v>
      </c>
      <c r="K47" s="28"/>
      <c r="L47" s="28"/>
      <c r="M47" s="31"/>
      <c r="N47" s="31"/>
      <c r="O47" s="31"/>
      <c r="P47" s="31"/>
      <c r="Q47" s="25">
        <v>588</v>
      </c>
      <c r="S47" s="89"/>
      <c r="T47" s="98" t="s">
        <v>313</v>
      </c>
      <c r="U47" s="100"/>
      <c r="V47" s="91"/>
    </row>
    <row r="48" spans="1:22" s="25" customFormat="1" ht="13.5" thickBot="1">
      <c r="A48" s="17">
        <v>40</v>
      </c>
      <c r="B48" s="23">
        <f t="shared" si="0"/>
        <v>588</v>
      </c>
      <c r="C48" s="27">
        <v>588020</v>
      </c>
      <c r="F48" s="21"/>
      <c r="G48" s="21">
        <v>200</v>
      </c>
      <c r="H48" s="21">
        <v>500</v>
      </c>
      <c r="I48" s="31"/>
      <c r="J48" s="31">
        <v>484</v>
      </c>
      <c r="K48" s="28"/>
      <c r="L48" s="28"/>
      <c r="M48" s="31"/>
      <c r="N48" s="31"/>
      <c r="O48" s="31"/>
      <c r="P48" s="31"/>
      <c r="Q48" s="25">
        <v>588</v>
      </c>
      <c r="S48" s="89"/>
      <c r="T48" s="101" t="s">
        <v>314</v>
      </c>
      <c r="U48" s="102">
        <v>12842136</v>
      </c>
      <c r="V48" s="91"/>
    </row>
    <row r="49" spans="1:21" s="25" customFormat="1" ht="11.25">
      <c r="A49" s="17">
        <v>41</v>
      </c>
      <c r="B49" s="23">
        <f t="shared" si="0"/>
        <v>588</v>
      </c>
      <c r="C49" s="27">
        <v>588030</v>
      </c>
      <c r="F49" s="21"/>
      <c r="G49" s="21">
        <v>325</v>
      </c>
      <c r="H49" s="21">
        <v>350</v>
      </c>
      <c r="I49" s="31"/>
      <c r="J49" s="31">
        <v>597</v>
      </c>
      <c r="K49" s="28"/>
      <c r="L49" s="28"/>
      <c r="M49" s="31"/>
      <c r="N49" s="31"/>
      <c r="O49" s="31"/>
      <c r="P49" s="31"/>
      <c r="Q49" s="25">
        <v>588</v>
      </c>
      <c r="T49" s="93"/>
      <c r="U49" s="93"/>
    </row>
    <row r="50" spans="1:17" s="25" customFormat="1" ht="11.25">
      <c r="A50" s="17">
        <v>42</v>
      </c>
      <c r="B50" s="23">
        <f t="shared" si="0"/>
        <v>588</v>
      </c>
      <c r="C50" s="27">
        <v>588040</v>
      </c>
      <c r="F50" s="21">
        <v>128</v>
      </c>
      <c r="G50" s="21">
        <v>2204</v>
      </c>
      <c r="H50" s="21">
        <v>1436</v>
      </c>
      <c r="I50" s="31"/>
      <c r="J50" s="31">
        <v>884</v>
      </c>
      <c r="K50" s="28"/>
      <c r="L50" s="28"/>
      <c r="M50" s="31"/>
      <c r="N50" s="31"/>
      <c r="O50" s="31"/>
      <c r="P50" s="31"/>
      <c r="Q50" s="25">
        <v>588</v>
      </c>
    </row>
    <row r="51" spans="1:17" s="25" customFormat="1" ht="11.25">
      <c r="A51" s="17">
        <v>43</v>
      </c>
      <c r="B51" s="23">
        <f t="shared" si="0"/>
        <v>588</v>
      </c>
      <c r="C51" s="27">
        <v>588100</v>
      </c>
      <c r="F51" s="21"/>
      <c r="G51" s="21"/>
      <c r="H51" s="21">
        <v>260</v>
      </c>
      <c r="I51" s="31"/>
      <c r="J51" s="31">
        <v>0</v>
      </c>
      <c r="K51" s="28"/>
      <c r="L51" s="28"/>
      <c r="M51" s="31"/>
      <c r="N51" s="31"/>
      <c r="O51" s="31"/>
      <c r="P51" s="31"/>
      <c r="Q51" s="25">
        <v>588</v>
      </c>
    </row>
    <row r="52" spans="1:18" s="25" customFormat="1" ht="11.25">
      <c r="A52" s="17">
        <v>44</v>
      </c>
      <c r="B52" s="23">
        <f t="shared" si="0"/>
        <v>588</v>
      </c>
      <c r="C52" s="27"/>
      <c r="E52" s="25" t="s">
        <v>217</v>
      </c>
      <c r="F52" s="21">
        <f>SUM(F47:F51)</f>
        <v>639</v>
      </c>
      <c r="G52" s="21">
        <f>SUM(G47:G51)</f>
        <v>4221</v>
      </c>
      <c r="H52" s="21">
        <f>SUM(H47:H51)</f>
        <v>2644</v>
      </c>
      <c r="I52" s="31">
        <v>6000</v>
      </c>
      <c r="J52" s="21">
        <f>SUM(J47:J51)</f>
        <v>2232</v>
      </c>
      <c r="K52" s="28"/>
      <c r="L52" s="28"/>
      <c r="M52" s="21">
        <f>6210*1.06</f>
        <v>6583</v>
      </c>
      <c r="N52" s="71">
        <f>M52-J52</f>
        <v>4351</v>
      </c>
      <c r="O52" s="31"/>
      <c r="P52" s="31"/>
      <c r="Q52" s="25">
        <v>588</v>
      </c>
      <c r="R52" s="25">
        <v>6000</v>
      </c>
    </row>
    <row r="53" spans="1:17" s="25" customFormat="1" ht="11.25">
      <c r="A53" s="17">
        <v>45</v>
      </c>
      <c r="B53" s="23">
        <f t="shared" si="0"/>
        <v>588</v>
      </c>
      <c r="C53" s="27"/>
      <c r="F53" s="21"/>
      <c r="G53" s="21"/>
      <c r="H53" s="21"/>
      <c r="I53" s="31"/>
      <c r="J53" s="31"/>
      <c r="K53" s="28"/>
      <c r="L53" s="28"/>
      <c r="M53" s="31"/>
      <c r="N53" s="31"/>
      <c r="O53" s="31"/>
      <c r="P53" s="31"/>
      <c r="Q53" s="25">
        <v>588</v>
      </c>
    </row>
    <row r="54" spans="1:17" s="25" customFormat="1" ht="11.25">
      <c r="A54" s="17">
        <v>46</v>
      </c>
      <c r="B54" s="23">
        <f t="shared" si="0"/>
        <v>590</v>
      </c>
      <c r="C54" s="24" t="s">
        <v>92</v>
      </c>
      <c r="F54" s="21"/>
      <c r="G54" s="31"/>
      <c r="H54" s="31"/>
      <c r="I54" s="31"/>
      <c r="J54" s="31"/>
      <c r="K54" s="28"/>
      <c r="L54" s="28"/>
      <c r="M54" s="31"/>
      <c r="N54" s="31"/>
      <c r="O54" s="31"/>
      <c r="P54" s="31"/>
      <c r="Q54" s="25">
        <v>590</v>
      </c>
    </row>
    <row r="55" spans="1:17" s="25" customFormat="1" ht="11.25">
      <c r="A55" s="17">
        <v>47</v>
      </c>
      <c r="B55" s="23">
        <f t="shared" si="0"/>
        <v>590</v>
      </c>
      <c r="C55" s="29">
        <v>590000</v>
      </c>
      <c r="D55" s="30" t="s">
        <v>93</v>
      </c>
      <c r="F55" s="21">
        <v>457554</v>
      </c>
      <c r="G55" s="31">
        <v>638488</v>
      </c>
      <c r="H55" s="31">
        <v>561823</v>
      </c>
      <c r="I55" s="31"/>
      <c r="J55" s="31">
        <v>583890</v>
      </c>
      <c r="K55" s="28"/>
      <c r="L55" s="28"/>
      <c r="M55" s="31"/>
      <c r="N55" s="31"/>
      <c r="O55" s="31"/>
      <c r="P55" s="31"/>
      <c r="Q55" s="25">
        <v>590</v>
      </c>
    </row>
    <row r="56" spans="1:18" s="25" customFormat="1" ht="11.25">
      <c r="A56" s="17">
        <v>48</v>
      </c>
      <c r="B56" s="23">
        <f t="shared" si="0"/>
        <v>590</v>
      </c>
      <c r="C56" s="27"/>
      <c r="E56" s="25" t="s">
        <v>217</v>
      </c>
      <c r="F56" s="21">
        <f>SUM(F55)</f>
        <v>457554</v>
      </c>
      <c r="G56" s="21">
        <f>SUM(G55)</f>
        <v>638488</v>
      </c>
      <c r="H56" s="21">
        <f>SUM(H55)</f>
        <v>561823</v>
      </c>
      <c r="I56" s="31">
        <v>574295</v>
      </c>
      <c r="J56" s="21">
        <f>SUM(J55)</f>
        <v>583890</v>
      </c>
      <c r="K56" s="28"/>
      <c r="L56" s="28"/>
      <c r="M56" s="31">
        <f>508800-M90</f>
        <v>483709</v>
      </c>
      <c r="N56" s="71">
        <f>M56-J56</f>
        <v>-100181</v>
      </c>
      <c r="O56" s="31"/>
      <c r="P56" s="31"/>
      <c r="Q56" s="25">
        <v>590</v>
      </c>
      <c r="R56" s="25">
        <v>574295</v>
      </c>
    </row>
    <row r="57" spans="1:17" s="25" customFormat="1" ht="11.25">
      <c r="A57" s="17">
        <v>49</v>
      </c>
      <c r="B57" s="23">
        <f t="shared" si="0"/>
        <v>590</v>
      </c>
      <c r="C57" s="27"/>
      <c r="F57" s="21"/>
      <c r="G57" s="21"/>
      <c r="H57" s="21"/>
      <c r="I57" s="31"/>
      <c r="J57" s="31"/>
      <c r="K57" s="28"/>
      <c r="L57" s="28"/>
      <c r="M57" s="31"/>
      <c r="N57" s="31"/>
      <c r="O57" s="31"/>
      <c r="P57" s="31"/>
      <c r="Q57" s="25">
        <v>590</v>
      </c>
    </row>
    <row r="58" spans="1:17" s="25" customFormat="1" ht="11.25">
      <c r="A58" s="17">
        <v>50</v>
      </c>
      <c r="B58" s="23">
        <f t="shared" si="0"/>
        <v>593</v>
      </c>
      <c r="C58" s="24" t="s">
        <v>94</v>
      </c>
      <c r="F58" s="21"/>
      <c r="G58" s="31"/>
      <c r="H58" s="31"/>
      <c r="I58" s="31"/>
      <c r="J58" s="31"/>
      <c r="K58" s="28"/>
      <c r="L58" s="28"/>
      <c r="M58" s="31"/>
      <c r="N58" s="31"/>
      <c r="O58" s="31"/>
      <c r="P58" s="31"/>
      <c r="Q58" s="25">
        <v>593</v>
      </c>
    </row>
    <row r="59" spans="1:17" s="25" customFormat="1" ht="11.25">
      <c r="A59" s="17">
        <v>51</v>
      </c>
      <c r="B59" s="23">
        <f t="shared" si="0"/>
        <v>593</v>
      </c>
      <c r="C59" s="29">
        <v>593010</v>
      </c>
      <c r="D59" s="30" t="s">
        <v>95</v>
      </c>
      <c r="F59" s="21">
        <v>433</v>
      </c>
      <c r="G59" s="31">
        <f>'[1]O&amp;M Cost By FERC'!H84</f>
        <v>0</v>
      </c>
      <c r="H59" s="31">
        <v>0</v>
      </c>
      <c r="I59" s="31"/>
      <c r="J59" s="31">
        <v>0</v>
      </c>
      <c r="K59" s="28"/>
      <c r="L59" s="28"/>
      <c r="M59" s="31"/>
      <c r="N59" s="31"/>
      <c r="O59" s="31"/>
      <c r="P59" s="31"/>
      <c r="Q59" s="25">
        <v>593</v>
      </c>
    </row>
    <row r="60" spans="1:17" s="25" customFormat="1" ht="11.25">
      <c r="A60" s="17">
        <v>52</v>
      </c>
      <c r="B60" s="23">
        <f t="shared" si="0"/>
        <v>593</v>
      </c>
      <c r="C60" s="27">
        <v>593020</v>
      </c>
      <c r="D60" s="30" t="s">
        <v>96</v>
      </c>
      <c r="F60" s="21">
        <v>0</v>
      </c>
      <c r="G60" s="31">
        <v>22671</v>
      </c>
      <c r="H60" s="31">
        <v>9425</v>
      </c>
      <c r="I60" s="31"/>
      <c r="J60" s="31">
        <v>0</v>
      </c>
      <c r="K60" s="28"/>
      <c r="L60" s="28"/>
      <c r="M60" s="31"/>
      <c r="N60" s="31"/>
      <c r="O60" s="31"/>
      <c r="P60" s="31"/>
      <c r="Q60" s="25">
        <v>593</v>
      </c>
    </row>
    <row r="61" spans="1:17" s="25" customFormat="1" ht="11.25">
      <c r="A61" s="17">
        <v>53</v>
      </c>
      <c r="B61" s="23">
        <f t="shared" si="0"/>
        <v>593</v>
      </c>
      <c r="C61" s="29">
        <v>593031</v>
      </c>
      <c r="D61" s="30" t="s">
        <v>97</v>
      </c>
      <c r="F61" s="21">
        <v>1708080</v>
      </c>
      <c r="G61" s="31">
        <v>1795719</v>
      </c>
      <c r="H61" s="31">
        <v>2216814</v>
      </c>
      <c r="I61" s="31"/>
      <c r="J61" s="31">
        <v>2303757</v>
      </c>
      <c r="K61" s="28"/>
      <c r="L61" s="28"/>
      <c r="M61" s="31"/>
      <c r="N61" s="31"/>
      <c r="O61" s="31"/>
      <c r="P61" s="31"/>
      <c r="Q61" s="25">
        <v>593</v>
      </c>
    </row>
    <row r="62" spans="1:17" s="25" customFormat="1" ht="11.25">
      <c r="A62" s="17">
        <v>54</v>
      </c>
      <c r="B62" s="23">
        <f t="shared" si="0"/>
        <v>593</v>
      </c>
      <c r="C62" s="27">
        <v>593032</v>
      </c>
      <c r="D62" s="30" t="s">
        <v>98</v>
      </c>
      <c r="F62" s="21">
        <v>214424</v>
      </c>
      <c r="G62" s="31">
        <v>231632</v>
      </c>
      <c r="H62" s="31">
        <v>228704</v>
      </c>
      <c r="I62" s="31"/>
      <c r="J62" s="31">
        <v>123251</v>
      </c>
      <c r="K62" s="28"/>
      <c r="L62" s="28"/>
      <c r="M62" s="31"/>
      <c r="N62" s="31"/>
      <c r="O62" s="31"/>
      <c r="P62" s="31"/>
      <c r="Q62" s="25">
        <v>593</v>
      </c>
    </row>
    <row r="63" spans="1:17" s="25" customFormat="1" ht="11.25">
      <c r="A63" s="17">
        <v>55</v>
      </c>
      <c r="B63" s="23">
        <f t="shared" si="0"/>
        <v>593</v>
      </c>
      <c r="C63" s="27">
        <v>593033</v>
      </c>
      <c r="D63" s="30" t="s">
        <v>113</v>
      </c>
      <c r="F63" s="21">
        <v>152</v>
      </c>
      <c r="G63" s="31">
        <v>0</v>
      </c>
      <c r="H63" s="31">
        <v>0</v>
      </c>
      <c r="I63" s="31"/>
      <c r="J63" s="31">
        <v>0</v>
      </c>
      <c r="K63" s="28"/>
      <c r="L63" s="28"/>
      <c r="M63" s="31"/>
      <c r="N63" s="31"/>
      <c r="O63" s="31"/>
      <c r="P63" s="31"/>
      <c r="Q63" s="25">
        <v>593</v>
      </c>
    </row>
    <row r="64" spans="1:17" s="25" customFormat="1" ht="11.25">
      <c r="A64" s="17">
        <v>56</v>
      </c>
      <c r="B64" s="23">
        <f t="shared" si="0"/>
        <v>593</v>
      </c>
      <c r="C64" s="29">
        <v>593034</v>
      </c>
      <c r="D64" s="30" t="s">
        <v>99</v>
      </c>
      <c r="F64" s="21">
        <v>25</v>
      </c>
      <c r="G64" s="31">
        <v>79478</v>
      </c>
      <c r="H64" s="31">
        <v>10331</v>
      </c>
      <c r="I64" s="31"/>
      <c r="J64" s="31">
        <v>44259</v>
      </c>
      <c r="K64" s="28"/>
      <c r="L64" s="28"/>
      <c r="M64" s="31"/>
      <c r="N64" s="31"/>
      <c r="O64" s="31"/>
      <c r="P64" s="31"/>
      <c r="Q64" s="25">
        <v>593</v>
      </c>
    </row>
    <row r="65" spans="1:17" s="25" customFormat="1" ht="11.25">
      <c r="A65" s="17">
        <v>57</v>
      </c>
      <c r="B65" s="23">
        <f t="shared" si="0"/>
        <v>593</v>
      </c>
      <c r="C65" s="27">
        <v>593035</v>
      </c>
      <c r="D65" s="30" t="s">
        <v>100</v>
      </c>
      <c r="F65" s="21">
        <v>1360201</v>
      </c>
      <c r="G65" s="31">
        <f>'[1]O&amp;M Cost By FERC'!H89</f>
        <v>945637</v>
      </c>
      <c r="H65" s="31">
        <v>796532</v>
      </c>
      <c r="I65" s="31"/>
      <c r="J65" s="31">
        <v>995865</v>
      </c>
      <c r="K65" s="28"/>
      <c r="L65" s="28"/>
      <c r="M65" s="31"/>
      <c r="N65" s="31"/>
      <c r="O65" s="31"/>
      <c r="P65" s="31"/>
      <c r="Q65" s="25">
        <v>593</v>
      </c>
    </row>
    <row r="66" spans="1:17" s="25" customFormat="1" ht="11.25">
      <c r="A66" s="17">
        <v>58</v>
      </c>
      <c r="B66" s="23">
        <f t="shared" si="0"/>
        <v>593</v>
      </c>
      <c r="C66" s="29">
        <v>593036</v>
      </c>
      <c r="D66" s="30" t="s">
        <v>101</v>
      </c>
      <c r="F66" s="21"/>
      <c r="G66" s="31">
        <v>431585</v>
      </c>
      <c r="H66" s="31">
        <v>336168</v>
      </c>
      <c r="I66" s="31"/>
      <c r="J66" s="31">
        <v>438463</v>
      </c>
      <c r="K66" s="28"/>
      <c r="L66" s="28"/>
      <c r="M66" s="31"/>
      <c r="N66" s="31"/>
      <c r="O66" s="31"/>
      <c r="P66" s="31"/>
      <c r="Q66" s="25">
        <v>593</v>
      </c>
    </row>
    <row r="67" spans="1:17" s="25" customFormat="1" ht="11.25">
      <c r="A67" s="17">
        <v>59</v>
      </c>
      <c r="B67" s="23">
        <f t="shared" si="0"/>
        <v>593</v>
      </c>
      <c r="C67" s="27">
        <v>593037</v>
      </c>
      <c r="D67" s="32" t="s">
        <v>2</v>
      </c>
      <c r="F67" s="21"/>
      <c r="G67" s="31"/>
      <c r="H67" s="31">
        <v>1200</v>
      </c>
      <c r="I67" s="31"/>
      <c r="J67" s="31"/>
      <c r="K67" s="28"/>
      <c r="L67" s="28"/>
      <c r="M67" s="31"/>
      <c r="N67" s="31"/>
      <c r="O67" s="31"/>
      <c r="P67" s="31"/>
      <c r="Q67" s="25">
        <v>593</v>
      </c>
    </row>
    <row r="68" spans="1:18" s="25" customFormat="1" ht="11.25">
      <c r="A68" s="17">
        <v>60</v>
      </c>
      <c r="B68" s="23">
        <f t="shared" si="0"/>
        <v>593</v>
      </c>
      <c r="C68" s="27"/>
      <c r="D68" s="32"/>
      <c r="E68" s="25" t="s">
        <v>217</v>
      </c>
      <c r="F68" s="21">
        <f>SUM(F59:F67)</f>
        <v>3283315</v>
      </c>
      <c r="G68" s="21">
        <f>SUM(G59:G67)</f>
        <v>3506722</v>
      </c>
      <c r="H68" s="21">
        <f>SUM(H59:H67)</f>
        <v>3599174</v>
      </c>
      <c r="I68" s="31">
        <v>3761258</v>
      </c>
      <c r="J68" s="21">
        <f>SUM(J59:J67)</f>
        <v>3905595</v>
      </c>
      <c r="K68" s="28"/>
      <c r="L68" s="28"/>
      <c r="M68" s="31">
        <v>6174601</v>
      </c>
      <c r="N68" s="71">
        <f>M68-J68</f>
        <v>2269006</v>
      </c>
      <c r="O68" s="31"/>
      <c r="P68" s="31"/>
      <c r="Q68" s="25">
        <v>593</v>
      </c>
      <c r="R68" s="25">
        <v>3761258</v>
      </c>
    </row>
    <row r="69" spans="1:17" s="25" customFormat="1" ht="11.25">
      <c r="A69" s="17">
        <v>61</v>
      </c>
      <c r="B69" s="23">
        <f t="shared" si="0"/>
        <v>593</v>
      </c>
      <c r="C69" s="27"/>
      <c r="D69" s="32"/>
      <c r="F69" s="21"/>
      <c r="G69" s="21"/>
      <c r="H69" s="21"/>
      <c r="I69" s="31"/>
      <c r="J69" s="31"/>
      <c r="K69" s="28"/>
      <c r="L69" s="28"/>
      <c r="M69" s="31"/>
      <c r="N69" s="31"/>
      <c r="O69" s="31"/>
      <c r="P69" s="31"/>
      <c r="Q69" s="25">
        <v>593</v>
      </c>
    </row>
    <row r="70" spans="1:17" s="25" customFormat="1" ht="11.25">
      <c r="A70" s="17">
        <v>62</v>
      </c>
      <c r="B70" s="23">
        <f t="shared" si="0"/>
        <v>594</v>
      </c>
      <c r="C70" s="24">
        <v>594</v>
      </c>
      <c r="D70" s="32"/>
      <c r="F70" s="21"/>
      <c r="G70" s="31"/>
      <c r="H70" s="31"/>
      <c r="I70" s="31"/>
      <c r="J70" s="31"/>
      <c r="K70" s="28"/>
      <c r="L70" s="28"/>
      <c r="M70" s="31"/>
      <c r="N70" s="31"/>
      <c r="O70" s="31"/>
      <c r="P70" s="31"/>
      <c r="Q70" s="25">
        <v>594</v>
      </c>
    </row>
    <row r="71" spans="1:17" s="25" customFormat="1" ht="11.25">
      <c r="A71" s="17">
        <v>63</v>
      </c>
      <c r="B71" s="23">
        <f t="shared" si="0"/>
        <v>594</v>
      </c>
      <c r="C71" s="29">
        <v>594000</v>
      </c>
      <c r="D71" s="32" t="s">
        <v>3</v>
      </c>
      <c r="F71" s="21">
        <v>46</v>
      </c>
      <c r="G71" s="31"/>
      <c r="H71" s="31"/>
      <c r="I71" s="31"/>
      <c r="J71" s="31"/>
      <c r="K71" s="28"/>
      <c r="L71" s="28"/>
      <c r="M71" s="31"/>
      <c r="N71" s="31"/>
      <c r="O71" s="31"/>
      <c r="P71" s="31"/>
      <c r="Q71" s="25">
        <v>594</v>
      </c>
    </row>
    <row r="72" spans="1:18" s="25" customFormat="1" ht="11.25">
      <c r="A72" s="17">
        <v>64</v>
      </c>
      <c r="B72" s="23">
        <f t="shared" si="0"/>
        <v>594</v>
      </c>
      <c r="C72" s="29"/>
      <c r="D72" s="32"/>
      <c r="E72" s="25" t="s">
        <v>217</v>
      </c>
      <c r="F72" s="21">
        <f>SUM(F71)</f>
        <v>46</v>
      </c>
      <c r="G72" s="21">
        <f>SUM(G71)</f>
        <v>0</v>
      </c>
      <c r="H72" s="21">
        <f>SUM(H71)</f>
        <v>0</v>
      </c>
      <c r="I72" s="31">
        <v>0</v>
      </c>
      <c r="J72" s="21">
        <f>SUM(J71)</f>
        <v>0</v>
      </c>
      <c r="K72" s="28"/>
      <c r="L72" s="28"/>
      <c r="M72" s="21">
        <f>I72*1.035</f>
        <v>0</v>
      </c>
      <c r="N72" s="71">
        <f>M72-J72</f>
        <v>0</v>
      </c>
      <c r="O72" s="31"/>
      <c r="P72" s="31"/>
      <c r="Q72" s="25">
        <v>594</v>
      </c>
      <c r="R72" s="25">
        <v>0</v>
      </c>
    </row>
    <row r="73" spans="1:17" s="25" customFormat="1" ht="11.25">
      <c r="A73" s="17">
        <v>65</v>
      </c>
      <c r="B73" s="23">
        <f t="shared" si="0"/>
        <v>594</v>
      </c>
      <c r="C73" s="29"/>
      <c r="D73" s="32"/>
      <c r="F73" s="21"/>
      <c r="G73" s="31"/>
      <c r="H73" s="31"/>
      <c r="I73" s="31"/>
      <c r="J73" s="31"/>
      <c r="K73" s="28"/>
      <c r="L73" s="28"/>
      <c r="M73" s="31"/>
      <c r="N73" s="31"/>
      <c r="O73" s="31"/>
      <c r="P73" s="31"/>
      <c r="Q73" s="25">
        <v>594</v>
      </c>
    </row>
    <row r="74" spans="1:17" s="25" customFormat="1" ht="11.25">
      <c r="A74" s="17">
        <v>66</v>
      </c>
      <c r="B74" s="23">
        <f t="shared" si="0"/>
        <v>596</v>
      </c>
      <c r="C74" s="24">
        <v>596</v>
      </c>
      <c r="D74" s="32"/>
      <c r="F74" s="21"/>
      <c r="G74" s="31"/>
      <c r="H74" s="31"/>
      <c r="I74" s="31"/>
      <c r="J74" s="31"/>
      <c r="K74" s="28"/>
      <c r="L74" s="28"/>
      <c r="M74" s="31"/>
      <c r="N74" s="31"/>
      <c r="O74" s="31"/>
      <c r="P74" s="31"/>
      <c r="Q74" s="25">
        <v>596</v>
      </c>
    </row>
    <row r="75" spans="1:17" s="25" customFormat="1" ht="11.25">
      <c r="A75" s="17">
        <v>67</v>
      </c>
      <c r="B75" s="23">
        <f aca="true" t="shared" si="1" ref="B75:B138">IF(C75="",B74,VALUE(LEFT(C75,3)))</f>
        <v>596</v>
      </c>
      <c r="C75" s="29">
        <v>596010</v>
      </c>
      <c r="D75" s="32" t="s">
        <v>4</v>
      </c>
      <c r="F75" s="21"/>
      <c r="G75" s="31"/>
      <c r="H75" s="31">
        <v>446</v>
      </c>
      <c r="I75" s="31"/>
      <c r="J75" s="31"/>
      <c r="K75" s="28"/>
      <c r="L75" s="28"/>
      <c r="M75" s="31"/>
      <c r="N75" s="31"/>
      <c r="O75" s="31"/>
      <c r="P75" s="31"/>
      <c r="Q75" s="25">
        <v>596</v>
      </c>
    </row>
    <row r="76" spans="1:17" s="25" customFormat="1" ht="11.25">
      <c r="A76" s="17">
        <v>68</v>
      </c>
      <c r="B76" s="23">
        <f t="shared" si="1"/>
        <v>596</v>
      </c>
      <c r="C76" s="29">
        <v>596020</v>
      </c>
      <c r="D76" s="32" t="s">
        <v>5</v>
      </c>
      <c r="F76" s="21">
        <v>303</v>
      </c>
      <c r="G76" s="31"/>
      <c r="H76" s="31"/>
      <c r="I76" s="31"/>
      <c r="J76" s="31"/>
      <c r="K76" s="28"/>
      <c r="L76" s="28"/>
      <c r="M76" s="31"/>
      <c r="N76" s="31"/>
      <c r="O76" s="31"/>
      <c r="P76" s="31"/>
      <c r="Q76" s="25">
        <v>596</v>
      </c>
    </row>
    <row r="77" spans="1:18" s="25" customFormat="1" ht="11.25">
      <c r="A77" s="17">
        <v>69</v>
      </c>
      <c r="B77" s="23">
        <f t="shared" si="1"/>
        <v>596</v>
      </c>
      <c r="C77" s="29"/>
      <c r="D77" s="32"/>
      <c r="E77" s="25" t="s">
        <v>217</v>
      </c>
      <c r="F77" s="21">
        <f>SUM(F75:F76)</f>
        <v>303</v>
      </c>
      <c r="G77" s="21">
        <f>SUM(G75:G76)</f>
        <v>0</v>
      </c>
      <c r="H77" s="21">
        <f>SUM(H75:H76)</f>
        <v>446</v>
      </c>
      <c r="I77" s="31">
        <v>0</v>
      </c>
      <c r="J77" s="21">
        <f>SUM(J75:J76)</f>
        <v>0</v>
      </c>
      <c r="K77" s="28"/>
      <c r="L77" s="28"/>
      <c r="M77" s="21">
        <f>I77*1.035</f>
        <v>0</v>
      </c>
      <c r="N77" s="71">
        <f>M77-J77</f>
        <v>0</v>
      </c>
      <c r="O77" s="31"/>
      <c r="P77" s="31"/>
      <c r="Q77" s="25">
        <v>596</v>
      </c>
      <c r="R77" s="25">
        <v>0</v>
      </c>
    </row>
    <row r="78" spans="1:17" s="25" customFormat="1" ht="11.25">
      <c r="A78" s="17">
        <v>70</v>
      </c>
      <c r="B78" s="23">
        <f t="shared" si="1"/>
        <v>596</v>
      </c>
      <c r="C78" s="29"/>
      <c r="D78" s="32"/>
      <c r="F78" s="21"/>
      <c r="G78" s="31"/>
      <c r="H78" s="31"/>
      <c r="I78" s="31"/>
      <c r="J78" s="31"/>
      <c r="K78" s="28"/>
      <c r="L78" s="28"/>
      <c r="M78" s="31"/>
      <c r="N78" s="31"/>
      <c r="O78" s="31"/>
      <c r="P78" s="31"/>
      <c r="Q78" s="25">
        <v>596</v>
      </c>
    </row>
    <row r="79" spans="1:17" s="25" customFormat="1" ht="11.25">
      <c r="A79" s="17">
        <v>71</v>
      </c>
      <c r="B79" s="23">
        <f t="shared" si="1"/>
        <v>597</v>
      </c>
      <c r="C79" s="24">
        <v>597</v>
      </c>
      <c r="D79" s="32"/>
      <c r="F79" s="21"/>
      <c r="G79" s="31"/>
      <c r="H79" s="31"/>
      <c r="I79" s="31"/>
      <c r="J79" s="31"/>
      <c r="K79" s="28"/>
      <c r="L79" s="28"/>
      <c r="M79" s="31"/>
      <c r="N79" s="31"/>
      <c r="O79" s="31"/>
      <c r="P79" s="31"/>
      <c r="Q79" s="25">
        <v>597</v>
      </c>
    </row>
    <row r="80" spans="1:17" s="25" customFormat="1" ht="11.25">
      <c r="A80" s="17">
        <v>72</v>
      </c>
      <c r="B80" s="23">
        <f t="shared" si="1"/>
        <v>597</v>
      </c>
      <c r="C80" s="29">
        <v>597000</v>
      </c>
      <c r="D80" s="32" t="s">
        <v>6</v>
      </c>
      <c r="F80" s="21">
        <v>0</v>
      </c>
      <c r="G80" s="31">
        <v>92</v>
      </c>
      <c r="H80" s="31"/>
      <c r="I80" s="31"/>
      <c r="J80" s="31"/>
      <c r="K80" s="28"/>
      <c r="L80" s="28"/>
      <c r="M80" s="31"/>
      <c r="N80" s="31"/>
      <c r="O80" s="31"/>
      <c r="P80" s="31"/>
      <c r="Q80" s="25">
        <v>597</v>
      </c>
    </row>
    <row r="81" spans="1:18" s="25" customFormat="1" ht="11.25">
      <c r="A81" s="17">
        <v>73</v>
      </c>
      <c r="B81" s="23">
        <f t="shared" si="1"/>
        <v>597</v>
      </c>
      <c r="C81" s="29"/>
      <c r="D81" s="32"/>
      <c r="E81" s="25" t="s">
        <v>217</v>
      </c>
      <c r="F81" s="21">
        <f>SUM(F80)</f>
        <v>0</v>
      </c>
      <c r="G81" s="21">
        <f>SUM(G80)</f>
        <v>92</v>
      </c>
      <c r="H81" s="21">
        <f>SUM(H80)</f>
        <v>0</v>
      </c>
      <c r="I81" s="31">
        <v>0</v>
      </c>
      <c r="J81" s="21">
        <f>SUM(J80)</f>
        <v>0</v>
      </c>
      <c r="K81" s="28"/>
      <c r="L81" s="28"/>
      <c r="M81" s="21">
        <f>I81*1.035</f>
        <v>0</v>
      </c>
      <c r="N81" s="71">
        <f>M81-J81</f>
        <v>0</v>
      </c>
      <c r="O81" s="31"/>
      <c r="P81" s="31"/>
      <c r="Q81" s="25">
        <v>597</v>
      </c>
      <c r="R81" s="25">
        <v>0</v>
      </c>
    </row>
    <row r="82" spans="1:17" s="25" customFormat="1" ht="11.25">
      <c r="A82" s="17">
        <v>74</v>
      </c>
      <c r="B82" s="23">
        <f t="shared" si="1"/>
        <v>597</v>
      </c>
      <c r="C82" s="29"/>
      <c r="D82" s="32"/>
      <c r="F82" s="21"/>
      <c r="G82" s="31"/>
      <c r="H82" s="31"/>
      <c r="I82" s="31"/>
      <c r="J82" s="31"/>
      <c r="K82" s="28"/>
      <c r="L82" s="28"/>
      <c r="M82" s="31"/>
      <c r="N82" s="31"/>
      <c r="O82" s="31"/>
      <c r="P82" s="31"/>
      <c r="Q82" s="25">
        <v>597</v>
      </c>
    </row>
    <row r="83" spans="1:17" s="25" customFormat="1" ht="11.25">
      <c r="A83" s="17">
        <v>75</v>
      </c>
      <c r="B83" s="23">
        <f t="shared" si="1"/>
        <v>598</v>
      </c>
      <c r="C83" s="24">
        <v>598</v>
      </c>
      <c r="D83" s="32"/>
      <c r="F83" s="21"/>
      <c r="G83" s="31"/>
      <c r="H83" s="31"/>
      <c r="I83" s="31"/>
      <c r="J83" s="31"/>
      <c r="K83" s="28"/>
      <c r="L83" s="28"/>
      <c r="M83" s="31"/>
      <c r="N83" s="31"/>
      <c r="O83" s="31"/>
      <c r="P83" s="31"/>
      <c r="Q83" s="25">
        <v>598</v>
      </c>
    </row>
    <row r="84" spans="1:17" s="25" customFormat="1" ht="11.25">
      <c r="A84" s="17">
        <v>76</v>
      </c>
      <c r="B84" s="23">
        <f t="shared" si="1"/>
        <v>598</v>
      </c>
      <c r="C84" s="29">
        <v>598000</v>
      </c>
      <c r="D84" s="32" t="s">
        <v>7</v>
      </c>
      <c r="F84" s="21">
        <v>3375</v>
      </c>
      <c r="G84" s="31">
        <v>4164</v>
      </c>
      <c r="H84" s="31">
        <v>197</v>
      </c>
      <c r="I84" s="31"/>
      <c r="J84" s="31">
        <v>106</v>
      </c>
      <c r="K84" s="28"/>
      <c r="L84" s="28"/>
      <c r="M84" s="31"/>
      <c r="N84" s="31"/>
      <c r="O84" s="31"/>
      <c r="P84" s="31"/>
      <c r="Q84" s="25">
        <v>598</v>
      </c>
    </row>
    <row r="85" spans="1:18" s="25" customFormat="1" ht="11.25">
      <c r="A85" s="17">
        <v>77</v>
      </c>
      <c r="B85" s="23">
        <f t="shared" si="1"/>
        <v>598</v>
      </c>
      <c r="C85" s="29"/>
      <c r="D85" s="32"/>
      <c r="E85" s="25" t="s">
        <v>217</v>
      </c>
      <c r="F85" s="21">
        <f>SUM(F84)</f>
        <v>3375</v>
      </c>
      <c r="G85" s="21">
        <f>SUM(G84)</f>
        <v>4164</v>
      </c>
      <c r="H85" s="21">
        <f>SUM(H84)</f>
        <v>197</v>
      </c>
      <c r="I85" s="25">
        <v>0</v>
      </c>
      <c r="J85" s="21">
        <f>SUM(J84)</f>
        <v>106</v>
      </c>
      <c r="K85" s="28"/>
      <c r="L85" s="28"/>
      <c r="M85" s="21">
        <f>I85*1.035</f>
        <v>0</v>
      </c>
      <c r="N85" s="71">
        <f>M85-J85</f>
        <v>-106</v>
      </c>
      <c r="O85" s="31"/>
      <c r="P85" s="31"/>
      <c r="Q85" s="25">
        <v>598</v>
      </c>
      <c r="R85" s="25">
        <v>0</v>
      </c>
    </row>
    <row r="86" spans="1:17" s="25" customFormat="1" ht="11.25">
      <c r="A86" s="17">
        <v>78</v>
      </c>
      <c r="B86" s="23">
        <f t="shared" si="1"/>
        <v>598</v>
      </c>
      <c r="C86" s="29"/>
      <c r="D86" s="32"/>
      <c r="F86" s="21"/>
      <c r="G86" s="31"/>
      <c r="H86" s="31"/>
      <c r="I86" s="31"/>
      <c r="J86" s="31"/>
      <c r="K86" s="28"/>
      <c r="L86" s="28"/>
      <c r="M86" s="31"/>
      <c r="N86" s="31"/>
      <c r="O86" s="31"/>
      <c r="P86" s="31"/>
      <c r="Q86" s="25">
        <v>598</v>
      </c>
    </row>
    <row r="87" spans="1:17" s="25" customFormat="1" ht="11.25">
      <c r="A87" s="17">
        <v>79</v>
      </c>
      <c r="B87" s="23">
        <f t="shared" si="1"/>
        <v>598</v>
      </c>
      <c r="C87" s="29"/>
      <c r="D87" s="32"/>
      <c r="F87" s="21"/>
      <c r="G87" s="21"/>
      <c r="H87" s="21"/>
      <c r="I87" s="21"/>
      <c r="J87" s="21"/>
      <c r="K87" s="28"/>
      <c r="L87" s="28"/>
      <c r="M87" s="21"/>
      <c r="N87" s="21"/>
      <c r="O87" s="31"/>
      <c r="P87" s="31"/>
      <c r="Q87" s="25">
        <v>598</v>
      </c>
    </row>
    <row r="88" spans="1:17" s="25" customFormat="1" ht="11.25">
      <c r="A88" s="17">
        <v>80</v>
      </c>
      <c r="B88" s="23">
        <f t="shared" si="1"/>
        <v>885</v>
      </c>
      <c r="C88" s="29">
        <v>885</v>
      </c>
      <c r="D88" s="32"/>
      <c r="F88" s="21"/>
      <c r="G88" s="21"/>
      <c r="H88" s="21"/>
      <c r="I88" s="21"/>
      <c r="J88" s="21"/>
      <c r="K88" s="28"/>
      <c r="L88" s="28"/>
      <c r="M88" s="21"/>
      <c r="N88" s="21"/>
      <c r="O88" s="31"/>
      <c r="P88" s="31"/>
      <c r="Q88" s="25">
        <v>885</v>
      </c>
    </row>
    <row r="89" spans="1:17" s="25" customFormat="1" ht="11.25">
      <c r="A89" s="17">
        <v>81</v>
      </c>
      <c r="B89" s="23">
        <f t="shared" si="1"/>
        <v>885</v>
      </c>
      <c r="C89" s="29">
        <v>885000</v>
      </c>
      <c r="D89" s="32"/>
      <c r="F89" s="21"/>
      <c r="G89" s="21">
        <v>21160</v>
      </c>
      <c r="H89" s="21">
        <v>23301</v>
      </c>
      <c r="I89" s="21"/>
      <c r="J89" s="21">
        <v>10318</v>
      </c>
      <c r="K89" s="28"/>
      <c r="L89" s="28"/>
      <c r="M89" s="21"/>
      <c r="N89" s="21"/>
      <c r="O89" s="31"/>
      <c r="P89" s="31"/>
      <c r="Q89" s="25">
        <v>885</v>
      </c>
    </row>
    <row r="90" spans="1:18" s="25" customFormat="1" ht="11.25">
      <c r="A90" s="17">
        <v>82</v>
      </c>
      <c r="B90" s="23">
        <f t="shared" si="1"/>
        <v>885</v>
      </c>
      <c r="C90" s="29"/>
      <c r="D90" s="32"/>
      <c r="E90" s="25" t="s">
        <v>217</v>
      </c>
      <c r="F90" s="21">
        <f>SUM(F89)</f>
        <v>0</v>
      </c>
      <c r="G90" s="21">
        <f>SUM(G89)</f>
        <v>21160</v>
      </c>
      <c r="H90" s="21">
        <f>SUM(H89)</f>
        <v>23301</v>
      </c>
      <c r="I90" s="21">
        <v>23671</v>
      </c>
      <c r="J90" s="21">
        <f>SUM(J89)</f>
        <v>10318</v>
      </c>
      <c r="K90" s="28"/>
      <c r="L90" s="28"/>
      <c r="M90" s="21">
        <v>25091</v>
      </c>
      <c r="N90" s="71">
        <f>M90-J90</f>
        <v>14773</v>
      </c>
      <c r="O90" s="31"/>
      <c r="P90" s="31"/>
      <c r="Q90" s="25">
        <v>885</v>
      </c>
      <c r="R90" s="25">
        <v>23671</v>
      </c>
    </row>
    <row r="91" spans="1:17" s="25" customFormat="1" ht="11.25">
      <c r="A91" s="17">
        <v>83</v>
      </c>
      <c r="B91" s="23">
        <f t="shared" si="1"/>
        <v>885</v>
      </c>
      <c r="C91" s="29"/>
      <c r="D91" s="32"/>
      <c r="F91" s="21"/>
      <c r="G91" s="21"/>
      <c r="H91" s="21"/>
      <c r="I91" s="21"/>
      <c r="J91" s="21"/>
      <c r="K91" s="28"/>
      <c r="L91" s="28"/>
      <c r="M91" s="21"/>
      <c r="N91" s="21"/>
      <c r="O91" s="31"/>
      <c r="P91" s="31"/>
      <c r="Q91" s="25">
        <v>885</v>
      </c>
    </row>
    <row r="92" spans="1:17" s="25" customFormat="1" ht="11.25">
      <c r="A92" s="17">
        <v>84</v>
      </c>
      <c r="B92" s="23">
        <f t="shared" si="1"/>
        <v>887</v>
      </c>
      <c r="C92" s="29">
        <v>887</v>
      </c>
      <c r="D92" s="32"/>
      <c r="F92" s="21"/>
      <c r="G92" s="21"/>
      <c r="H92" s="21"/>
      <c r="I92" s="21"/>
      <c r="J92" s="21"/>
      <c r="K92" s="28"/>
      <c r="L92" s="28"/>
      <c r="M92" s="21"/>
      <c r="N92" s="21"/>
      <c r="O92" s="31"/>
      <c r="P92" s="31"/>
      <c r="Q92" s="25">
        <v>887</v>
      </c>
    </row>
    <row r="93" spans="1:17" s="25" customFormat="1" ht="11.25">
      <c r="A93" s="17">
        <v>85</v>
      </c>
      <c r="B93" s="23">
        <f t="shared" si="1"/>
        <v>887</v>
      </c>
      <c r="C93" s="29">
        <v>887000</v>
      </c>
      <c r="D93" s="32"/>
      <c r="F93" s="21">
        <v>11760</v>
      </c>
      <c r="G93" s="21">
        <v>104400</v>
      </c>
      <c r="H93" s="21">
        <v>139431</v>
      </c>
      <c r="I93" s="21"/>
      <c r="J93" s="21">
        <v>103083</v>
      </c>
      <c r="K93" s="28"/>
      <c r="L93" s="28"/>
      <c r="M93" s="21"/>
      <c r="N93" s="21"/>
      <c r="O93" s="31"/>
      <c r="P93" s="31"/>
      <c r="Q93" s="25">
        <v>887</v>
      </c>
    </row>
    <row r="94" spans="1:18" s="25" customFormat="1" ht="11.25">
      <c r="A94" s="17">
        <v>86</v>
      </c>
      <c r="B94" s="23">
        <f t="shared" si="1"/>
        <v>887</v>
      </c>
      <c r="C94" s="29"/>
      <c r="D94" s="32"/>
      <c r="F94" s="21">
        <f>SUM(F93)</f>
        <v>11760</v>
      </c>
      <c r="G94" s="21">
        <f>SUM(G93)</f>
        <v>104400</v>
      </c>
      <c r="H94" s="21">
        <f>SUM(H93)</f>
        <v>139431</v>
      </c>
      <c r="I94" s="21">
        <v>105000</v>
      </c>
      <c r="J94" s="21">
        <f>SUM(J93)</f>
        <v>103083</v>
      </c>
      <c r="K94" s="28"/>
      <c r="L94" s="28"/>
      <c r="M94" s="21">
        <v>230338</v>
      </c>
      <c r="N94" s="71">
        <f>M94-J94</f>
        <v>127255</v>
      </c>
      <c r="O94" s="31"/>
      <c r="P94" s="31"/>
      <c r="Q94" s="25">
        <v>887</v>
      </c>
      <c r="R94" s="25">
        <v>105000</v>
      </c>
    </row>
    <row r="95" spans="1:17" s="25" customFormat="1" ht="11.25">
      <c r="A95" s="17">
        <v>87</v>
      </c>
      <c r="B95" s="23">
        <f t="shared" si="1"/>
        <v>887</v>
      </c>
      <c r="C95" s="29"/>
      <c r="D95" s="32"/>
      <c r="F95" s="21"/>
      <c r="G95" s="21"/>
      <c r="H95" s="21"/>
      <c r="I95" s="21"/>
      <c r="J95" s="21"/>
      <c r="K95" s="28"/>
      <c r="L95" s="28"/>
      <c r="M95" s="21"/>
      <c r="N95" s="21"/>
      <c r="O95" s="31"/>
      <c r="P95" s="31"/>
      <c r="Q95" s="25">
        <v>887</v>
      </c>
    </row>
    <row r="96" spans="1:17" s="25" customFormat="1" ht="11.25">
      <c r="A96" s="17">
        <v>88</v>
      </c>
      <c r="B96" s="23">
        <f t="shared" si="1"/>
        <v>921</v>
      </c>
      <c r="C96" s="29">
        <v>921</v>
      </c>
      <c r="D96" s="32"/>
      <c r="F96" s="21"/>
      <c r="G96" s="21"/>
      <c r="H96" s="21"/>
      <c r="I96" s="21"/>
      <c r="J96" s="21"/>
      <c r="K96" s="28"/>
      <c r="L96" s="28"/>
      <c r="M96" s="21"/>
      <c r="N96" s="21"/>
      <c r="O96" s="31"/>
      <c r="P96" s="31"/>
      <c r="Q96" s="25">
        <v>921</v>
      </c>
    </row>
    <row r="97" spans="1:17" s="25" customFormat="1" ht="11.25">
      <c r="A97" s="17">
        <v>89</v>
      </c>
      <c r="B97" s="23">
        <f t="shared" si="1"/>
        <v>921</v>
      </c>
      <c r="C97" s="29">
        <v>921000</v>
      </c>
      <c r="D97" s="32"/>
      <c r="F97" s="21">
        <v>120</v>
      </c>
      <c r="G97" s="21">
        <v>418</v>
      </c>
      <c r="H97" s="21">
        <v>287</v>
      </c>
      <c r="I97" s="21"/>
      <c r="J97" s="21">
        <v>0</v>
      </c>
      <c r="K97" s="28"/>
      <c r="L97" s="28"/>
      <c r="M97" s="21"/>
      <c r="N97" s="21"/>
      <c r="O97" s="31"/>
      <c r="P97" s="31"/>
      <c r="Q97" s="25">
        <v>921</v>
      </c>
    </row>
    <row r="98" spans="1:18" s="25" customFormat="1" ht="11.25">
      <c r="A98" s="17">
        <v>90</v>
      </c>
      <c r="B98" s="23">
        <f t="shared" si="1"/>
        <v>921</v>
      </c>
      <c r="C98" s="29"/>
      <c r="D98" s="32"/>
      <c r="E98" s="25" t="s">
        <v>217</v>
      </c>
      <c r="F98" s="21">
        <f>SUM(F97)</f>
        <v>120</v>
      </c>
      <c r="G98" s="21">
        <f>SUM(G97)</f>
        <v>418</v>
      </c>
      <c r="H98" s="21">
        <f>SUM(H97)</f>
        <v>287</v>
      </c>
      <c r="I98" s="21">
        <v>0</v>
      </c>
      <c r="J98" s="21">
        <v>0</v>
      </c>
      <c r="K98" s="28"/>
      <c r="L98" s="28"/>
      <c r="M98" s="21">
        <f>I98*1.035</f>
        <v>0</v>
      </c>
      <c r="N98" s="71">
        <f>M98-J98</f>
        <v>0</v>
      </c>
      <c r="O98" s="31"/>
      <c r="P98" s="31"/>
      <c r="Q98" s="25">
        <v>921</v>
      </c>
      <c r="R98" s="25">
        <v>0</v>
      </c>
    </row>
    <row r="99" spans="1:17" s="25" customFormat="1" ht="11.25">
      <c r="A99" s="17">
        <v>91</v>
      </c>
      <c r="B99" s="23">
        <f t="shared" si="1"/>
        <v>921</v>
      </c>
      <c r="C99" s="29"/>
      <c r="D99" s="32"/>
      <c r="F99" s="21"/>
      <c r="G99" s="21"/>
      <c r="H99" s="21"/>
      <c r="I99" s="21"/>
      <c r="J99" s="21"/>
      <c r="K99" s="28"/>
      <c r="L99" s="28"/>
      <c r="M99" s="21"/>
      <c r="N99" s="21"/>
      <c r="O99" s="31"/>
      <c r="P99" s="31"/>
      <c r="Q99" s="25">
        <v>921</v>
      </c>
    </row>
    <row r="100" spans="1:17" s="25" customFormat="1" ht="11.25">
      <c r="A100" s="17">
        <v>92</v>
      </c>
      <c r="B100" s="23">
        <f t="shared" si="1"/>
        <v>923</v>
      </c>
      <c r="C100" s="29">
        <v>923</v>
      </c>
      <c r="D100" s="32"/>
      <c r="F100" s="21"/>
      <c r="G100" s="21"/>
      <c r="H100" s="21"/>
      <c r="I100" s="21"/>
      <c r="J100" s="21"/>
      <c r="K100" s="28"/>
      <c r="L100" s="28"/>
      <c r="M100" s="21"/>
      <c r="N100" s="21"/>
      <c r="O100" s="31"/>
      <c r="P100" s="31"/>
      <c r="Q100" s="25">
        <v>923</v>
      </c>
    </row>
    <row r="101" spans="1:17" s="25" customFormat="1" ht="11.25">
      <c r="A101" s="17">
        <v>93</v>
      </c>
      <c r="B101" s="23">
        <f t="shared" si="1"/>
        <v>923</v>
      </c>
      <c r="C101" s="29">
        <v>923000</v>
      </c>
      <c r="D101" s="32"/>
      <c r="F101" s="21">
        <v>1942</v>
      </c>
      <c r="G101" s="21">
        <v>0</v>
      </c>
      <c r="H101" s="21">
        <v>0</v>
      </c>
      <c r="I101" s="21"/>
      <c r="J101" s="21">
        <v>375</v>
      </c>
      <c r="K101" s="28"/>
      <c r="L101" s="28"/>
      <c r="M101" s="21"/>
      <c r="N101" s="72"/>
      <c r="O101" s="31"/>
      <c r="P101" s="31"/>
      <c r="Q101" s="25">
        <v>923</v>
      </c>
    </row>
    <row r="102" spans="1:18" s="25" customFormat="1" ht="11.25">
      <c r="A102" s="17">
        <v>94</v>
      </c>
      <c r="B102" s="23">
        <f t="shared" si="1"/>
        <v>923</v>
      </c>
      <c r="C102" s="29"/>
      <c r="D102" s="32"/>
      <c r="E102" s="25" t="s">
        <v>217</v>
      </c>
      <c r="F102" s="21">
        <f>SUM(F101)</f>
        <v>1942</v>
      </c>
      <c r="G102" s="21">
        <f>SUM(G101)</f>
        <v>0</v>
      </c>
      <c r="H102" s="21">
        <f>SUM(H101)</f>
        <v>0</v>
      </c>
      <c r="I102" s="21">
        <v>0</v>
      </c>
      <c r="J102" s="21">
        <f>SUM(J101)</f>
        <v>375</v>
      </c>
      <c r="K102" s="28"/>
      <c r="L102" s="28"/>
      <c r="M102" s="21">
        <f>I102*1.035</f>
        <v>0</v>
      </c>
      <c r="N102" s="71">
        <f>M102-J102</f>
        <v>-375</v>
      </c>
      <c r="O102" s="31"/>
      <c r="P102" s="31"/>
      <c r="Q102" s="25">
        <v>923</v>
      </c>
      <c r="R102" s="25">
        <v>0</v>
      </c>
    </row>
    <row r="103" spans="1:17" s="25" customFormat="1" ht="11.25">
      <c r="A103" s="17">
        <v>95</v>
      </c>
      <c r="B103" s="23">
        <f t="shared" si="1"/>
        <v>923</v>
      </c>
      <c r="C103" s="29"/>
      <c r="D103" s="32"/>
      <c r="F103" s="21"/>
      <c r="G103" s="21"/>
      <c r="H103" s="21"/>
      <c r="I103" s="21"/>
      <c r="J103" s="21"/>
      <c r="K103" s="28"/>
      <c r="L103" s="28"/>
      <c r="M103" s="21"/>
      <c r="N103" s="21"/>
      <c r="O103" s="31"/>
      <c r="P103" s="31"/>
      <c r="Q103" s="25">
        <v>923</v>
      </c>
    </row>
    <row r="104" spans="1:17" s="25" customFormat="1" ht="11.25">
      <c r="A104" s="17">
        <v>96</v>
      </c>
      <c r="B104" s="23">
        <f t="shared" si="1"/>
        <v>925</v>
      </c>
      <c r="C104" s="29">
        <v>925100</v>
      </c>
      <c r="D104" s="32"/>
      <c r="F104" s="21"/>
      <c r="G104" s="21"/>
      <c r="H104" s="21"/>
      <c r="I104" s="21"/>
      <c r="J104" s="21"/>
      <c r="K104" s="28"/>
      <c r="L104" s="28"/>
      <c r="M104" s="21"/>
      <c r="N104" s="21"/>
      <c r="O104" s="31"/>
      <c r="P104" s="31"/>
      <c r="Q104" s="25">
        <v>925</v>
      </c>
    </row>
    <row r="105" spans="1:17" s="25" customFormat="1" ht="11.25">
      <c r="A105" s="17">
        <v>97</v>
      </c>
      <c r="B105" s="23">
        <f t="shared" si="1"/>
        <v>925</v>
      </c>
      <c r="C105" s="29">
        <v>925100</v>
      </c>
      <c r="D105" s="32"/>
      <c r="F105" s="21"/>
      <c r="G105" s="21">
        <v>1086</v>
      </c>
      <c r="H105" s="21">
        <v>4573</v>
      </c>
      <c r="I105" s="21"/>
      <c r="J105" s="21">
        <v>-7691</v>
      </c>
      <c r="K105" s="28"/>
      <c r="L105" s="28"/>
      <c r="M105" s="21"/>
      <c r="N105" s="21"/>
      <c r="O105" s="31"/>
      <c r="P105" s="31"/>
      <c r="Q105" s="25">
        <v>925</v>
      </c>
    </row>
    <row r="106" spans="1:18" s="25" customFormat="1" ht="11.25">
      <c r="A106" s="17">
        <v>98</v>
      </c>
      <c r="B106" s="23">
        <f t="shared" si="1"/>
        <v>925</v>
      </c>
      <c r="C106" s="29"/>
      <c r="D106" s="32"/>
      <c r="E106" s="25" t="s">
        <v>217</v>
      </c>
      <c r="F106" s="21">
        <f>SUM(F105)</f>
        <v>0</v>
      </c>
      <c r="G106" s="21">
        <f>SUM(G105)</f>
        <v>1086</v>
      </c>
      <c r="H106" s="21">
        <f>SUM(H105)</f>
        <v>4573</v>
      </c>
      <c r="I106" s="21">
        <v>0</v>
      </c>
      <c r="J106" s="21">
        <v>-7691</v>
      </c>
      <c r="K106" s="28"/>
      <c r="L106" s="28"/>
      <c r="M106" s="21">
        <f>I106*1.035</f>
        <v>0</v>
      </c>
      <c r="N106" s="71">
        <f>M106-J106</f>
        <v>7691</v>
      </c>
      <c r="O106" s="31"/>
      <c r="P106" s="31"/>
      <c r="Q106" s="25">
        <v>925</v>
      </c>
      <c r="R106" s="25">
        <v>0</v>
      </c>
    </row>
    <row r="107" spans="1:17" s="25" customFormat="1" ht="11.25">
      <c r="A107" s="17">
        <v>99</v>
      </c>
      <c r="B107" s="23">
        <f t="shared" si="1"/>
        <v>925</v>
      </c>
      <c r="C107" s="29"/>
      <c r="D107" s="32"/>
      <c r="F107" s="21"/>
      <c r="G107" s="21"/>
      <c r="H107" s="21"/>
      <c r="I107" s="21"/>
      <c r="J107" s="21"/>
      <c r="K107" s="28"/>
      <c r="L107" s="28"/>
      <c r="M107" s="21"/>
      <c r="N107" s="21"/>
      <c r="O107" s="31"/>
      <c r="P107" s="31"/>
      <c r="Q107" s="25">
        <v>925</v>
      </c>
    </row>
    <row r="108" spans="1:17" s="25" customFormat="1" ht="11.25">
      <c r="A108" s="17">
        <v>100</v>
      </c>
      <c r="B108" s="23">
        <f t="shared" si="1"/>
        <v>926</v>
      </c>
      <c r="C108" s="29">
        <v>926100</v>
      </c>
      <c r="D108" s="32"/>
      <c r="F108" s="21"/>
      <c r="G108" s="21"/>
      <c r="H108" s="21"/>
      <c r="I108" s="31"/>
      <c r="J108" s="31"/>
      <c r="K108" s="28"/>
      <c r="L108" s="28"/>
      <c r="M108" s="21"/>
      <c r="N108" s="21"/>
      <c r="O108" s="31"/>
      <c r="P108" s="31"/>
      <c r="Q108" s="25">
        <v>926</v>
      </c>
    </row>
    <row r="109" spans="1:17" s="25" customFormat="1" ht="11.25">
      <c r="A109" s="17">
        <v>101</v>
      </c>
      <c r="B109" s="23">
        <f t="shared" si="1"/>
        <v>926</v>
      </c>
      <c r="C109" s="29">
        <v>926100</v>
      </c>
      <c r="D109" s="32"/>
      <c r="F109" s="21"/>
      <c r="G109" s="21">
        <v>631</v>
      </c>
      <c r="H109" s="21"/>
      <c r="I109" s="31"/>
      <c r="J109" s="31"/>
      <c r="K109" s="28"/>
      <c r="L109" s="28"/>
      <c r="M109" s="21"/>
      <c r="N109" s="21"/>
      <c r="O109" s="31"/>
      <c r="P109" s="31"/>
      <c r="Q109" s="25">
        <v>926</v>
      </c>
    </row>
    <row r="110" spans="1:18" s="25" customFormat="1" ht="11.25">
      <c r="A110" s="17">
        <v>102</v>
      </c>
      <c r="B110" s="23">
        <f t="shared" si="1"/>
        <v>926</v>
      </c>
      <c r="C110" s="29"/>
      <c r="D110" s="32"/>
      <c r="E110" s="25" t="s">
        <v>217</v>
      </c>
      <c r="F110" s="21">
        <f>SUM(F109)</f>
        <v>0</v>
      </c>
      <c r="G110" s="21">
        <f>SUM(G109)</f>
        <v>631</v>
      </c>
      <c r="H110" s="21">
        <f>SUM(H109)</f>
        <v>0</v>
      </c>
      <c r="I110" s="31">
        <v>0</v>
      </c>
      <c r="J110" s="21">
        <f>SUM(J109)</f>
        <v>0</v>
      </c>
      <c r="K110" s="28"/>
      <c r="L110" s="28"/>
      <c r="M110" s="21">
        <f>I110*1.035</f>
        <v>0</v>
      </c>
      <c r="N110" s="71">
        <f>M110-J110</f>
        <v>0</v>
      </c>
      <c r="O110" s="31"/>
      <c r="P110" s="31"/>
      <c r="Q110" s="25">
        <v>926</v>
      </c>
      <c r="R110" s="25">
        <v>0</v>
      </c>
    </row>
    <row r="111" spans="1:17" s="25" customFormat="1" ht="11.25">
      <c r="A111" s="17">
        <v>103</v>
      </c>
      <c r="B111" s="23">
        <f t="shared" si="1"/>
        <v>926</v>
      </c>
      <c r="C111" s="29"/>
      <c r="D111" s="32"/>
      <c r="F111" s="21"/>
      <c r="G111" s="21"/>
      <c r="H111" s="21"/>
      <c r="I111" s="31"/>
      <c r="J111" s="31"/>
      <c r="K111" s="28"/>
      <c r="L111" s="28"/>
      <c r="M111" s="21"/>
      <c r="N111" s="21"/>
      <c r="O111" s="31"/>
      <c r="P111" s="31"/>
      <c r="Q111" s="25">
        <v>926</v>
      </c>
    </row>
    <row r="112" spans="1:17" s="25" customFormat="1" ht="11.25">
      <c r="A112" s="17">
        <v>104</v>
      </c>
      <c r="B112" s="23">
        <f t="shared" si="1"/>
        <v>930</v>
      </c>
      <c r="C112" s="29">
        <v>930200</v>
      </c>
      <c r="D112" s="32"/>
      <c r="F112" s="21"/>
      <c r="G112" s="21"/>
      <c r="H112" s="21"/>
      <c r="I112" s="31"/>
      <c r="J112" s="31"/>
      <c r="K112" s="28"/>
      <c r="L112" s="28"/>
      <c r="M112" s="21"/>
      <c r="N112" s="21"/>
      <c r="O112" s="31"/>
      <c r="P112" s="31"/>
      <c r="Q112" s="25">
        <v>930</v>
      </c>
    </row>
    <row r="113" spans="1:17" s="25" customFormat="1" ht="11.25">
      <c r="A113" s="17">
        <v>105</v>
      </c>
      <c r="B113" s="23">
        <f t="shared" si="1"/>
        <v>930</v>
      </c>
      <c r="C113" s="29">
        <v>930200</v>
      </c>
      <c r="D113" s="32"/>
      <c r="F113" s="21">
        <v>1131</v>
      </c>
      <c r="G113" s="31">
        <v>728</v>
      </c>
      <c r="H113" s="31"/>
      <c r="I113" s="31"/>
      <c r="J113" s="31"/>
      <c r="K113" s="28"/>
      <c r="L113" s="28"/>
      <c r="M113" s="31"/>
      <c r="N113" s="31"/>
      <c r="O113" s="31"/>
      <c r="P113" s="31"/>
      <c r="Q113" s="25">
        <v>930</v>
      </c>
    </row>
    <row r="114" spans="1:18" s="25" customFormat="1" ht="11.25">
      <c r="A114" s="17">
        <v>106</v>
      </c>
      <c r="B114" s="23">
        <f t="shared" si="1"/>
        <v>930</v>
      </c>
      <c r="C114" s="29"/>
      <c r="D114" s="32"/>
      <c r="E114" s="25" t="s">
        <v>217</v>
      </c>
      <c r="F114" s="21">
        <f>SUM(F113)</f>
        <v>1131</v>
      </c>
      <c r="G114" s="21">
        <f>SUM(G113)</f>
        <v>728</v>
      </c>
      <c r="H114" s="21">
        <f>SUM(H113)</f>
        <v>0</v>
      </c>
      <c r="I114" s="31">
        <v>0</v>
      </c>
      <c r="J114" s="21">
        <f>SUM(J113)</f>
        <v>0</v>
      </c>
      <c r="K114" s="28"/>
      <c r="L114" s="28"/>
      <c r="M114" s="21">
        <f>I114*1.035</f>
        <v>0</v>
      </c>
      <c r="N114" s="71">
        <f>M114-J114</f>
        <v>0</v>
      </c>
      <c r="O114" s="31"/>
      <c r="P114" s="31"/>
      <c r="Q114" s="25">
        <v>930</v>
      </c>
      <c r="R114" s="25">
        <v>0</v>
      </c>
    </row>
    <row r="115" spans="1:17" s="25" customFormat="1" ht="11.25">
      <c r="A115" s="17">
        <v>107</v>
      </c>
      <c r="B115" s="23">
        <f t="shared" si="1"/>
        <v>930</v>
      </c>
      <c r="C115" s="29"/>
      <c r="D115" s="32"/>
      <c r="F115" s="21"/>
      <c r="G115" s="21"/>
      <c r="H115" s="21"/>
      <c r="I115" s="31"/>
      <c r="J115" s="31"/>
      <c r="K115" s="28"/>
      <c r="L115" s="28"/>
      <c r="M115" s="31"/>
      <c r="N115" s="31"/>
      <c r="O115" s="31"/>
      <c r="P115" s="31"/>
      <c r="Q115" s="25">
        <v>930</v>
      </c>
    </row>
    <row r="116" spans="1:18" s="25" customFormat="1" ht="22.5" customHeight="1">
      <c r="A116" s="17">
        <v>108</v>
      </c>
      <c r="B116" s="23">
        <f t="shared" si="1"/>
        <v>930</v>
      </c>
      <c r="C116" s="29"/>
      <c r="D116" s="259" t="s">
        <v>402</v>
      </c>
      <c r="E116" s="260"/>
      <c r="F116" s="21">
        <f>SUM(F12+F20+F24+F28+F36+F40+F44+F52+F56+F68+F72+F77+F81+F85+F90+F94+F98+F102++F106+F110+F114)</f>
        <v>4628771</v>
      </c>
      <c r="G116" s="21">
        <f>SUM(G12+G20+G24+G28+G36+G40+G44+G52+G56+G68+G72+G77+G81+G85+G90+G94+G98+G102++G106+G110+G114)</f>
        <v>5192234</v>
      </c>
      <c r="H116" s="21">
        <f>SUM(H12+H20+H24+H28+H36+H40+H44+H52+H56+H68+H72+H77+H81+H85+H90+H94+H98+H102++H106+H110+H114)</f>
        <v>5192911</v>
      </c>
      <c r="I116" s="21">
        <f>SUM(I12+I20+I24+I28+I36+I40+I44+I52+I56+I68+I72+I77+I81+I85+I90+I94+I98+I102++I106+I110+I114)</f>
        <v>5371263</v>
      </c>
      <c r="J116" s="21">
        <f>SUM(J12+J20+J24+J28+J36+J40+J44+J52+J56+J68+J72+J77+J81+J85+J90+J94+J98+J102++J106+J110+J114)</f>
        <v>5576948</v>
      </c>
      <c r="K116" s="28"/>
      <c r="L116" s="28"/>
      <c r="M116" s="21">
        <f>SUM(M12+M20+M24+M28+M36+M40+M44+M52+M56+M68+M72+M77+M81+M85+M90+M94+M98+M102++M106+M110+M114)</f>
        <v>8266923</v>
      </c>
      <c r="N116" s="21">
        <f>SUM(N12+N20+N24+N28+N36+N40+N44+N52+N56+N68+N72+N77+N81+N85+N90+N94+N98+N102++N106+N110+N114)</f>
        <v>2689975</v>
      </c>
      <c r="O116" s="31"/>
      <c r="P116" s="31"/>
      <c r="Q116" s="25">
        <v>930</v>
      </c>
      <c r="R116" s="25">
        <v>5371263</v>
      </c>
    </row>
    <row r="117" spans="1:17" s="25" customFormat="1" ht="11.25">
      <c r="A117" s="17">
        <v>109</v>
      </c>
      <c r="B117" s="23">
        <f t="shared" si="1"/>
        <v>930</v>
      </c>
      <c r="C117" s="27"/>
      <c r="F117" s="21"/>
      <c r="G117" s="31"/>
      <c r="H117" s="31"/>
      <c r="I117" s="31"/>
      <c r="J117" s="31"/>
      <c r="K117" s="28"/>
      <c r="L117" s="28"/>
      <c r="M117" s="31"/>
      <c r="N117" s="31"/>
      <c r="O117" s="31"/>
      <c r="P117" s="31"/>
      <c r="Q117" s="25">
        <v>930</v>
      </c>
    </row>
    <row r="118" spans="1:16" ht="20.25">
      <c r="A118" s="17">
        <v>110</v>
      </c>
      <c r="B118" s="23" t="e">
        <f t="shared" si="1"/>
        <v>#VALUE!</v>
      </c>
      <c r="C118" s="2" t="s">
        <v>37</v>
      </c>
      <c r="F118" s="21"/>
      <c r="G118" s="31"/>
      <c r="H118" s="31"/>
      <c r="I118" s="31"/>
      <c r="J118" s="31"/>
      <c r="K118" s="33"/>
      <c r="L118" s="33"/>
      <c r="M118" s="31"/>
      <c r="N118" s="31"/>
      <c r="O118" s="31"/>
      <c r="P118" s="31"/>
    </row>
    <row r="119" spans="1:17" s="25" customFormat="1" ht="11.25">
      <c r="A119" s="17">
        <v>111</v>
      </c>
      <c r="B119" s="23">
        <f t="shared" si="1"/>
        <v>560</v>
      </c>
      <c r="C119" s="24" t="s">
        <v>29</v>
      </c>
      <c r="F119" s="21"/>
      <c r="G119" s="31"/>
      <c r="H119" s="31"/>
      <c r="I119" s="31"/>
      <c r="J119" s="31"/>
      <c r="K119" s="28"/>
      <c r="L119" s="28"/>
      <c r="M119" s="31"/>
      <c r="N119" s="31"/>
      <c r="O119" s="31"/>
      <c r="P119" s="31"/>
      <c r="Q119" s="25">
        <v>560</v>
      </c>
    </row>
    <row r="120" spans="1:17" s="25" customFormat="1" ht="11.25">
      <c r="A120" s="17">
        <v>112</v>
      </c>
      <c r="B120" s="23">
        <f t="shared" si="1"/>
        <v>560</v>
      </c>
      <c r="C120" s="27">
        <v>560000</v>
      </c>
      <c r="D120" s="25" t="s">
        <v>28</v>
      </c>
      <c r="F120" s="21">
        <v>33849</v>
      </c>
      <c r="G120" s="31">
        <v>43565</v>
      </c>
      <c r="H120" s="31">
        <v>50906</v>
      </c>
      <c r="I120" s="31"/>
      <c r="J120" s="31">
        <v>20377</v>
      </c>
      <c r="K120" s="28"/>
      <c r="L120" s="28"/>
      <c r="M120" s="35">
        <v>51388</v>
      </c>
      <c r="N120" s="35">
        <f>M120-J120</f>
        <v>31011</v>
      </c>
      <c r="O120" s="31"/>
      <c r="P120" s="31"/>
      <c r="Q120" s="25">
        <v>560</v>
      </c>
    </row>
    <row r="121" spans="1:18" s="25" customFormat="1" ht="33.75">
      <c r="A121" s="17">
        <v>113</v>
      </c>
      <c r="B121" s="23">
        <f t="shared" si="1"/>
        <v>560</v>
      </c>
      <c r="C121" s="27"/>
      <c r="E121" s="25" t="s">
        <v>217</v>
      </c>
      <c r="F121" s="31">
        <f>SUM(F120)</f>
        <v>33849</v>
      </c>
      <c r="G121" s="31">
        <f>SUM(G120)</f>
        <v>43565</v>
      </c>
      <c r="H121" s="31">
        <f>SUM(H120)</f>
        <v>50906</v>
      </c>
      <c r="I121" s="31">
        <v>2379</v>
      </c>
      <c r="J121" s="31">
        <f>SUM(J120)</f>
        <v>20377</v>
      </c>
      <c r="K121" s="28"/>
      <c r="L121" s="36" t="s">
        <v>263</v>
      </c>
      <c r="M121" s="31">
        <f>SUM(M120)</f>
        <v>51388</v>
      </c>
      <c r="N121" s="36" t="s">
        <v>176</v>
      </c>
      <c r="O121" s="37">
        <f>SUM(N120:N120)</f>
        <v>31011</v>
      </c>
      <c r="P121" s="31"/>
      <c r="Q121" s="25">
        <v>560</v>
      </c>
      <c r="R121" s="25">
        <v>2379</v>
      </c>
    </row>
    <row r="122" spans="1:17" s="25" customFormat="1" ht="11.25">
      <c r="A122" s="17">
        <v>114</v>
      </c>
      <c r="B122" s="23">
        <f t="shared" si="1"/>
        <v>560</v>
      </c>
      <c r="C122" s="27"/>
      <c r="F122" s="31"/>
      <c r="G122" s="31"/>
      <c r="H122" s="31"/>
      <c r="I122" s="31"/>
      <c r="J122" s="31"/>
      <c r="K122" s="28"/>
      <c r="L122" s="28"/>
      <c r="M122" s="31"/>
      <c r="N122" s="36"/>
      <c r="O122" s="37"/>
      <c r="P122" s="31"/>
      <c r="Q122" s="25">
        <v>560</v>
      </c>
    </row>
    <row r="123" spans="1:17" s="25" customFormat="1" ht="11.25">
      <c r="A123" s="17">
        <v>115</v>
      </c>
      <c r="B123" s="23">
        <f t="shared" si="1"/>
        <v>561</v>
      </c>
      <c r="C123" s="24" t="s">
        <v>146</v>
      </c>
      <c r="F123" s="21"/>
      <c r="G123" s="31"/>
      <c r="H123" s="31"/>
      <c r="I123" s="31"/>
      <c r="J123" s="31"/>
      <c r="K123" s="28"/>
      <c r="L123" s="28"/>
      <c r="M123" s="31"/>
      <c r="N123" s="31"/>
      <c r="O123" s="31"/>
      <c r="P123" s="31"/>
      <c r="Q123" s="25">
        <v>561</v>
      </c>
    </row>
    <row r="124" spans="1:17" s="25" customFormat="1" ht="11.25">
      <c r="A124" s="17">
        <v>116</v>
      </c>
      <c r="B124" s="23">
        <f t="shared" si="1"/>
        <v>561</v>
      </c>
      <c r="C124" s="27">
        <v>561010</v>
      </c>
      <c r="D124" s="25" t="s">
        <v>147</v>
      </c>
      <c r="F124" s="21"/>
      <c r="G124" s="31"/>
      <c r="H124" s="31">
        <v>0</v>
      </c>
      <c r="I124" s="31"/>
      <c r="J124" s="31"/>
      <c r="K124" s="28"/>
      <c r="L124" s="28"/>
      <c r="M124" s="31">
        <v>0</v>
      </c>
      <c r="N124" s="31"/>
      <c r="O124" s="31"/>
      <c r="P124" s="31"/>
      <c r="Q124" s="25">
        <v>561</v>
      </c>
    </row>
    <row r="125" spans="1:17" s="25" customFormat="1" ht="11.25">
      <c r="A125" s="17">
        <v>117</v>
      </c>
      <c r="B125" s="23">
        <f t="shared" si="1"/>
        <v>561</v>
      </c>
      <c r="C125" s="27">
        <v>561020</v>
      </c>
      <c r="D125" s="25" t="s">
        <v>148</v>
      </c>
      <c r="F125" s="21"/>
      <c r="G125" s="31"/>
      <c r="H125" s="31">
        <v>0</v>
      </c>
      <c r="I125" s="31"/>
      <c r="J125" s="31"/>
      <c r="K125" s="28"/>
      <c r="L125" s="28"/>
      <c r="M125" s="31">
        <v>0</v>
      </c>
      <c r="N125" s="71">
        <f>M125-J125</f>
        <v>0</v>
      </c>
      <c r="O125" s="31"/>
      <c r="P125" s="31"/>
      <c r="Q125" s="25">
        <v>561</v>
      </c>
    </row>
    <row r="126" spans="1:18" s="25" customFormat="1" ht="33.75">
      <c r="A126" s="17">
        <v>118</v>
      </c>
      <c r="B126" s="23">
        <f t="shared" si="1"/>
        <v>561</v>
      </c>
      <c r="C126" s="27"/>
      <c r="E126" s="25" t="s">
        <v>217</v>
      </c>
      <c r="F126" s="31">
        <f>SUM(F124:F125)</f>
        <v>0</v>
      </c>
      <c r="G126" s="31">
        <f>SUM(G124:G125)</f>
        <v>0</v>
      </c>
      <c r="H126" s="31">
        <f>SUM(H124:H125)</f>
        <v>0</v>
      </c>
      <c r="I126" s="31">
        <v>0</v>
      </c>
      <c r="J126" s="31">
        <v>0</v>
      </c>
      <c r="K126" s="28"/>
      <c r="L126" s="36" t="s">
        <v>264</v>
      </c>
      <c r="M126" s="31">
        <f>SUM(M124:M125)</f>
        <v>0</v>
      </c>
      <c r="N126" s="36" t="s">
        <v>214</v>
      </c>
      <c r="O126" s="37">
        <f>SUM(N125:N125)</f>
        <v>0</v>
      </c>
      <c r="P126" s="31"/>
      <c r="Q126" s="25">
        <v>561</v>
      </c>
      <c r="R126" s="25">
        <v>0</v>
      </c>
    </row>
    <row r="127" spans="1:17" s="25" customFormat="1" ht="11.25">
      <c r="A127" s="17">
        <v>119</v>
      </c>
      <c r="B127" s="23">
        <f t="shared" si="1"/>
        <v>561</v>
      </c>
      <c r="C127" s="27"/>
      <c r="F127" s="21"/>
      <c r="G127" s="31"/>
      <c r="H127" s="31"/>
      <c r="I127" s="31"/>
      <c r="J127" s="31"/>
      <c r="K127" s="28"/>
      <c r="L127" s="28"/>
      <c r="M127" s="31"/>
      <c r="N127" s="36"/>
      <c r="O127" s="31"/>
      <c r="P127" s="31"/>
      <c r="Q127" s="25">
        <v>561</v>
      </c>
    </row>
    <row r="128" spans="1:17" s="25" customFormat="1" ht="11.25">
      <c r="A128" s="17">
        <v>120</v>
      </c>
      <c r="B128" s="23">
        <f t="shared" si="1"/>
        <v>56</v>
      </c>
      <c r="C128" s="24" t="s">
        <v>41</v>
      </c>
      <c r="F128" s="21"/>
      <c r="G128" s="31"/>
      <c r="H128" s="31"/>
      <c r="I128" s="31"/>
      <c r="J128" s="31"/>
      <c r="K128" s="28"/>
      <c r="L128" s="28"/>
      <c r="M128" s="31"/>
      <c r="N128" s="31"/>
      <c r="O128" s="31"/>
      <c r="P128" s="31"/>
      <c r="Q128" s="25">
        <v>56</v>
      </c>
    </row>
    <row r="129" spans="1:17" s="25" customFormat="1" ht="11.25">
      <c r="A129" s="17">
        <v>121</v>
      </c>
      <c r="B129" s="23">
        <f t="shared" si="1"/>
        <v>562</v>
      </c>
      <c r="C129" s="27">
        <v>562500</v>
      </c>
      <c r="D129" s="25" t="s">
        <v>30</v>
      </c>
      <c r="F129" s="21">
        <v>45573</v>
      </c>
      <c r="G129" s="31">
        <v>59218</v>
      </c>
      <c r="H129" s="31">
        <v>47255</v>
      </c>
      <c r="I129" s="31"/>
      <c r="J129" s="31">
        <v>63257</v>
      </c>
      <c r="K129" s="28"/>
      <c r="L129" s="28"/>
      <c r="M129" s="38">
        <f>J129*1.06</f>
        <v>67052</v>
      </c>
      <c r="N129" s="38">
        <f aca="true" t="shared" si="2" ref="N129:N134">M129-J129</f>
        <v>3795</v>
      </c>
      <c r="O129" s="31"/>
      <c r="P129" s="106" t="s">
        <v>330</v>
      </c>
      <c r="Q129" s="25">
        <v>562</v>
      </c>
    </row>
    <row r="130" spans="1:17" s="25" customFormat="1" ht="11.25">
      <c r="A130" s="17">
        <v>122</v>
      </c>
      <c r="B130" s="23">
        <f t="shared" si="1"/>
        <v>562</v>
      </c>
      <c r="C130" s="29">
        <v>562510</v>
      </c>
      <c r="D130" s="30" t="s">
        <v>31</v>
      </c>
      <c r="F130" s="21"/>
      <c r="G130" s="31">
        <v>4884</v>
      </c>
      <c r="H130" s="31">
        <v>1657</v>
      </c>
      <c r="I130" s="31"/>
      <c r="J130" s="31">
        <v>2381</v>
      </c>
      <c r="K130" s="28"/>
      <c r="L130" s="28"/>
      <c r="M130" s="38">
        <f>J130*1.06</f>
        <v>2524</v>
      </c>
      <c r="N130" s="38">
        <f t="shared" si="2"/>
        <v>143</v>
      </c>
      <c r="O130" s="31"/>
      <c r="P130" s="106" t="s">
        <v>330</v>
      </c>
      <c r="Q130" s="25">
        <v>562</v>
      </c>
    </row>
    <row r="131" spans="1:17" s="39" customFormat="1" ht="11.25">
      <c r="A131" s="17">
        <v>123</v>
      </c>
      <c r="B131" s="23">
        <f t="shared" si="1"/>
        <v>562</v>
      </c>
      <c r="C131" s="29">
        <v>562520</v>
      </c>
      <c r="D131" s="30" t="s">
        <v>32</v>
      </c>
      <c r="F131" s="31"/>
      <c r="G131" s="31">
        <v>42778</v>
      </c>
      <c r="H131" s="40">
        <v>45000</v>
      </c>
      <c r="I131" s="40"/>
      <c r="J131" s="31">
        <v>8893</v>
      </c>
      <c r="K131" s="28" t="s">
        <v>167</v>
      </c>
      <c r="L131" s="28"/>
      <c r="M131" s="38">
        <v>76800</v>
      </c>
      <c r="N131" s="38">
        <f t="shared" si="2"/>
        <v>67907</v>
      </c>
      <c r="O131" s="31"/>
      <c r="P131" s="106"/>
      <c r="Q131" s="39">
        <v>562</v>
      </c>
    </row>
    <row r="132" spans="1:17" s="25" customFormat="1" ht="11.25">
      <c r="A132" s="17">
        <v>124</v>
      </c>
      <c r="B132" s="23">
        <f t="shared" si="1"/>
        <v>562</v>
      </c>
      <c r="C132" s="29">
        <v>562530</v>
      </c>
      <c r="D132" s="30" t="s">
        <v>33</v>
      </c>
      <c r="F132" s="21">
        <v>13041</v>
      </c>
      <c r="G132" s="31">
        <v>10191</v>
      </c>
      <c r="H132" s="31">
        <v>23163</v>
      </c>
      <c r="I132" s="31"/>
      <c r="J132" s="31">
        <v>22298</v>
      </c>
      <c r="K132" s="28" t="s">
        <v>103</v>
      </c>
      <c r="L132" s="28"/>
      <c r="M132" s="38">
        <f>1.06*J132</f>
        <v>23636</v>
      </c>
      <c r="N132" s="38">
        <f t="shared" si="2"/>
        <v>1338</v>
      </c>
      <c r="O132" s="31"/>
      <c r="P132" s="106" t="s">
        <v>330</v>
      </c>
      <c r="Q132" s="25">
        <v>562</v>
      </c>
    </row>
    <row r="133" spans="1:17" s="25" customFormat="1" ht="11.25">
      <c r="A133" s="17">
        <v>125</v>
      </c>
      <c r="B133" s="23">
        <f t="shared" si="1"/>
        <v>562</v>
      </c>
      <c r="C133" s="29">
        <v>562540</v>
      </c>
      <c r="D133" s="30" t="s">
        <v>34</v>
      </c>
      <c r="F133" s="21">
        <v>413</v>
      </c>
      <c r="G133" s="31">
        <v>14584</v>
      </c>
      <c r="H133" s="31">
        <v>5281</v>
      </c>
      <c r="I133" s="31"/>
      <c r="J133" s="31">
        <v>24210</v>
      </c>
      <c r="K133" s="28"/>
      <c r="L133" s="28"/>
      <c r="M133" s="38">
        <f>J133*1.06</f>
        <v>25663</v>
      </c>
      <c r="N133" s="38">
        <f t="shared" si="2"/>
        <v>1453</v>
      </c>
      <c r="O133" s="31"/>
      <c r="P133" s="106" t="s">
        <v>330</v>
      </c>
      <c r="Q133" s="25">
        <v>562</v>
      </c>
    </row>
    <row r="134" spans="1:17" s="25" customFormat="1" ht="11.25">
      <c r="A134" s="17">
        <v>126</v>
      </c>
      <c r="B134" s="23">
        <f t="shared" si="1"/>
        <v>562</v>
      </c>
      <c r="C134" s="29">
        <v>562550</v>
      </c>
      <c r="D134" s="30" t="s">
        <v>35</v>
      </c>
      <c r="F134" s="21">
        <v>24137</v>
      </c>
      <c r="G134" s="31">
        <v>13927</v>
      </c>
      <c r="H134" s="31">
        <v>3651</v>
      </c>
      <c r="I134" s="31"/>
      <c r="J134" s="31">
        <v>2509</v>
      </c>
      <c r="K134" s="28"/>
      <c r="L134" s="28"/>
      <c r="M134" s="38">
        <f>J134*1.06</f>
        <v>2660</v>
      </c>
      <c r="N134" s="38">
        <f t="shared" si="2"/>
        <v>151</v>
      </c>
      <c r="O134" s="31"/>
      <c r="P134" s="106" t="s">
        <v>330</v>
      </c>
      <c r="Q134" s="25">
        <v>562</v>
      </c>
    </row>
    <row r="135" spans="1:18" s="25" customFormat="1" ht="33.75">
      <c r="A135" s="17">
        <v>127</v>
      </c>
      <c r="B135" s="23">
        <f t="shared" si="1"/>
        <v>562</v>
      </c>
      <c r="C135" s="27"/>
      <c r="E135" s="25" t="s">
        <v>217</v>
      </c>
      <c r="F135" s="31">
        <f>SUM(F129:F134)</f>
        <v>83164</v>
      </c>
      <c r="G135" s="31">
        <f>SUM(G129:G134)</f>
        <v>145582</v>
      </c>
      <c r="H135" s="31">
        <f>SUM(H129:H134)</f>
        <v>126007</v>
      </c>
      <c r="I135" s="31">
        <v>16749</v>
      </c>
      <c r="J135" s="31">
        <f>SUM(J129:J134)</f>
        <v>123548</v>
      </c>
      <c r="L135" s="36" t="s">
        <v>265</v>
      </c>
      <c r="M135" s="41">
        <f>SUM(M129:M134)</f>
        <v>198335</v>
      </c>
      <c r="N135" s="36" t="s">
        <v>174</v>
      </c>
      <c r="O135" s="37">
        <f>SUM(N129:N134)</f>
        <v>74787</v>
      </c>
      <c r="P135" s="31"/>
      <c r="Q135" s="25">
        <v>562</v>
      </c>
      <c r="R135" s="25">
        <v>16749</v>
      </c>
    </row>
    <row r="136" spans="1:17" s="25" customFormat="1" ht="11.25">
      <c r="A136" s="17">
        <v>128</v>
      </c>
      <c r="B136" s="23">
        <f t="shared" si="1"/>
        <v>562</v>
      </c>
      <c r="C136" s="27"/>
      <c r="F136" s="21"/>
      <c r="G136" s="31"/>
      <c r="H136" s="31"/>
      <c r="I136" s="31"/>
      <c r="J136" s="31"/>
      <c r="M136" s="41"/>
      <c r="N136" s="36"/>
      <c r="O136" s="37"/>
      <c r="P136" s="31"/>
      <c r="Q136" s="25">
        <v>562</v>
      </c>
    </row>
    <row r="137" spans="1:17" s="25" customFormat="1" ht="11.25">
      <c r="A137" s="17">
        <v>129</v>
      </c>
      <c r="B137" s="23">
        <f t="shared" si="1"/>
        <v>563</v>
      </c>
      <c r="C137" s="24" t="s">
        <v>40</v>
      </c>
      <c r="F137" s="21"/>
      <c r="G137" s="31"/>
      <c r="H137" s="31"/>
      <c r="I137" s="31"/>
      <c r="J137" s="31"/>
      <c r="K137" s="28"/>
      <c r="L137" s="28"/>
      <c r="M137" s="31"/>
      <c r="N137" s="15"/>
      <c r="O137" s="31"/>
      <c r="P137" s="31"/>
      <c r="Q137" s="25">
        <v>563</v>
      </c>
    </row>
    <row r="138" spans="1:17" s="25" customFormat="1" ht="11.25">
      <c r="A138" s="17">
        <v>130</v>
      </c>
      <c r="B138" s="23">
        <f t="shared" si="1"/>
        <v>563</v>
      </c>
      <c r="C138" s="29">
        <v>563500</v>
      </c>
      <c r="D138" s="30" t="s">
        <v>36</v>
      </c>
      <c r="F138" s="21">
        <v>2324</v>
      </c>
      <c r="G138" s="31">
        <v>2502</v>
      </c>
      <c r="H138" s="31">
        <v>503</v>
      </c>
      <c r="I138" s="31"/>
      <c r="J138" s="31">
        <v>42140</v>
      </c>
      <c r="K138" s="28"/>
      <c r="L138" s="28"/>
      <c r="M138" s="35">
        <v>51861</v>
      </c>
      <c r="N138" s="35">
        <f>M138-J138</f>
        <v>9721</v>
      </c>
      <c r="O138" s="31"/>
      <c r="P138" s="31"/>
      <c r="Q138" s="25">
        <v>563</v>
      </c>
    </row>
    <row r="139" spans="1:17" s="25" customFormat="1" ht="11.25">
      <c r="A139" s="17">
        <v>131</v>
      </c>
      <c r="B139" s="23">
        <f aca="true" t="shared" si="3" ref="B139:B203">IF(C139="",B138,VALUE(LEFT(C139,3)))</f>
        <v>563</v>
      </c>
      <c r="C139" s="29">
        <v>563510</v>
      </c>
      <c r="D139" s="30" t="s">
        <v>149</v>
      </c>
      <c r="F139" s="21"/>
      <c r="G139" s="31"/>
      <c r="H139" s="31"/>
      <c r="I139" s="31"/>
      <c r="J139" s="31"/>
      <c r="K139" s="28"/>
      <c r="L139" s="28"/>
      <c r="M139" s="35"/>
      <c r="N139" s="35"/>
      <c r="O139" s="31"/>
      <c r="P139" s="31"/>
      <c r="Q139" s="25">
        <v>563</v>
      </c>
    </row>
    <row r="140" spans="1:17" s="25" customFormat="1" ht="11.25">
      <c r="A140" s="17">
        <v>132</v>
      </c>
      <c r="B140" s="23">
        <f t="shared" si="3"/>
        <v>563</v>
      </c>
      <c r="C140" s="29">
        <v>563520</v>
      </c>
      <c r="D140" s="30" t="s">
        <v>150</v>
      </c>
      <c r="F140" s="21"/>
      <c r="G140" s="31"/>
      <c r="H140" s="31"/>
      <c r="I140" s="31"/>
      <c r="J140" s="31"/>
      <c r="K140" s="28"/>
      <c r="L140" s="28"/>
      <c r="M140" s="35"/>
      <c r="N140" s="35"/>
      <c r="O140" s="31"/>
      <c r="P140" s="31"/>
      <c r="Q140" s="25">
        <v>563</v>
      </c>
    </row>
    <row r="141" spans="1:17" s="25" customFormat="1" ht="11.25">
      <c r="A141" s="17">
        <v>133</v>
      </c>
      <c r="B141" s="23">
        <f>IF(C141="",B140,VALUE(LEFT(C141,3)))</f>
        <v>563</v>
      </c>
      <c r="C141" s="29">
        <v>563530</v>
      </c>
      <c r="D141" s="30" t="s">
        <v>380</v>
      </c>
      <c r="F141" s="21"/>
      <c r="G141" s="31"/>
      <c r="H141" s="31"/>
      <c r="I141" s="31"/>
      <c r="J141" s="31">
        <v>156876</v>
      </c>
      <c r="K141" s="28"/>
      <c r="L141" s="28"/>
      <c r="M141" s="35">
        <v>276526</v>
      </c>
      <c r="N141" s="35">
        <f>M141-J141</f>
        <v>119650</v>
      </c>
      <c r="O141" s="31"/>
      <c r="P141" s="31"/>
      <c r="Q141" s="25">
        <v>563</v>
      </c>
    </row>
    <row r="142" spans="1:18" s="25" customFormat="1" ht="33.75">
      <c r="A142" s="17">
        <v>134</v>
      </c>
      <c r="B142" s="23">
        <f>IF(C142="",B140,VALUE(LEFT(C142,3)))</f>
        <v>563</v>
      </c>
      <c r="C142" s="27"/>
      <c r="E142" s="25" t="s">
        <v>217</v>
      </c>
      <c r="F142" s="31">
        <f>SUM(F138:F140)</f>
        <v>2324</v>
      </c>
      <c r="G142" s="31">
        <f>SUM(G138:G140)</f>
        <v>2502</v>
      </c>
      <c r="H142" s="31">
        <f>SUM(H138:H141)</f>
        <v>503</v>
      </c>
      <c r="I142" s="31">
        <v>0</v>
      </c>
      <c r="J142" s="31">
        <f>SUM(J138:J141)</f>
        <v>199016</v>
      </c>
      <c r="K142" s="28"/>
      <c r="L142" s="36" t="s">
        <v>266</v>
      </c>
      <c r="M142" s="31">
        <f>SUM(M138:M141)</f>
        <v>328387</v>
      </c>
      <c r="N142" s="36" t="s">
        <v>175</v>
      </c>
      <c r="O142" s="37">
        <f>SUM(N137:N141)</f>
        <v>129371</v>
      </c>
      <c r="P142" s="31"/>
      <c r="Q142" s="25">
        <v>563</v>
      </c>
      <c r="R142" s="25">
        <v>0</v>
      </c>
    </row>
    <row r="143" spans="1:17" s="25" customFormat="1" ht="11.25">
      <c r="A143" s="17">
        <v>135</v>
      </c>
      <c r="B143" s="23">
        <f t="shared" si="3"/>
        <v>563</v>
      </c>
      <c r="C143" s="27"/>
      <c r="F143" s="21"/>
      <c r="G143" s="31"/>
      <c r="H143" s="31"/>
      <c r="I143" s="31"/>
      <c r="J143" s="31"/>
      <c r="K143" s="28"/>
      <c r="L143" s="28"/>
      <c r="M143" s="31"/>
      <c r="N143" s="36"/>
      <c r="O143" s="37"/>
      <c r="P143" s="31"/>
      <c r="Q143" s="25">
        <v>563</v>
      </c>
    </row>
    <row r="144" spans="1:17" s="25" customFormat="1" ht="11.25">
      <c r="A144" s="17">
        <v>136</v>
      </c>
      <c r="B144" s="23">
        <f t="shared" si="3"/>
        <v>566</v>
      </c>
      <c r="C144" s="24" t="s">
        <v>8</v>
      </c>
      <c r="F144" s="21"/>
      <c r="G144" s="31"/>
      <c r="H144" s="31"/>
      <c r="I144" s="31"/>
      <c r="J144" s="31"/>
      <c r="K144" s="28"/>
      <c r="L144" s="28"/>
      <c r="M144" s="31"/>
      <c r="N144" s="31"/>
      <c r="O144" s="31"/>
      <c r="P144" s="31"/>
      <c r="Q144" s="25">
        <v>566</v>
      </c>
    </row>
    <row r="145" spans="1:17" s="25" customFormat="1" ht="11.25">
      <c r="A145" s="17">
        <v>137</v>
      </c>
      <c r="B145" s="23">
        <f t="shared" si="3"/>
        <v>566</v>
      </c>
      <c r="C145" s="27">
        <v>566000</v>
      </c>
      <c r="D145" s="25" t="s">
        <v>1</v>
      </c>
      <c r="F145" s="21">
        <v>0</v>
      </c>
      <c r="G145" s="31">
        <v>0</v>
      </c>
      <c r="H145" s="31">
        <v>0</v>
      </c>
      <c r="I145" s="31"/>
      <c r="J145" s="31">
        <v>0</v>
      </c>
      <c r="K145" s="28"/>
      <c r="L145" s="28"/>
      <c r="M145" s="35">
        <f>SUM(F145:K145)</f>
        <v>0</v>
      </c>
      <c r="N145" s="35">
        <f>M145-J145</f>
        <v>0</v>
      </c>
      <c r="O145" s="31"/>
      <c r="P145" s="31"/>
      <c r="Q145" s="25">
        <v>566</v>
      </c>
    </row>
    <row r="146" spans="1:18" s="25" customFormat="1" ht="33.75">
      <c r="A146" s="17">
        <v>138</v>
      </c>
      <c r="B146" s="23">
        <f t="shared" si="3"/>
        <v>566</v>
      </c>
      <c r="C146" s="27"/>
      <c r="E146" s="25" t="s">
        <v>217</v>
      </c>
      <c r="F146" s="31">
        <f>SUM(F145)</f>
        <v>0</v>
      </c>
      <c r="G146" s="31">
        <f>SUM(G145)</f>
        <v>0</v>
      </c>
      <c r="H146" s="31">
        <f>SUM(H145)</f>
        <v>0</v>
      </c>
      <c r="I146" s="31">
        <v>0</v>
      </c>
      <c r="J146" s="31">
        <v>0</v>
      </c>
      <c r="K146" s="28"/>
      <c r="L146" s="36" t="s">
        <v>267</v>
      </c>
      <c r="M146" s="31">
        <f>SUM(M145:M145)</f>
        <v>0</v>
      </c>
      <c r="N146" s="36" t="s">
        <v>177</v>
      </c>
      <c r="O146" s="37">
        <f>SUM(N145:N145)</f>
        <v>0</v>
      </c>
      <c r="P146" s="31"/>
      <c r="Q146" s="25">
        <v>566</v>
      </c>
      <c r="R146" s="25">
        <v>0</v>
      </c>
    </row>
    <row r="147" spans="1:17" s="25" customFormat="1" ht="11.25">
      <c r="A147" s="17">
        <v>139</v>
      </c>
      <c r="B147" s="23">
        <f t="shared" si="3"/>
        <v>566</v>
      </c>
      <c r="C147" s="27"/>
      <c r="F147" s="21"/>
      <c r="G147" s="31"/>
      <c r="H147" s="31"/>
      <c r="I147" s="31"/>
      <c r="J147" s="31"/>
      <c r="K147" s="28"/>
      <c r="L147" s="28"/>
      <c r="M147" s="31"/>
      <c r="N147" s="36"/>
      <c r="O147" s="37"/>
      <c r="P147" s="31"/>
      <c r="Q147" s="25">
        <v>566</v>
      </c>
    </row>
    <row r="148" spans="1:17" s="25" customFormat="1" ht="11.25">
      <c r="A148" s="17">
        <v>140</v>
      </c>
      <c r="B148" s="23">
        <f t="shared" si="3"/>
        <v>567</v>
      </c>
      <c r="C148" s="24" t="s">
        <v>170</v>
      </c>
      <c r="F148" s="21"/>
      <c r="G148" s="31"/>
      <c r="H148" s="31"/>
      <c r="I148" s="31"/>
      <c r="J148" s="31"/>
      <c r="K148" s="28"/>
      <c r="L148" s="28"/>
      <c r="M148" s="31"/>
      <c r="N148" s="31"/>
      <c r="O148" s="31"/>
      <c r="P148" s="31"/>
      <c r="Q148" s="25">
        <v>567</v>
      </c>
    </row>
    <row r="149" spans="1:17" s="25" customFormat="1" ht="11.25">
      <c r="A149" s="17">
        <v>141</v>
      </c>
      <c r="B149" s="23">
        <f t="shared" si="3"/>
        <v>567</v>
      </c>
      <c r="C149" s="27">
        <v>567000</v>
      </c>
      <c r="D149" s="25" t="s">
        <v>122</v>
      </c>
      <c r="F149" s="21"/>
      <c r="G149" s="31"/>
      <c r="H149" s="31">
        <v>0</v>
      </c>
      <c r="I149" s="31"/>
      <c r="J149" s="31">
        <v>0</v>
      </c>
      <c r="K149" s="28"/>
      <c r="L149" s="28"/>
      <c r="M149" s="35">
        <f>SUM(M145:M148)</f>
        <v>0</v>
      </c>
      <c r="N149" s="35"/>
      <c r="O149" s="31"/>
      <c r="P149" s="31"/>
      <c r="Q149" s="25">
        <v>567</v>
      </c>
    </row>
    <row r="150" spans="1:18" s="25" customFormat="1" ht="33.75">
      <c r="A150" s="17">
        <v>142</v>
      </c>
      <c r="B150" s="23">
        <f t="shared" si="3"/>
        <v>567</v>
      </c>
      <c r="C150" s="27"/>
      <c r="E150" s="25" t="s">
        <v>217</v>
      </c>
      <c r="F150" s="31">
        <f>SUM(F149)</f>
        <v>0</v>
      </c>
      <c r="G150" s="31">
        <f>SUM(G149)</f>
        <v>0</v>
      </c>
      <c r="H150" s="31">
        <f>SUM(H149)</f>
        <v>0</v>
      </c>
      <c r="I150" s="31">
        <v>0</v>
      </c>
      <c r="J150" s="31">
        <v>0</v>
      </c>
      <c r="K150" s="28"/>
      <c r="L150" s="36" t="s">
        <v>268</v>
      </c>
      <c r="M150" s="31">
        <f>SUM(M149:M149)</f>
        <v>0</v>
      </c>
      <c r="N150" s="36" t="s">
        <v>178</v>
      </c>
      <c r="O150" s="37">
        <f>SUM(N149:N149)</f>
        <v>0</v>
      </c>
      <c r="P150" s="31"/>
      <c r="Q150" s="25">
        <v>567</v>
      </c>
      <c r="R150" s="25">
        <v>0</v>
      </c>
    </row>
    <row r="151" spans="1:17" s="25" customFormat="1" ht="11.25">
      <c r="A151" s="17">
        <v>143</v>
      </c>
      <c r="B151" s="23">
        <f t="shared" si="3"/>
        <v>567</v>
      </c>
      <c r="C151" s="27"/>
      <c r="F151" s="21"/>
      <c r="G151" s="31"/>
      <c r="H151" s="31"/>
      <c r="I151" s="31"/>
      <c r="J151" s="31"/>
      <c r="K151" s="28"/>
      <c r="L151" s="28"/>
      <c r="M151" s="31"/>
      <c r="N151" s="36"/>
      <c r="O151" s="37"/>
      <c r="P151" s="31"/>
      <c r="Q151" s="25">
        <v>567</v>
      </c>
    </row>
    <row r="152" spans="1:17" s="25" customFormat="1" ht="11.25">
      <c r="A152" s="17">
        <v>144</v>
      </c>
      <c r="B152" s="23">
        <f t="shared" si="3"/>
        <v>568</v>
      </c>
      <c r="C152" s="24" t="s">
        <v>39</v>
      </c>
      <c r="F152" s="21"/>
      <c r="G152" s="31"/>
      <c r="H152" s="31"/>
      <c r="I152" s="31"/>
      <c r="J152" s="31"/>
      <c r="K152" s="28"/>
      <c r="L152" s="28"/>
      <c r="M152" s="31"/>
      <c r="N152" s="31"/>
      <c r="O152" s="31"/>
      <c r="P152" s="31"/>
      <c r="Q152" s="25">
        <v>568</v>
      </c>
    </row>
    <row r="153" spans="1:17" s="25" customFormat="1" ht="11.25">
      <c r="A153" s="17">
        <v>145</v>
      </c>
      <c r="B153" s="23">
        <f t="shared" si="3"/>
        <v>568</v>
      </c>
      <c r="C153" s="29">
        <v>568000</v>
      </c>
      <c r="D153" s="30" t="s">
        <v>38</v>
      </c>
      <c r="F153" s="21">
        <v>67450</v>
      </c>
      <c r="G153" s="31">
        <v>67892</v>
      </c>
      <c r="H153" s="31">
        <v>66046</v>
      </c>
      <c r="I153" s="31"/>
      <c r="J153" s="31">
        <v>105760</v>
      </c>
      <c r="K153" s="28"/>
      <c r="L153" s="28"/>
      <c r="M153" s="31">
        <v>146358</v>
      </c>
      <c r="N153" s="31">
        <f>M153-J153</f>
        <v>40598</v>
      </c>
      <c r="O153" s="31"/>
      <c r="P153" s="31"/>
      <c r="Q153" s="25">
        <v>568</v>
      </c>
    </row>
    <row r="154" spans="1:18" s="25" customFormat="1" ht="33.75">
      <c r="A154" s="17">
        <v>146</v>
      </c>
      <c r="B154" s="23">
        <f t="shared" si="3"/>
        <v>568</v>
      </c>
      <c r="C154" s="29"/>
      <c r="D154" s="30"/>
      <c r="E154" s="25" t="s">
        <v>217</v>
      </c>
      <c r="F154" s="31">
        <f>SUM(F153)</f>
        <v>67450</v>
      </c>
      <c r="G154" s="31">
        <f>SUM(G153)</f>
        <v>67892</v>
      </c>
      <c r="H154" s="31">
        <f>SUM(H153)</f>
        <v>66046</v>
      </c>
      <c r="I154" s="31">
        <v>44038</v>
      </c>
      <c r="J154" s="31">
        <f>SUM(J153)</f>
        <v>105760</v>
      </c>
      <c r="K154" s="28"/>
      <c r="L154" s="36" t="s">
        <v>269</v>
      </c>
      <c r="M154" s="31">
        <f>SUM(M153)</f>
        <v>146358</v>
      </c>
      <c r="N154" s="36" t="s">
        <v>179</v>
      </c>
      <c r="O154" s="37">
        <f>SUM(N153:N153)</f>
        <v>40598</v>
      </c>
      <c r="P154" s="31"/>
      <c r="Q154" s="25">
        <v>568</v>
      </c>
      <c r="R154" s="25">
        <v>44038</v>
      </c>
    </row>
    <row r="155" spans="1:17" s="25" customFormat="1" ht="11.25">
      <c r="A155" s="17">
        <v>147</v>
      </c>
      <c r="B155" s="23">
        <f t="shared" si="3"/>
        <v>568</v>
      </c>
      <c r="C155" s="29"/>
      <c r="D155" s="30"/>
      <c r="F155" s="21"/>
      <c r="G155" s="31"/>
      <c r="H155" s="31"/>
      <c r="I155" s="31"/>
      <c r="J155" s="31"/>
      <c r="K155" s="28"/>
      <c r="L155" s="28"/>
      <c r="M155" s="31"/>
      <c r="N155" s="36"/>
      <c r="O155" s="37"/>
      <c r="P155" s="31"/>
      <c r="Q155" s="25">
        <v>568</v>
      </c>
    </row>
    <row r="156" spans="1:17" s="25" customFormat="1" ht="11.25">
      <c r="A156" s="17">
        <v>148</v>
      </c>
      <c r="B156" s="23">
        <f t="shared" si="3"/>
        <v>569</v>
      </c>
      <c r="C156" s="24" t="s">
        <v>42</v>
      </c>
      <c r="D156" s="30"/>
      <c r="F156" s="21"/>
      <c r="G156" s="31"/>
      <c r="H156" s="31"/>
      <c r="I156" s="31"/>
      <c r="J156" s="31"/>
      <c r="K156" s="28"/>
      <c r="L156" s="28"/>
      <c r="M156" s="31"/>
      <c r="N156" s="31"/>
      <c r="O156" s="31"/>
      <c r="P156" s="31"/>
      <c r="Q156" s="25">
        <v>569</v>
      </c>
    </row>
    <row r="157" spans="1:17" s="25" customFormat="1" ht="11.25">
      <c r="A157" s="17">
        <v>149</v>
      </c>
      <c r="B157" s="23">
        <f t="shared" si="3"/>
        <v>569</v>
      </c>
      <c r="C157" s="29">
        <v>569510</v>
      </c>
      <c r="D157" s="30" t="s">
        <v>43</v>
      </c>
      <c r="F157" s="21">
        <v>6796</v>
      </c>
      <c r="G157" s="31">
        <v>21196</v>
      </c>
      <c r="H157" s="31">
        <v>5061</v>
      </c>
      <c r="I157" s="31"/>
      <c r="J157" s="31">
        <v>9000</v>
      </c>
      <c r="K157" s="28"/>
      <c r="L157" s="28"/>
      <c r="M157" s="38">
        <f>J157*1.06</f>
        <v>9540</v>
      </c>
      <c r="N157" s="38">
        <f>M157-J157</f>
        <v>540</v>
      </c>
      <c r="O157" s="31"/>
      <c r="P157" s="106" t="s">
        <v>330</v>
      </c>
      <c r="Q157" s="25">
        <v>569</v>
      </c>
    </row>
    <row r="158" spans="1:17" s="25" customFormat="1" ht="11.25">
      <c r="A158" s="17">
        <v>150</v>
      </c>
      <c r="B158" s="23">
        <f t="shared" si="3"/>
        <v>569</v>
      </c>
      <c r="C158" s="29">
        <v>569520</v>
      </c>
      <c r="D158" s="30" t="s">
        <v>44</v>
      </c>
      <c r="F158" s="21">
        <v>8204</v>
      </c>
      <c r="G158" s="31">
        <v>12147</v>
      </c>
      <c r="H158" s="31">
        <v>10452</v>
      </c>
      <c r="I158" s="31"/>
      <c r="J158" s="31">
        <v>39339</v>
      </c>
      <c r="K158" s="28"/>
      <c r="L158" s="28"/>
      <c r="M158" s="38">
        <f>J158*1.06</f>
        <v>41699</v>
      </c>
      <c r="N158" s="38">
        <f>M158-J158</f>
        <v>2360</v>
      </c>
      <c r="O158" s="31"/>
      <c r="P158" s="106" t="s">
        <v>330</v>
      </c>
      <c r="Q158" s="25">
        <v>569</v>
      </c>
    </row>
    <row r="159" spans="1:17" s="25" customFormat="1" ht="11.25">
      <c r="A159" s="17">
        <v>151</v>
      </c>
      <c r="B159" s="23">
        <f t="shared" si="3"/>
        <v>569</v>
      </c>
      <c r="C159" s="27">
        <v>569530</v>
      </c>
      <c r="D159" s="30" t="s">
        <v>45</v>
      </c>
      <c r="F159" s="21">
        <v>46294</v>
      </c>
      <c r="G159" s="31">
        <v>53465</v>
      </c>
      <c r="H159" s="31">
        <v>81189</v>
      </c>
      <c r="I159" s="31"/>
      <c r="J159" s="31">
        <v>74133</v>
      </c>
      <c r="K159" s="28" t="s">
        <v>103</v>
      </c>
      <c r="L159" s="28"/>
      <c r="M159" s="38">
        <f>J159*1.06</f>
        <v>78581</v>
      </c>
      <c r="N159" s="38">
        <f>M159-J159</f>
        <v>4448</v>
      </c>
      <c r="O159" s="31"/>
      <c r="P159" s="106" t="s">
        <v>330</v>
      </c>
      <c r="Q159" s="25">
        <v>569</v>
      </c>
    </row>
    <row r="160" spans="1:17" s="39" customFormat="1" ht="11.25">
      <c r="A160" s="17">
        <v>152</v>
      </c>
      <c r="B160" s="23">
        <f t="shared" si="3"/>
        <v>569</v>
      </c>
      <c r="C160" s="29">
        <v>569540</v>
      </c>
      <c r="D160" s="30" t="s">
        <v>46</v>
      </c>
      <c r="F160" s="31">
        <v>40181</v>
      </c>
      <c r="G160" s="31">
        <v>28225</v>
      </c>
      <c r="H160" s="31">
        <v>48159</v>
      </c>
      <c r="I160" s="31"/>
      <c r="J160" s="31">
        <v>62707</v>
      </c>
      <c r="K160" s="28" t="s">
        <v>103</v>
      </c>
      <c r="L160" s="28"/>
      <c r="M160" s="38">
        <f>J160*1.06</f>
        <v>66469</v>
      </c>
      <c r="N160" s="38">
        <f>M160-J160</f>
        <v>3762</v>
      </c>
      <c r="O160" s="31"/>
      <c r="P160" s="106" t="s">
        <v>330</v>
      </c>
      <c r="Q160" s="39">
        <v>569</v>
      </c>
    </row>
    <row r="161" spans="1:18" s="25" customFormat="1" ht="33.75">
      <c r="A161" s="17">
        <v>153</v>
      </c>
      <c r="B161" s="23">
        <f t="shared" si="3"/>
        <v>569</v>
      </c>
      <c r="C161" s="24"/>
      <c r="D161" s="30"/>
      <c r="E161" s="25" t="s">
        <v>217</v>
      </c>
      <c r="F161" s="31">
        <f>SUM(F157:F160)</f>
        <v>101475</v>
      </c>
      <c r="G161" s="31">
        <f>SUM(G157:G160)</f>
        <v>115033</v>
      </c>
      <c r="H161" s="31">
        <f>SUM(H157:H160)</f>
        <v>144861</v>
      </c>
      <c r="I161" s="31">
        <v>176704</v>
      </c>
      <c r="J161" s="31">
        <f>SUM(J157:J160)</f>
        <v>185179</v>
      </c>
      <c r="K161" s="28"/>
      <c r="L161" s="36" t="s">
        <v>270</v>
      </c>
      <c r="M161" s="31">
        <f>SUM(M157:M160)</f>
        <v>196289</v>
      </c>
      <c r="N161" s="36" t="s">
        <v>180</v>
      </c>
      <c r="O161" s="37">
        <f>SUM(N157:N160)</f>
        <v>11110</v>
      </c>
      <c r="P161" s="31"/>
      <c r="Q161" s="25">
        <v>569</v>
      </c>
      <c r="R161" s="25">
        <v>176704</v>
      </c>
    </row>
    <row r="162" spans="1:17" s="25" customFormat="1" ht="11.25">
      <c r="A162" s="17">
        <v>154</v>
      </c>
      <c r="B162" s="23">
        <f t="shared" si="3"/>
        <v>569</v>
      </c>
      <c r="C162" s="24"/>
      <c r="D162" s="30"/>
      <c r="F162" s="21"/>
      <c r="G162" s="31"/>
      <c r="H162" s="31"/>
      <c r="I162" s="31"/>
      <c r="J162" s="31"/>
      <c r="K162" s="28"/>
      <c r="L162" s="28"/>
      <c r="M162" s="31"/>
      <c r="N162" s="36"/>
      <c r="O162" s="37"/>
      <c r="P162" s="31"/>
      <c r="Q162" s="25">
        <v>569</v>
      </c>
    </row>
    <row r="163" spans="1:17" s="25" customFormat="1" ht="11.25">
      <c r="A163" s="17">
        <v>155</v>
      </c>
      <c r="B163" s="23">
        <f t="shared" si="3"/>
        <v>570</v>
      </c>
      <c r="C163" s="24" t="s">
        <v>47</v>
      </c>
      <c r="D163" s="30"/>
      <c r="F163" s="21"/>
      <c r="G163" s="31"/>
      <c r="H163" s="31"/>
      <c r="I163" s="31"/>
      <c r="J163" s="31"/>
      <c r="K163" s="28"/>
      <c r="L163" s="28"/>
      <c r="M163" s="31"/>
      <c r="N163" s="31"/>
      <c r="O163" s="31"/>
      <c r="P163" s="31"/>
      <c r="Q163" s="25">
        <v>570</v>
      </c>
    </row>
    <row r="164" spans="1:17" s="39" customFormat="1" ht="11.25">
      <c r="A164" s="17">
        <v>156</v>
      </c>
      <c r="B164" s="23">
        <f t="shared" si="3"/>
        <v>570</v>
      </c>
      <c r="C164" s="29">
        <v>570500</v>
      </c>
      <c r="D164" s="30" t="s">
        <v>32</v>
      </c>
      <c r="F164" s="31">
        <v>152440</v>
      </c>
      <c r="G164" s="42">
        <v>208716</v>
      </c>
      <c r="H164" s="42">
        <v>130287</v>
      </c>
      <c r="I164" s="42"/>
      <c r="J164" s="42">
        <v>248258</v>
      </c>
      <c r="K164" s="28"/>
      <c r="L164" s="28"/>
      <c r="M164" s="38">
        <v>269200</v>
      </c>
      <c r="N164" s="38">
        <f aca="true" t="shared" si="4" ref="N164:N170">M164-J164</f>
        <v>20942</v>
      </c>
      <c r="O164" s="31"/>
      <c r="P164" s="31"/>
      <c r="Q164" s="39">
        <v>570</v>
      </c>
    </row>
    <row r="165" spans="1:17" s="39" customFormat="1" ht="11.25">
      <c r="A165" s="17">
        <v>157</v>
      </c>
      <c r="B165" s="23">
        <f t="shared" si="3"/>
        <v>570</v>
      </c>
      <c r="C165" s="29">
        <v>570510</v>
      </c>
      <c r="D165" s="30" t="s">
        <v>74</v>
      </c>
      <c r="F165" s="31">
        <v>11180</v>
      </c>
      <c r="G165" s="42">
        <v>21940</v>
      </c>
      <c r="H165" s="42">
        <v>27506</v>
      </c>
      <c r="I165" s="42"/>
      <c r="J165" s="42">
        <v>34354</v>
      </c>
      <c r="K165" s="28"/>
      <c r="L165" s="28"/>
      <c r="M165" s="38">
        <v>59206</v>
      </c>
      <c r="N165" s="38">
        <f t="shared" si="4"/>
        <v>24852</v>
      </c>
      <c r="O165" s="31"/>
      <c r="P165" s="31"/>
      <c r="Q165" s="39">
        <v>570</v>
      </c>
    </row>
    <row r="166" spans="1:17" s="39" customFormat="1" ht="11.25">
      <c r="A166" s="17">
        <v>158</v>
      </c>
      <c r="B166" s="23">
        <f t="shared" si="3"/>
        <v>570</v>
      </c>
      <c r="C166" s="29">
        <v>570520</v>
      </c>
      <c r="D166" s="30" t="s">
        <v>48</v>
      </c>
      <c r="E166" s="25"/>
      <c r="F166" s="21">
        <v>44139</v>
      </c>
      <c r="G166" s="42">
        <v>22386</v>
      </c>
      <c r="H166" s="42">
        <v>45554</v>
      </c>
      <c r="I166" s="42"/>
      <c r="J166" s="42">
        <v>1973</v>
      </c>
      <c r="K166" s="28"/>
      <c r="L166" s="28"/>
      <c r="M166" s="38">
        <f>108000+9000</f>
        <v>117000</v>
      </c>
      <c r="N166" s="38">
        <f t="shared" si="4"/>
        <v>115027</v>
      </c>
      <c r="O166" s="31"/>
      <c r="P166" s="31"/>
      <c r="Q166" s="39">
        <v>570</v>
      </c>
    </row>
    <row r="167" spans="1:17" s="39" customFormat="1" ht="11.25">
      <c r="A167" s="17">
        <v>159</v>
      </c>
      <c r="B167" s="23">
        <f t="shared" si="3"/>
        <v>570</v>
      </c>
      <c r="C167" s="29">
        <v>570530</v>
      </c>
      <c r="D167" s="30" t="s">
        <v>49</v>
      </c>
      <c r="F167" s="31">
        <v>10951</v>
      </c>
      <c r="G167" s="42">
        <v>13866</v>
      </c>
      <c r="H167" s="42">
        <v>162868</v>
      </c>
      <c r="I167" s="42"/>
      <c r="J167" s="42">
        <v>104596</v>
      </c>
      <c r="K167" s="28"/>
      <c r="L167" s="28"/>
      <c r="M167" s="38">
        <f>168568+9000</f>
        <v>177568</v>
      </c>
      <c r="N167" s="38">
        <f t="shared" si="4"/>
        <v>72972</v>
      </c>
      <c r="O167" s="31"/>
      <c r="P167" s="31"/>
      <c r="Q167" s="39">
        <v>570</v>
      </c>
    </row>
    <row r="168" spans="1:17" s="25" customFormat="1" ht="11.25">
      <c r="A168" s="17">
        <v>160</v>
      </c>
      <c r="B168" s="23">
        <f t="shared" si="3"/>
        <v>570</v>
      </c>
      <c r="C168" s="29">
        <v>570540</v>
      </c>
      <c r="D168" s="30" t="s">
        <v>31</v>
      </c>
      <c r="F168" s="31">
        <v>56507</v>
      </c>
      <c r="G168" s="42">
        <v>24962</v>
      </c>
      <c r="H168" s="42">
        <v>14901</v>
      </c>
      <c r="I168" s="42"/>
      <c r="J168" s="42">
        <v>14305</v>
      </c>
      <c r="K168" s="28"/>
      <c r="L168" s="28"/>
      <c r="M168" s="38">
        <f>J168*1.06+9000</f>
        <v>24163</v>
      </c>
      <c r="N168" s="38">
        <f t="shared" si="4"/>
        <v>9858</v>
      </c>
      <c r="O168" s="31"/>
      <c r="P168" s="106" t="s">
        <v>330</v>
      </c>
      <c r="Q168" s="25">
        <v>570</v>
      </c>
    </row>
    <row r="169" spans="1:17" s="25" customFormat="1" ht="11.25">
      <c r="A169" s="17">
        <v>161</v>
      </c>
      <c r="B169" s="23">
        <f t="shared" si="3"/>
        <v>570</v>
      </c>
      <c r="C169" s="29">
        <v>570550</v>
      </c>
      <c r="D169" s="30" t="s">
        <v>44</v>
      </c>
      <c r="F169" s="31">
        <v>58140</v>
      </c>
      <c r="G169" s="42">
        <v>57833</v>
      </c>
      <c r="H169" s="42">
        <v>105174</v>
      </c>
      <c r="I169" s="42"/>
      <c r="J169" s="42">
        <v>83160</v>
      </c>
      <c r="K169" s="28" t="s">
        <v>103</v>
      </c>
      <c r="L169" s="28"/>
      <c r="M169" s="38">
        <f>J169*1.06+9000</f>
        <v>97150</v>
      </c>
      <c r="N169" s="38">
        <f t="shared" si="4"/>
        <v>13990</v>
      </c>
      <c r="O169" s="31"/>
      <c r="P169" s="106" t="s">
        <v>330</v>
      </c>
      <c r="Q169" s="25">
        <v>570</v>
      </c>
    </row>
    <row r="170" spans="1:17" s="25" customFormat="1" ht="11.25">
      <c r="A170" s="17">
        <v>162</v>
      </c>
      <c r="B170" s="23">
        <f t="shared" si="3"/>
        <v>570</v>
      </c>
      <c r="C170" s="29">
        <v>570560</v>
      </c>
      <c r="D170" s="30" t="s">
        <v>44</v>
      </c>
      <c r="F170" s="21"/>
      <c r="G170" s="42">
        <v>1790</v>
      </c>
      <c r="H170" s="42"/>
      <c r="I170" s="42"/>
      <c r="J170" s="42">
        <v>10589</v>
      </c>
      <c r="K170" s="28"/>
      <c r="L170" s="28"/>
      <c r="M170" s="38">
        <f>J170*1.06+9000</f>
        <v>20224</v>
      </c>
      <c r="N170" s="38">
        <f t="shared" si="4"/>
        <v>9635</v>
      </c>
      <c r="O170" s="31"/>
      <c r="P170" s="106" t="s">
        <v>330</v>
      </c>
      <c r="Q170" s="25">
        <v>570</v>
      </c>
    </row>
    <row r="171" spans="1:18" s="25" customFormat="1" ht="33.75">
      <c r="A171" s="17">
        <v>163</v>
      </c>
      <c r="B171" s="23">
        <f t="shared" si="3"/>
        <v>570</v>
      </c>
      <c r="C171" s="24"/>
      <c r="D171" s="30"/>
      <c r="E171" s="25" t="s">
        <v>217</v>
      </c>
      <c r="F171" s="31">
        <f>SUM(F164:F170)</f>
        <v>333357</v>
      </c>
      <c r="G171" s="31">
        <f>SUM(G164:G170)</f>
        <v>351493</v>
      </c>
      <c r="H171" s="31">
        <f>SUM(H164:H170)</f>
        <v>486290</v>
      </c>
      <c r="I171" s="31">
        <v>384764</v>
      </c>
      <c r="J171" s="31">
        <f>SUM(J164:J170)</f>
        <v>497235</v>
      </c>
      <c r="K171" s="28"/>
      <c r="L171" s="36" t="s">
        <v>271</v>
      </c>
      <c r="M171" s="31">
        <f>SUM(M164:M170)</f>
        <v>764511</v>
      </c>
      <c r="N171" s="36" t="s">
        <v>181</v>
      </c>
      <c r="O171" s="37">
        <f>SUM(N164:N170)</f>
        <v>267276</v>
      </c>
      <c r="P171" s="31"/>
      <c r="Q171" s="25">
        <v>570</v>
      </c>
      <c r="R171" s="25">
        <v>384764</v>
      </c>
    </row>
    <row r="172" spans="1:17" s="25" customFormat="1" ht="11.25">
      <c r="A172" s="17">
        <v>164</v>
      </c>
      <c r="B172" s="23">
        <f t="shared" si="3"/>
        <v>570</v>
      </c>
      <c r="C172" s="24"/>
      <c r="D172" s="30"/>
      <c r="F172" s="21"/>
      <c r="G172" s="31"/>
      <c r="H172" s="31"/>
      <c r="I172" s="31"/>
      <c r="J172" s="31"/>
      <c r="K172" s="28"/>
      <c r="L172" s="28"/>
      <c r="M172" s="31"/>
      <c r="N172" s="36"/>
      <c r="O172" s="37"/>
      <c r="P172" s="31"/>
      <c r="Q172" s="25">
        <v>570</v>
      </c>
    </row>
    <row r="173" spans="1:17" s="25" customFormat="1" ht="11.25">
      <c r="A173" s="17">
        <v>165</v>
      </c>
      <c r="B173" s="23">
        <f t="shared" si="3"/>
        <v>571</v>
      </c>
      <c r="C173" s="24" t="s">
        <v>68</v>
      </c>
      <c r="D173" s="30"/>
      <c r="F173" s="21"/>
      <c r="G173" s="31"/>
      <c r="H173" s="31"/>
      <c r="I173" s="31"/>
      <c r="J173" s="31"/>
      <c r="K173" s="28"/>
      <c r="L173" s="28"/>
      <c r="M173" s="31"/>
      <c r="N173" s="31"/>
      <c r="O173" s="31"/>
      <c r="P173" s="31"/>
      <c r="Q173" s="25">
        <v>571</v>
      </c>
    </row>
    <row r="174" spans="1:17" s="25" customFormat="1" ht="11.25">
      <c r="A174" s="17">
        <v>166</v>
      </c>
      <c r="B174" s="23">
        <f t="shared" si="3"/>
        <v>571</v>
      </c>
      <c r="C174" s="27">
        <v>571010</v>
      </c>
      <c r="D174" s="30" t="s">
        <v>151</v>
      </c>
      <c r="F174" s="21"/>
      <c r="G174" s="31"/>
      <c r="H174" s="31"/>
      <c r="I174" s="31"/>
      <c r="J174" s="31"/>
      <c r="K174" s="28"/>
      <c r="L174" s="28"/>
      <c r="M174" s="35"/>
      <c r="N174" s="35"/>
      <c r="O174" s="31"/>
      <c r="P174" s="31"/>
      <c r="Q174" s="25">
        <v>571</v>
      </c>
    </row>
    <row r="175" spans="1:17" s="25" customFormat="1" ht="11.25">
      <c r="A175" s="17">
        <v>167</v>
      </c>
      <c r="B175" s="23">
        <f t="shared" si="3"/>
        <v>571</v>
      </c>
      <c r="C175" s="27">
        <v>571510</v>
      </c>
      <c r="D175" s="30" t="s">
        <v>152</v>
      </c>
      <c r="F175" s="21"/>
      <c r="G175" s="31"/>
      <c r="H175" s="31"/>
      <c r="I175" s="31"/>
      <c r="J175" s="31"/>
      <c r="K175" s="28"/>
      <c r="L175" s="28"/>
      <c r="M175" s="35"/>
      <c r="N175" s="35"/>
      <c r="O175" s="31"/>
      <c r="P175" s="31"/>
      <c r="Q175" s="25">
        <v>571</v>
      </c>
    </row>
    <row r="176" spans="1:17" s="25" customFormat="1" ht="11.25">
      <c r="A176" s="17">
        <v>168</v>
      </c>
      <c r="B176" s="23">
        <f t="shared" si="3"/>
        <v>571</v>
      </c>
      <c r="C176" s="27">
        <v>571520</v>
      </c>
      <c r="D176" s="30" t="s">
        <v>0</v>
      </c>
      <c r="F176" s="21">
        <v>3479</v>
      </c>
      <c r="G176" s="31"/>
      <c r="H176" s="31">
        <v>1550</v>
      </c>
      <c r="I176" s="31"/>
      <c r="J176" s="31">
        <v>0</v>
      </c>
      <c r="K176" s="28"/>
      <c r="L176" s="28"/>
      <c r="M176" s="35"/>
      <c r="N176" s="35">
        <f aca="true" t="shared" si="5" ref="N176:N181">M176-J176</f>
        <v>0</v>
      </c>
      <c r="O176" s="31"/>
      <c r="P176" s="31"/>
      <c r="Q176" s="25">
        <v>571</v>
      </c>
    </row>
    <row r="177" spans="1:17" s="25" customFormat="1" ht="11.25">
      <c r="A177" s="17">
        <v>169</v>
      </c>
      <c r="B177" s="23">
        <f t="shared" si="3"/>
        <v>571</v>
      </c>
      <c r="C177" s="27">
        <v>571200</v>
      </c>
      <c r="D177" s="30" t="s">
        <v>14</v>
      </c>
      <c r="F177" s="21"/>
      <c r="G177" s="31"/>
      <c r="H177" s="31"/>
      <c r="I177" s="31"/>
      <c r="J177" s="31"/>
      <c r="K177" s="28" t="s">
        <v>166</v>
      </c>
      <c r="L177" s="28"/>
      <c r="M177" s="35"/>
      <c r="N177" s="35">
        <f t="shared" si="5"/>
        <v>0</v>
      </c>
      <c r="O177" s="31"/>
      <c r="P177" s="31"/>
      <c r="Q177" s="25">
        <v>571</v>
      </c>
    </row>
    <row r="178" spans="1:17" s="25" customFormat="1" ht="22.5">
      <c r="A178" s="17">
        <v>170</v>
      </c>
      <c r="B178" s="23">
        <f t="shared" si="3"/>
        <v>571</v>
      </c>
      <c r="C178" s="27">
        <v>571300</v>
      </c>
      <c r="D178" s="30" t="s">
        <v>15</v>
      </c>
      <c r="F178" s="21"/>
      <c r="G178" s="31"/>
      <c r="H178" s="31">
        <v>0</v>
      </c>
      <c r="I178" s="31"/>
      <c r="J178" s="31"/>
      <c r="K178" s="28" t="s">
        <v>201</v>
      </c>
      <c r="L178" s="28"/>
      <c r="M178" s="68">
        <v>360400</v>
      </c>
      <c r="N178" s="68">
        <f t="shared" si="5"/>
        <v>360400</v>
      </c>
      <c r="O178" s="31"/>
      <c r="P178" s="31"/>
      <c r="Q178" s="25">
        <v>571</v>
      </c>
    </row>
    <row r="179" spans="1:17" s="39" customFormat="1" ht="11.25">
      <c r="A179" s="17">
        <v>171</v>
      </c>
      <c r="B179" s="23">
        <f t="shared" si="3"/>
        <v>571</v>
      </c>
      <c r="C179" s="29">
        <v>571610</v>
      </c>
      <c r="D179" s="39" t="s">
        <v>60</v>
      </c>
      <c r="F179" s="31">
        <v>9643</v>
      </c>
      <c r="G179" s="31">
        <v>566</v>
      </c>
      <c r="H179" s="31">
        <v>0</v>
      </c>
      <c r="I179" s="31"/>
      <c r="J179" s="31"/>
      <c r="K179" s="28" t="s">
        <v>111</v>
      </c>
      <c r="L179" s="28"/>
      <c r="M179" s="35"/>
      <c r="N179" s="35">
        <f t="shared" si="5"/>
        <v>0</v>
      </c>
      <c r="O179" s="31"/>
      <c r="P179" s="31"/>
      <c r="Q179" s="39">
        <v>571</v>
      </c>
    </row>
    <row r="180" spans="1:17" s="39" customFormat="1" ht="11.25">
      <c r="A180" s="17">
        <v>172</v>
      </c>
      <c r="B180" s="23">
        <f t="shared" si="3"/>
        <v>571</v>
      </c>
      <c r="C180" s="29">
        <v>571620</v>
      </c>
      <c r="D180" s="30" t="s">
        <v>69</v>
      </c>
      <c r="F180" s="31"/>
      <c r="G180" s="31"/>
      <c r="H180" s="31"/>
      <c r="I180" s="31"/>
      <c r="J180" s="31"/>
      <c r="K180" s="28" t="s">
        <v>202</v>
      </c>
      <c r="L180" s="28"/>
      <c r="M180" s="35"/>
      <c r="N180" s="35">
        <f t="shared" si="5"/>
        <v>0</v>
      </c>
      <c r="O180" s="31"/>
      <c r="P180" s="31"/>
      <c r="Q180" s="39">
        <v>571</v>
      </c>
    </row>
    <row r="181" spans="1:17" s="25" customFormat="1" ht="11.25">
      <c r="A181" s="17"/>
      <c r="B181" s="23">
        <f t="shared" si="3"/>
        <v>571</v>
      </c>
      <c r="C181" s="27">
        <v>571620</v>
      </c>
      <c r="D181" s="30" t="s">
        <v>69</v>
      </c>
      <c r="F181" s="21">
        <v>0</v>
      </c>
      <c r="G181" s="31">
        <v>0</v>
      </c>
      <c r="H181" s="31">
        <v>0</v>
      </c>
      <c r="I181" s="31"/>
      <c r="J181" s="31">
        <v>597</v>
      </c>
      <c r="K181" s="28" t="s">
        <v>237</v>
      </c>
      <c r="L181" s="28"/>
      <c r="M181" s="35"/>
      <c r="N181" s="35">
        <f t="shared" si="5"/>
        <v>-597</v>
      </c>
      <c r="O181" s="31"/>
      <c r="P181" s="31"/>
      <c r="Q181" s="25">
        <v>571</v>
      </c>
    </row>
    <row r="182" spans="1:17" s="25" customFormat="1" ht="22.5">
      <c r="A182" s="17">
        <v>173</v>
      </c>
      <c r="B182" s="23">
        <f t="shared" si="3"/>
        <v>571</v>
      </c>
      <c r="C182" s="27"/>
      <c r="D182" s="30"/>
      <c r="E182" s="70" t="s">
        <v>246</v>
      </c>
      <c r="F182" s="21"/>
      <c r="G182" s="31"/>
      <c r="H182" s="31">
        <f>SUM(H174+H175+H176+H177+H178+H180+H181)</f>
        <v>1550</v>
      </c>
      <c r="I182" s="31"/>
      <c r="J182" s="31">
        <f>SUM(J174+J175+J176+J177+J178+J180+J181)</f>
        <v>597</v>
      </c>
      <c r="K182" s="28"/>
      <c r="L182" s="28"/>
      <c r="M182" s="31">
        <f>SUM(M174+M175+M176+M177+M178+M180+M181)</f>
        <v>360400</v>
      </c>
      <c r="N182" s="31">
        <f>SUM(N174+N175+N176+N177+N178+N180+N181)</f>
        <v>359803</v>
      </c>
      <c r="O182" s="31"/>
      <c r="P182" s="31"/>
      <c r="Q182" s="25">
        <v>571</v>
      </c>
    </row>
    <row r="183" spans="1:18" s="25" customFormat="1" ht="56.25">
      <c r="A183" s="17"/>
      <c r="B183" s="23">
        <f t="shared" si="3"/>
        <v>571</v>
      </c>
      <c r="C183" s="27"/>
      <c r="D183" s="30"/>
      <c r="E183" s="25" t="s">
        <v>247</v>
      </c>
      <c r="F183" s="31">
        <f>SUM(F174:F181)</f>
        <v>13122</v>
      </c>
      <c r="G183" s="31">
        <f>SUM(G174:G181)</f>
        <v>566</v>
      </c>
      <c r="H183" s="31">
        <f>SUM(H179)</f>
        <v>0</v>
      </c>
      <c r="I183" s="31">
        <v>356329</v>
      </c>
      <c r="J183" s="31">
        <f>SUM(J179)</f>
        <v>0</v>
      </c>
      <c r="K183" s="28" t="s">
        <v>274</v>
      </c>
      <c r="L183" s="36" t="s">
        <v>272</v>
      </c>
      <c r="M183" s="41">
        <f>SUM(M174:M181)-M179</f>
        <v>360400</v>
      </c>
      <c r="N183" s="36" t="s">
        <v>248</v>
      </c>
      <c r="O183" s="37">
        <f>SUM(N174:N181)-N179</f>
        <v>359803</v>
      </c>
      <c r="P183" s="31"/>
      <c r="Q183" s="25">
        <v>571</v>
      </c>
      <c r="R183" s="25">
        <v>356329</v>
      </c>
    </row>
    <row r="184" spans="1:17" s="25" customFormat="1" ht="56.25">
      <c r="A184" s="17">
        <v>174</v>
      </c>
      <c r="B184" s="23">
        <f t="shared" si="3"/>
        <v>571</v>
      </c>
      <c r="C184" s="27"/>
      <c r="D184" s="30"/>
      <c r="F184" s="31"/>
      <c r="G184" s="31"/>
      <c r="H184" s="31"/>
      <c r="I184" s="31"/>
      <c r="J184" s="31"/>
      <c r="K184" s="28"/>
      <c r="L184" s="36" t="s">
        <v>273</v>
      </c>
      <c r="M184" s="31">
        <f>SUM(M179)</f>
        <v>0</v>
      </c>
      <c r="N184" s="36" t="s">
        <v>249</v>
      </c>
      <c r="O184" s="37">
        <f>SUM(N179)</f>
        <v>0</v>
      </c>
      <c r="P184" s="31"/>
      <c r="Q184" s="25">
        <v>571</v>
      </c>
    </row>
    <row r="185" spans="1:17" s="25" customFormat="1" ht="11.25">
      <c r="A185" s="17">
        <v>175</v>
      </c>
      <c r="B185" s="23">
        <f t="shared" si="3"/>
        <v>571</v>
      </c>
      <c r="C185" s="27"/>
      <c r="D185" s="30"/>
      <c r="F185" s="21"/>
      <c r="G185" s="31"/>
      <c r="H185" s="31"/>
      <c r="I185" s="31"/>
      <c r="J185" s="31"/>
      <c r="K185" s="28"/>
      <c r="L185" s="28"/>
      <c r="M185" s="31"/>
      <c r="N185" s="36"/>
      <c r="O185" s="37"/>
      <c r="P185" s="31"/>
      <c r="Q185" s="25">
        <v>571</v>
      </c>
    </row>
    <row r="186" spans="1:17" s="25" customFormat="1" ht="11.25">
      <c r="A186" s="17">
        <v>176</v>
      </c>
      <c r="B186" s="23">
        <f t="shared" si="3"/>
        <v>572</v>
      </c>
      <c r="C186" s="24" t="s">
        <v>153</v>
      </c>
      <c r="D186" s="30"/>
      <c r="F186" s="21"/>
      <c r="G186" s="31"/>
      <c r="H186" s="31"/>
      <c r="I186" s="31"/>
      <c r="J186" s="31"/>
      <c r="K186" s="28"/>
      <c r="L186" s="28"/>
      <c r="M186" s="31"/>
      <c r="N186" s="31"/>
      <c r="O186" s="31"/>
      <c r="P186" s="31"/>
      <c r="Q186" s="25">
        <v>572</v>
      </c>
    </row>
    <row r="187" spans="1:17" s="25" customFormat="1" ht="11.25">
      <c r="A187" s="17">
        <v>177</v>
      </c>
      <c r="B187" s="23">
        <f t="shared" si="3"/>
        <v>572</v>
      </c>
      <c r="C187" s="27">
        <v>572000</v>
      </c>
      <c r="D187" s="30" t="s">
        <v>154</v>
      </c>
      <c r="F187" s="21"/>
      <c r="G187" s="31"/>
      <c r="H187" s="31">
        <v>0</v>
      </c>
      <c r="I187" s="31"/>
      <c r="J187" s="31">
        <v>0</v>
      </c>
      <c r="K187" s="28"/>
      <c r="L187" s="28"/>
      <c r="M187" s="31">
        <v>0</v>
      </c>
      <c r="N187" s="31"/>
      <c r="O187" s="31"/>
      <c r="P187" s="31"/>
      <c r="Q187" s="25">
        <v>572</v>
      </c>
    </row>
    <row r="188" spans="1:18" s="25" customFormat="1" ht="33.75">
      <c r="A188" s="17">
        <v>178</v>
      </c>
      <c r="B188" s="23">
        <f t="shared" si="3"/>
        <v>572</v>
      </c>
      <c r="C188" s="27"/>
      <c r="D188" s="30"/>
      <c r="E188" s="25" t="s">
        <v>217</v>
      </c>
      <c r="F188" s="31">
        <f>SUM(F187)</f>
        <v>0</v>
      </c>
      <c r="G188" s="31">
        <f>SUM(G187)</f>
        <v>0</v>
      </c>
      <c r="H188" s="31">
        <f>SUM(H187)</f>
        <v>0</v>
      </c>
      <c r="I188" s="31">
        <v>0</v>
      </c>
      <c r="J188" s="31">
        <v>0</v>
      </c>
      <c r="K188" s="28"/>
      <c r="L188" s="36" t="s">
        <v>275</v>
      </c>
      <c r="M188" s="31">
        <f>SUM(M187)</f>
        <v>0</v>
      </c>
      <c r="N188" s="36" t="s">
        <v>183</v>
      </c>
      <c r="O188" s="37">
        <f>SUM(N187:N187)</f>
        <v>0</v>
      </c>
      <c r="P188" s="31"/>
      <c r="Q188" s="25">
        <v>572</v>
      </c>
      <c r="R188" s="25">
        <v>0</v>
      </c>
    </row>
    <row r="189" spans="1:17" s="25" customFormat="1" ht="11.25">
      <c r="A189" s="17">
        <v>179</v>
      </c>
      <c r="B189" s="23">
        <f t="shared" si="3"/>
        <v>572</v>
      </c>
      <c r="C189" s="27"/>
      <c r="D189" s="30"/>
      <c r="F189" s="21"/>
      <c r="G189" s="31"/>
      <c r="H189" s="31"/>
      <c r="I189" s="31"/>
      <c r="J189" s="31"/>
      <c r="K189" s="28"/>
      <c r="L189" s="28"/>
      <c r="M189" s="31"/>
      <c r="N189" s="36"/>
      <c r="O189" s="37"/>
      <c r="P189" s="31"/>
      <c r="Q189" s="25">
        <v>572</v>
      </c>
    </row>
    <row r="190" spans="1:17" s="25" customFormat="1" ht="11.25">
      <c r="A190" s="17">
        <v>180</v>
      </c>
      <c r="B190" s="23">
        <f t="shared" si="3"/>
        <v>573</v>
      </c>
      <c r="C190" s="24" t="s">
        <v>9</v>
      </c>
      <c r="D190" s="30"/>
      <c r="F190" s="21"/>
      <c r="G190" s="31"/>
      <c r="H190" s="31"/>
      <c r="I190" s="31"/>
      <c r="J190" s="31"/>
      <c r="K190" s="28"/>
      <c r="L190" s="28"/>
      <c r="M190" s="31"/>
      <c r="N190" s="31"/>
      <c r="O190" s="31"/>
      <c r="P190" s="31"/>
      <c r="Q190" s="25">
        <v>573</v>
      </c>
    </row>
    <row r="191" spans="1:17" s="25" customFormat="1" ht="11.25">
      <c r="A191" s="17">
        <v>181</v>
      </c>
      <c r="B191" s="23">
        <f t="shared" si="3"/>
        <v>573</v>
      </c>
      <c r="C191" s="27">
        <v>573000</v>
      </c>
      <c r="D191" s="30" t="s">
        <v>10</v>
      </c>
      <c r="F191" s="21">
        <v>311</v>
      </c>
      <c r="G191" s="31"/>
      <c r="H191" s="31">
        <v>0</v>
      </c>
      <c r="I191" s="31"/>
      <c r="J191" s="31">
        <v>569</v>
      </c>
      <c r="K191" s="28"/>
      <c r="L191" s="28"/>
      <c r="M191" s="35">
        <v>0</v>
      </c>
      <c r="N191" s="35">
        <f>M191-J191</f>
        <v>-569</v>
      </c>
      <c r="O191" s="31"/>
      <c r="P191" s="31"/>
      <c r="Q191" s="25">
        <v>573</v>
      </c>
    </row>
    <row r="192" spans="1:18" s="25" customFormat="1" ht="33.75">
      <c r="A192" s="17">
        <v>182</v>
      </c>
      <c r="B192" s="23">
        <f t="shared" si="3"/>
        <v>573</v>
      </c>
      <c r="C192" s="24"/>
      <c r="D192" s="30"/>
      <c r="E192" s="25" t="s">
        <v>217</v>
      </c>
      <c r="F192" s="31">
        <f>SUM(F191)</f>
        <v>311</v>
      </c>
      <c r="G192" s="31">
        <f>SUM(G191)</f>
        <v>0</v>
      </c>
      <c r="H192" s="31">
        <f>SUM(H191)</f>
        <v>0</v>
      </c>
      <c r="I192" s="31">
        <v>0</v>
      </c>
      <c r="J192" s="31">
        <f>SUM(J191)</f>
        <v>569</v>
      </c>
      <c r="K192" s="28"/>
      <c r="L192" s="36" t="s">
        <v>276</v>
      </c>
      <c r="M192" s="31">
        <f>SUM(M191:M191)</f>
        <v>0</v>
      </c>
      <c r="N192" s="36" t="s">
        <v>182</v>
      </c>
      <c r="O192" s="37">
        <f>SUM(N191:N191)</f>
        <v>-569</v>
      </c>
      <c r="P192" s="31"/>
      <c r="Q192" s="25">
        <v>573</v>
      </c>
      <c r="R192" s="25">
        <v>0</v>
      </c>
    </row>
    <row r="193" spans="1:17" s="25" customFormat="1" ht="11.25">
      <c r="A193" s="17">
        <v>183</v>
      </c>
      <c r="B193" s="23">
        <f t="shared" si="3"/>
        <v>573</v>
      </c>
      <c r="C193" s="24"/>
      <c r="D193" s="30"/>
      <c r="F193" s="21"/>
      <c r="G193" s="31"/>
      <c r="H193" s="31"/>
      <c r="I193" s="31"/>
      <c r="J193" s="31"/>
      <c r="K193" s="28"/>
      <c r="L193" s="28"/>
      <c r="M193" s="31"/>
      <c r="N193" s="36"/>
      <c r="O193" s="37"/>
      <c r="P193" s="31"/>
      <c r="Q193" s="25">
        <v>573</v>
      </c>
    </row>
    <row r="194" spans="1:17" s="25" customFormat="1" ht="11.25">
      <c r="A194" s="17">
        <v>184</v>
      </c>
      <c r="B194" s="23">
        <f t="shared" si="3"/>
        <v>580</v>
      </c>
      <c r="C194" s="24" t="s">
        <v>12</v>
      </c>
      <c r="D194" s="30"/>
      <c r="F194" s="21"/>
      <c r="G194" s="31"/>
      <c r="H194" s="31"/>
      <c r="I194" s="31"/>
      <c r="J194" s="31"/>
      <c r="K194" s="28"/>
      <c r="L194" s="28"/>
      <c r="M194" s="31"/>
      <c r="N194" s="31"/>
      <c r="O194" s="31"/>
      <c r="P194" s="31"/>
      <c r="Q194" s="25">
        <v>580</v>
      </c>
    </row>
    <row r="195" spans="1:17" s="25" customFormat="1" ht="11.25">
      <c r="A195" s="17">
        <v>185</v>
      </c>
      <c r="B195" s="23">
        <f t="shared" si="3"/>
        <v>580</v>
      </c>
      <c r="C195" s="27">
        <v>580000</v>
      </c>
      <c r="D195" s="32" t="s">
        <v>11</v>
      </c>
      <c r="F195" s="21">
        <v>8250</v>
      </c>
      <c r="G195" s="31"/>
      <c r="H195" s="31">
        <v>0</v>
      </c>
      <c r="I195" s="31"/>
      <c r="J195" s="31">
        <v>1909</v>
      </c>
      <c r="K195" s="28"/>
      <c r="L195" s="28"/>
      <c r="M195" s="31">
        <v>0</v>
      </c>
      <c r="N195" s="31">
        <f>M195-J195</f>
        <v>-1909</v>
      </c>
      <c r="O195" s="31"/>
      <c r="P195" s="31"/>
      <c r="Q195" s="25">
        <v>580</v>
      </c>
    </row>
    <row r="196" spans="1:18" s="25" customFormat="1" ht="33.75">
      <c r="A196" s="17">
        <v>186</v>
      </c>
      <c r="B196" s="23">
        <f t="shared" si="3"/>
        <v>580</v>
      </c>
      <c r="C196" s="24"/>
      <c r="D196" s="30"/>
      <c r="E196" s="25" t="s">
        <v>217</v>
      </c>
      <c r="F196" s="31">
        <f>SUM(F195)</f>
        <v>8250</v>
      </c>
      <c r="G196" s="31">
        <f>SUM(G195)</f>
        <v>0</v>
      </c>
      <c r="H196" s="31">
        <f>SUM(H195)</f>
        <v>0</v>
      </c>
      <c r="I196" s="31">
        <v>0</v>
      </c>
      <c r="J196" s="31">
        <f>SUM(J195)</f>
        <v>1909</v>
      </c>
      <c r="K196" s="28"/>
      <c r="L196" s="36" t="s">
        <v>277</v>
      </c>
      <c r="M196" s="31">
        <f>SUM(M195)</f>
        <v>0</v>
      </c>
      <c r="N196" s="36" t="s">
        <v>184</v>
      </c>
      <c r="O196" s="37">
        <f>SUM(N195:N195)</f>
        <v>-1909</v>
      </c>
      <c r="P196" s="31"/>
      <c r="Q196" s="25">
        <v>580</v>
      </c>
      <c r="R196" s="25">
        <v>0</v>
      </c>
    </row>
    <row r="197" spans="1:17" s="25" customFormat="1" ht="11.25">
      <c r="A197" s="17">
        <v>187</v>
      </c>
      <c r="B197" s="23">
        <f t="shared" si="3"/>
        <v>580</v>
      </c>
      <c r="C197" s="24"/>
      <c r="D197" s="30"/>
      <c r="F197" s="21"/>
      <c r="G197" s="31"/>
      <c r="H197" s="31"/>
      <c r="I197" s="31"/>
      <c r="J197" s="31"/>
      <c r="K197" s="28"/>
      <c r="L197" s="28"/>
      <c r="M197" s="31"/>
      <c r="N197" s="36"/>
      <c r="O197" s="37"/>
      <c r="P197" s="31"/>
      <c r="Q197" s="25">
        <v>580</v>
      </c>
    </row>
    <row r="198" spans="1:17" s="25" customFormat="1" ht="11.25">
      <c r="A198" s="17">
        <v>188</v>
      </c>
      <c r="B198" s="23">
        <f t="shared" si="3"/>
        <v>582</v>
      </c>
      <c r="C198" s="24" t="s">
        <v>50</v>
      </c>
      <c r="D198" s="30"/>
      <c r="F198" s="21"/>
      <c r="G198" s="31"/>
      <c r="H198" s="31"/>
      <c r="I198" s="31"/>
      <c r="J198" s="31"/>
      <c r="K198" s="28"/>
      <c r="L198" s="28"/>
      <c r="M198" s="31"/>
      <c r="N198" s="31"/>
      <c r="O198" s="31"/>
      <c r="P198" s="31"/>
      <c r="Q198" s="25">
        <v>582</v>
      </c>
    </row>
    <row r="199" spans="1:17" s="25" customFormat="1" ht="11.25">
      <c r="A199" s="17">
        <v>189</v>
      </c>
      <c r="B199" s="23">
        <f t="shared" si="3"/>
        <v>582</v>
      </c>
      <c r="C199" s="29">
        <v>582500</v>
      </c>
      <c r="D199" s="30" t="s">
        <v>51</v>
      </c>
      <c r="F199" s="21">
        <v>81229</v>
      </c>
      <c r="G199" s="31">
        <v>83152</v>
      </c>
      <c r="H199" s="31">
        <v>109457</v>
      </c>
      <c r="I199" s="31"/>
      <c r="J199" s="31">
        <v>123343</v>
      </c>
      <c r="K199" s="28" t="s">
        <v>103</v>
      </c>
      <c r="L199" s="28"/>
      <c r="M199" s="38">
        <f>J199*1.06</f>
        <v>130744</v>
      </c>
      <c r="N199" s="38">
        <f aca="true" t="shared" si="6" ref="N199:N204">M199-J199</f>
        <v>7401</v>
      </c>
      <c r="O199" s="31"/>
      <c r="P199" s="106" t="s">
        <v>330</v>
      </c>
      <c r="Q199" s="25">
        <v>582</v>
      </c>
    </row>
    <row r="200" spans="1:17" s="25" customFormat="1" ht="11.25">
      <c r="A200" s="17">
        <v>190</v>
      </c>
      <c r="B200" s="23">
        <f t="shared" si="3"/>
        <v>582</v>
      </c>
      <c r="C200" s="29">
        <v>582510</v>
      </c>
      <c r="D200" s="30" t="s">
        <v>31</v>
      </c>
      <c r="F200" s="21">
        <v>810</v>
      </c>
      <c r="G200" s="31">
        <v>8756</v>
      </c>
      <c r="H200" s="31">
        <v>219</v>
      </c>
      <c r="I200" s="31"/>
      <c r="J200" s="31">
        <v>0</v>
      </c>
      <c r="K200" s="28"/>
      <c r="L200" s="28"/>
      <c r="M200" s="38">
        <f>G200*1.12</f>
        <v>9807</v>
      </c>
      <c r="N200" s="38">
        <f t="shared" si="6"/>
        <v>9807</v>
      </c>
      <c r="O200" s="31"/>
      <c r="P200" s="106" t="s">
        <v>330</v>
      </c>
      <c r="Q200" s="25">
        <v>582</v>
      </c>
    </row>
    <row r="201" spans="1:17" s="25" customFormat="1" ht="11.25">
      <c r="A201" s="17">
        <v>191</v>
      </c>
      <c r="B201" s="23">
        <f t="shared" si="3"/>
        <v>582</v>
      </c>
      <c r="C201" s="29">
        <v>582520</v>
      </c>
      <c r="D201" s="30" t="s">
        <v>52</v>
      </c>
      <c r="F201" s="21">
        <v>7585</v>
      </c>
      <c r="G201" s="31">
        <v>3467</v>
      </c>
      <c r="H201" s="31">
        <v>1675</v>
      </c>
      <c r="I201" s="31"/>
      <c r="J201" s="31">
        <v>802</v>
      </c>
      <c r="K201" s="28"/>
      <c r="L201" s="28"/>
      <c r="M201" s="38">
        <v>6210</v>
      </c>
      <c r="N201" s="38">
        <f t="shared" si="6"/>
        <v>5408</v>
      </c>
      <c r="O201" s="31"/>
      <c r="P201" s="31"/>
      <c r="Q201" s="25">
        <v>582</v>
      </c>
    </row>
    <row r="202" spans="1:17" s="25" customFormat="1" ht="11.25">
      <c r="A202" s="17">
        <v>192</v>
      </c>
      <c r="B202" s="23">
        <f t="shared" si="3"/>
        <v>582</v>
      </c>
      <c r="C202" s="29">
        <v>582530</v>
      </c>
      <c r="D202" s="30" t="s">
        <v>33</v>
      </c>
      <c r="F202" s="21">
        <v>14960</v>
      </c>
      <c r="G202" s="31">
        <v>20956</v>
      </c>
      <c r="H202" s="31">
        <v>18308</v>
      </c>
      <c r="I202" s="31"/>
      <c r="J202" s="31">
        <v>17625</v>
      </c>
      <c r="K202" s="28"/>
      <c r="L202" s="28"/>
      <c r="M202" s="38">
        <f>1.06*J202</f>
        <v>18683</v>
      </c>
      <c r="N202" s="38">
        <f t="shared" si="6"/>
        <v>1058</v>
      </c>
      <c r="O202" s="31"/>
      <c r="P202" s="106"/>
      <c r="Q202" s="25">
        <v>582</v>
      </c>
    </row>
    <row r="203" spans="1:17" s="25" customFormat="1" ht="11.25">
      <c r="A203" s="17">
        <v>193</v>
      </c>
      <c r="B203" s="23">
        <f t="shared" si="3"/>
        <v>582</v>
      </c>
      <c r="C203" s="29">
        <v>582540</v>
      </c>
      <c r="D203" s="30" t="s">
        <v>53</v>
      </c>
      <c r="F203" s="21">
        <v>165</v>
      </c>
      <c r="G203" s="31">
        <v>3106</v>
      </c>
      <c r="H203" s="31">
        <v>3783</v>
      </c>
      <c r="I203" s="31"/>
      <c r="J203" s="31">
        <v>6137</v>
      </c>
      <c r="K203" s="28"/>
      <c r="L203" s="28"/>
      <c r="M203" s="38">
        <f>J203*1.06</f>
        <v>6505</v>
      </c>
      <c r="N203" s="38">
        <f t="shared" si="6"/>
        <v>368</v>
      </c>
      <c r="O203" s="31"/>
      <c r="P203" s="106" t="s">
        <v>330</v>
      </c>
      <c r="Q203" s="25">
        <v>582</v>
      </c>
    </row>
    <row r="204" spans="1:17" s="25" customFormat="1" ht="11.25">
      <c r="A204" s="17">
        <v>194</v>
      </c>
      <c r="B204" s="23">
        <f aca="true" t="shared" si="7" ref="B204:B267">IF(C204="",B203,VALUE(LEFT(C204,3)))</f>
        <v>582</v>
      </c>
      <c r="C204" s="29">
        <v>582550</v>
      </c>
      <c r="D204" s="30" t="s">
        <v>399</v>
      </c>
      <c r="F204" s="21">
        <v>5142</v>
      </c>
      <c r="G204" s="31">
        <v>4431</v>
      </c>
      <c r="H204" s="31">
        <v>188</v>
      </c>
      <c r="I204" s="31"/>
      <c r="J204" s="31">
        <v>2214</v>
      </c>
      <c r="K204" s="28"/>
      <c r="L204" s="28"/>
      <c r="M204" s="38">
        <f>J204*1.06+30000</f>
        <v>32347</v>
      </c>
      <c r="N204" s="38">
        <f t="shared" si="6"/>
        <v>30133</v>
      </c>
      <c r="O204" s="31"/>
      <c r="P204" s="106" t="s">
        <v>330</v>
      </c>
      <c r="Q204" s="25">
        <v>582</v>
      </c>
    </row>
    <row r="205" spans="1:18" s="25" customFormat="1" ht="33.75">
      <c r="A205" s="17">
        <v>195</v>
      </c>
      <c r="B205" s="23">
        <f t="shared" si="7"/>
        <v>582</v>
      </c>
      <c r="C205" s="24"/>
      <c r="D205" s="30"/>
      <c r="E205" s="25" t="s">
        <v>217</v>
      </c>
      <c r="F205" s="31">
        <f>SUM(F199:F204)</f>
        <v>109891</v>
      </c>
      <c r="G205" s="31">
        <f>SUM(G199:G204)</f>
        <v>123868</v>
      </c>
      <c r="H205" s="31">
        <f>SUM(H199:H204)</f>
        <v>133630</v>
      </c>
      <c r="I205" s="31">
        <v>11700</v>
      </c>
      <c r="J205" s="31">
        <f>SUM(J199:J204)</f>
        <v>150121</v>
      </c>
      <c r="K205" s="28"/>
      <c r="L205" s="36" t="s">
        <v>278</v>
      </c>
      <c r="M205" s="41">
        <f>SUM(M199:M204)</f>
        <v>204296</v>
      </c>
      <c r="N205" s="36" t="s">
        <v>185</v>
      </c>
      <c r="O205" s="37">
        <f>SUM(N199:N204)</f>
        <v>54175</v>
      </c>
      <c r="P205" s="31"/>
      <c r="Q205" s="25">
        <v>582</v>
      </c>
      <c r="R205" s="25">
        <v>11700</v>
      </c>
    </row>
    <row r="206" spans="1:17" s="25" customFormat="1" ht="11.25">
      <c r="A206" s="17">
        <v>196</v>
      </c>
      <c r="B206" s="23">
        <f t="shared" si="7"/>
        <v>582</v>
      </c>
      <c r="C206" s="24"/>
      <c r="D206" s="30"/>
      <c r="F206" s="21"/>
      <c r="G206" s="31"/>
      <c r="H206" s="31"/>
      <c r="I206" s="31"/>
      <c r="J206" s="31"/>
      <c r="K206" s="28"/>
      <c r="L206" s="28"/>
      <c r="M206" s="41"/>
      <c r="N206" s="36"/>
      <c r="O206" s="37"/>
      <c r="P206" s="31"/>
      <c r="Q206" s="25">
        <v>582</v>
      </c>
    </row>
    <row r="207" spans="1:17" s="25" customFormat="1" ht="11.25">
      <c r="A207" s="17">
        <v>197</v>
      </c>
      <c r="B207" s="23">
        <f t="shared" si="7"/>
        <v>583</v>
      </c>
      <c r="C207" s="24" t="s">
        <v>61</v>
      </c>
      <c r="D207" s="30"/>
      <c r="F207" s="21"/>
      <c r="G207" s="31"/>
      <c r="H207" s="31"/>
      <c r="I207" s="31"/>
      <c r="J207" s="31"/>
      <c r="K207" s="28"/>
      <c r="L207" s="28"/>
      <c r="M207" s="31"/>
      <c r="N207" s="31"/>
      <c r="O207" s="31"/>
      <c r="P207" s="31"/>
      <c r="Q207" s="25">
        <v>583</v>
      </c>
    </row>
    <row r="208" spans="1:17" s="39" customFormat="1" ht="11.25">
      <c r="A208" s="17">
        <v>198</v>
      </c>
      <c r="B208" s="23">
        <f t="shared" si="7"/>
        <v>583</v>
      </c>
      <c r="C208" s="29">
        <v>583500</v>
      </c>
      <c r="D208" s="39" t="s">
        <v>62</v>
      </c>
      <c r="F208" s="31">
        <v>237</v>
      </c>
      <c r="G208" s="31">
        <v>0</v>
      </c>
      <c r="H208" s="31"/>
      <c r="I208" s="31"/>
      <c r="J208" s="31"/>
      <c r="K208" s="28"/>
      <c r="L208" s="28"/>
      <c r="M208" s="43"/>
      <c r="N208" s="43">
        <f>M208-J208</f>
        <v>0</v>
      </c>
      <c r="O208" s="31"/>
      <c r="P208" s="31"/>
      <c r="Q208" s="39">
        <v>583</v>
      </c>
    </row>
    <row r="209" spans="1:17" s="39" customFormat="1" ht="11.25">
      <c r="A209" s="17">
        <v>199</v>
      </c>
      <c r="B209" s="23">
        <f t="shared" si="7"/>
        <v>583</v>
      </c>
      <c r="C209" s="29">
        <v>583510</v>
      </c>
      <c r="D209" s="30" t="s">
        <v>155</v>
      </c>
      <c r="F209" s="31">
        <v>462</v>
      </c>
      <c r="G209" s="31">
        <v>329</v>
      </c>
      <c r="H209" s="31">
        <v>906</v>
      </c>
      <c r="I209" s="31"/>
      <c r="J209" s="31">
        <v>906</v>
      </c>
      <c r="K209" s="28"/>
      <c r="L209" s="28"/>
      <c r="M209" s="43"/>
      <c r="N209" s="43">
        <f>M209-J209</f>
        <v>-906</v>
      </c>
      <c r="O209" s="31"/>
      <c r="P209" s="31"/>
      <c r="Q209" s="39">
        <v>583</v>
      </c>
    </row>
    <row r="210" spans="1:17" s="39" customFormat="1" ht="11.25">
      <c r="A210" s="17">
        <v>200</v>
      </c>
      <c r="B210" s="23">
        <f t="shared" si="7"/>
        <v>583</v>
      </c>
      <c r="C210" s="29">
        <v>583520</v>
      </c>
      <c r="D210" s="39" t="s">
        <v>114</v>
      </c>
      <c r="F210" s="31"/>
      <c r="G210" s="31"/>
      <c r="H210" s="31"/>
      <c r="I210" s="31"/>
      <c r="J210" s="31"/>
      <c r="K210" s="28"/>
      <c r="L210" s="28"/>
      <c r="M210" s="43"/>
      <c r="N210" s="43"/>
      <c r="O210" s="31"/>
      <c r="P210" s="31"/>
      <c r="Q210" s="39">
        <v>583</v>
      </c>
    </row>
    <row r="211" spans="1:17" s="39" customFormat="1" ht="11.25">
      <c r="A211" s="17">
        <v>201</v>
      </c>
      <c r="B211" s="23">
        <f t="shared" si="7"/>
        <v>583</v>
      </c>
      <c r="C211" s="29">
        <v>583530</v>
      </c>
      <c r="D211" s="30" t="s">
        <v>59</v>
      </c>
      <c r="F211" s="31">
        <v>73312</v>
      </c>
      <c r="G211" s="31">
        <v>43453</v>
      </c>
      <c r="H211" s="31">
        <v>217586</v>
      </c>
      <c r="I211" s="31"/>
      <c r="J211" s="31">
        <v>404160</v>
      </c>
      <c r="K211" s="28" t="s">
        <v>111</v>
      </c>
      <c r="L211" s="28"/>
      <c r="M211" s="43">
        <v>472619</v>
      </c>
      <c r="N211" s="43">
        <f>M211-J211</f>
        <v>68459</v>
      </c>
      <c r="O211" s="31"/>
      <c r="P211" s="31"/>
      <c r="Q211" s="39">
        <v>583</v>
      </c>
    </row>
    <row r="212" spans="1:17" s="39" customFormat="1" ht="11.25">
      <c r="A212" s="17">
        <v>202</v>
      </c>
      <c r="B212" s="23">
        <f t="shared" si="7"/>
        <v>583</v>
      </c>
      <c r="C212" s="29">
        <v>583538</v>
      </c>
      <c r="D212" s="30" t="s">
        <v>156</v>
      </c>
      <c r="F212" s="31">
        <v>15098</v>
      </c>
      <c r="G212" s="31">
        <v>0</v>
      </c>
      <c r="H212" s="31">
        <v>14760</v>
      </c>
      <c r="I212" s="31"/>
      <c r="J212" s="31">
        <v>0</v>
      </c>
      <c r="K212" s="28"/>
      <c r="L212" s="28"/>
      <c r="M212" s="43"/>
      <c r="N212" s="43">
        <f>M212-J212</f>
        <v>0</v>
      </c>
      <c r="O212" s="31"/>
      <c r="P212" s="31"/>
      <c r="Q212" s="39">
        <v>583</v>
      </c>
    </row>
    <row r="213" spans="1:18" s="25" customFormat="1" ht="56.25">
      <c r="A213" s="17"/>
      <c r="B213" s="23">
        <f t="shared" si="7"/>
        <v>583</v>
      </c>
      <c r="C213" s="24"/>
      <c r="D213" s="30"/>
      <c r="E213" s="70" t="s">
        <v>250</v>
      </c>
      <c r="F213" s="31">
        <f>SUM(F208:F212)</f>
        <v>89109</v>
      </c>
      <c r="G213" s="31">
        <f>SUM(G208:G212)</f>
        <v>43782</v>
      </c>
      <c r="H213" s="31">
        <f>SUM(H208+H209+H210)</f>
        <v>906</v>
      </c>
      <c r="I213" s="31">
        <v>356328</v>
      </c>
      <c r="J213" s="31">
        <f>SUM(J208+J209+J210)</f>
        <v>906</v>
      </c>
      <c r="K213" s="28"/>
      <c r="L213" s="36" t="s">
        <v>280</v>
      </c>
      <c r="M213" s="31">
        <f>SUM(M208+M209+M210)</f>
        <v>0</v>
      </c>
      <c r="N213" s="36" t="s">
        <v>279</v>
      </c>
      <c r="O213" s="37">
        <f>SUM(N208+N209+N210)</f>
        <v>-906</v>
      </c>
      <c r="P213" s="31"/>
      <c r="Q213" s="25">
        <v>583</v>
      </c>
      <c r="R213" s="25">
        <v>356328</v>
      </c>
    </row>
    <row r="214" spans="1:17" s="25" customFormat="1" ht="51.75" customHeight="1">
      <c r="A214" s="17">
        <v>203</v>
      </c>
      <c r="B214" s="23">
        <f t="shared" si="7"/>
        <v>583</v>
      </c>
      <c r="C214" s="24"/>
      <c r="D214" s="30"/>
      <c r="E214" s="70" t="s">
        <v>251</v>
      </c>
      <c r="F214" s="31"/>
      <c r="G214" s="31"/>
      <c r="H214" s="31">
        <f>SUM(H211+H212)</f>
        <v>232346</v>
      </c>
      <c r="I214" s="31"/>
      <c r="J214" s="31">
        <f>SUM(J211+J212)</f>
        <v>404160</v>
      </c>
      <c r="K214" s="28"/>
      <c r="L214" s="36" t="s">
        <v>281</v>
      </c>
      <c r="M214" s="31">
        <f>SUM(M211+M212)</f>
        <v>472619</v>
      </c>
      <c r="N214" s="36" t="s">
        <v>252</v>
      </c>
      <c r="O214" s="37">
        <f>SUM(N212+N211)</f>
        <v>68459</v>
      </c>
      <c r="P214" s="31"/>
      <c r="Q214" s="25">
        <v>583</v>
      </c>
    </row>
    <row r="215" spans="1:17" s="25" customFormat="1" ht="11.25">
      <c r="A215" s="17">
        <v>204</v>
      </c>
      <c r="B215" s="23">
        <f t="shared" si="7"/>
        <v>583</v>
      </c>
      <c r="C215" s="24"/>
      <c r="D215" s="30"/>
      <c r="F215" s="21"/>
      <c r="G215" s="31"/>
      <c r="H215" s="31"/>
      <c r="I215" s="31"/>
      <c r="J215" s="31"/>
      <c r="K215" s="28"/>
      <c r="L215" s="28"/>
      <c r="M215" s="41"/>
      <c r="N215" s="36"/>
      <c r="O215" s="37"/>
      <c r="P215" s="31"/>
      <c r="Q215" s="25">
        <v>583</v>
      </c>
    </row>
    <row r="216" spans="1:17" s="25" customFormat="1" ht="11.25">
      <c r="A216" s="17">
        <v>205</v>
      </c>
      <c r="B216" s="23">
        <f t="shared" si="7"/>
        <v>584</v>
      </c>
      <c r="C216" s="24" t="s">
        <v>63</v>
      </c>
      <c r="D216" s="30"/>
      <c r="F216" s="21"/>
      <c r="G216" s="31"/>
      <c r="H216" s="31"/>
      <c r="I216" s="31"/>
      <c r="J216" s="31"/>
      <c r="K216" s="28"/>
      <c r="L216" s="28"/>
      <c r="O216" s="31"/>
      <c r="P216" s="31"/>
      <c r="Q216" s="25">
        <v>584</v>
      </c>
    </row>
    <row r="217" spans="1:17" s="25" customFormat="1" ht="11.25">
      <c r="A217" s="17">
        <v>206</v>
      </c>
      <c r="B217" s="23">
        <f t="shared" si="7"/>
        <v>584</v>
      </c>
      <c r="C217" s="27">
        <v>584010</v>
      </c>
      <c r="D217" s="30" t="s">
        <v>115</v>
      </c>
      <c r="F217" s="21"/>
      <c r="G217" s="31"/>
      <c r="H217" s="31"/>
      <c r="I217" s="31"/>
      <c r="J217" s="31"/>
      <c r="K217" s="28"/>
      <c r="L217" s="28"/>
      <c r="M217" s="43"/>
      <c r="N217" s="43">
        <f>M217-J217</f>
        <v>0</v>
      </c>
      <c r="O217" s="31"/>
      <c r="P217" s="31"/>
      <c r="Q217" s="25">
        <v>584</v>
      </c>
    </row>
    <row r="218" spans="1:17" s="25" customFormat="1" ht="11.25">
      <c r="A218" s="17">
        <v>207</v>
      </c>
      <c r="B218" s="23">
        <f t="shared" si="7"/>
        <v>584</v>
      </c>
      <c r="C218" s="27">
        <v>584010</v>
      </c>
      <c r="D218" s="30" t="s">
        <v>172</v>
      </c>
      <c r="F218" s="21"/>
      <c r="G218" s="31"/>
      <c r="H218" s="31">
        <v>22380</v>
      </c>
      <c r="I218" s="31"/>
      <c r="J218" s="31"/>
      <c r="K218" s="28" t="s">
        <v>212</v>
      </c>
      <c r="L218" s="28"/>
      <c r="M218" s="43">
        <f>86000+28000</f>
        <v>114000</v>
      </c>
      <c r="N218" s="43">
        <f>M218-J218</f>
        <v>114000</v>
      </c>
      <c r="O218" s="31"/>
      <c r="P218" s="31"/>
      <c r="Q218" s="25">
        <v>584</v>
      </c>
    </row>
    <row r="219" spans="1:17" s="25" customFormat="1" ht="11.25">
      <c r="A219" s="17">
        <v>208</v>
      </c>
      <c r="B219" s="23">
        <f t="shared" si="7"/>
        <v>584</v>
      </c>
      <c r="C219" s="27">
        <v>584030</v>
      </c>
      <c r="D219" s="30" t="s">
        <v>116</v>
      </c>
      <c r="F219" s="21"/>
      <c r="G219" s="31"/>
      <c r="H219" s="31"/>
      <c r="I219" s="31"/>
      <c r="J219" s="31"/>
      <c r="K219" s="28"/>
      <c r="L219" s="28"/>
      <c r="M219" s="43"/>
      <c r="N219" s="43">
        <f>M219-J219</f>
        <v>0</v>
      </c>
      <c r="O219" s="31"/>
      <c r="P219" s="31"/>
      <c r="Q219" s="25">
        <v>584</v>
      </c>
    </row>
    <row r="220" spans="1:17" s="25" customFormat="1" ht="11.25">
      <c r="A220" s="17">
        <v>209</v>
      </c>
      <c r="B220" s="23">
        <f t="shared" si="7"/>
        <v>584</v>
      </c>
      <c r="C220" s="29">
        <v>584500</v>
      </c>
      <c r="D220" s="25" t="s">
        <v>64</v>
      </c>
      <c r="F220" s="21"/>
      <c r="G220" s="31"/>
      <c r="H220" s="31"/>
      <c r="I220" s="31"/>
      <c r="J220" s="31"/>
      <c r="K220" s="28"/>
      <c r="L220" s="28"/>
      <c r="M220" s="43"/>
      <c r="N220" s="43">
        <f>M220-J220</f>
        <v>0</v>
      </c>
      <c r="O220" s="31"/>
      <c r="P220" s="31"/>
      <c r="Q220" s="25">
        <v>584</v>
      </c>
    </row>
    <row r="221" spans="1:17" s="25" customFormat="1" ht="11.25">
      <c r="A221" s="17">
        <v>210</v>
      </c>
      <c r="B221" s="23">
        <f t="shared" si="7"/>
        <v>584</v>
      </c>
      <c r="C221" s="29">
        <v>584510</v>
      </c>
      <c r="D221" s="25" t="s">
        <v>65</v>
      </c>
      <c r="F221" s="21"/>
      <c r="G221" s="31">
        <v>178</v>
      </c>
      <c r="H221" s="31"/>
      <c r="I221" s="31"/>
      <c r="J221" s="31"/>
      <c r="K221" s="28"/>
      <c r="L221" s="28"/>
      <c r="M221" s="43"/>
      <c r="N221" s="43">
        <f>M221-J221</f>
        <v>0</v>
      </c>
      <c r="O221" s="31"/>
      <c r="P221" s="31"/>
      <c r="Q221" s="25">
        <v>584</v>
      </c>
    </row>
    <row r="222" spans="1:18" s="25" customFormat="1" ht="33.75">
      <c r="A222" s="17">
        <v>211</v>
      </c>
      <c r="B222" s="23">
        <f t="shared" si="7"/>
        <v>584</v>
      </c>
      <c r="C222" s="24"/>
      <c r="D222" s="30"/>
      <c r="E222" s="25" t="s">
        <v>217</v>
      </c>
      <c r="F222" s="31">
        <f>SUM(F217:F221)</f>
        <v>0</v>
      </c>
      <c r="G222" s="31">
        <f>SUM(G217:G221)</f>
        <v>178</v>
      </c>
      <c r="H222" s="31">
        <f>SUM(H217:H221)</f>
        <v>22380</v>
      </c>
      <c r="I222" s="31">
        <v>0</v>
      </c>
      <c r="J222" s="31"/>
      <c r="K222" s="28"/>
      <c r="L222" s="36" t="s">
        <v>282</v>
      </c>
      <c r="M222" s="41">
        <f>SUM(M217:M221)</f>
        <v>114000</v>
      </c>
      <c r="N222" s="36" t="s">
        <v>186</v>
      </c>
      <c r="O222" s="37">
        <f>SUM(N217:N221)</f>
        <v>114000</v>
      </c>
      <c r="P222" s="31"/>
      <c r="Q222" s="25">
        <v>584</v>
      </c>
      <c r="R222" s="25">
        <v>0</v>
      </c>
    </row>
    <row r="223" spans="1:17" s="25" customFormat="1" ht="11.25">
      <c r="A223" s="17">
        <v>212</v>
      </c>
      <c r="B223" s="23">
        <f t="shared" si="7"/>
        <v>584</v>
      </c>
      <c r="C223" s="24"/>
      <c r="D223" s="30"/>
      <c r="F223" s="21"/>
      <c r="G223" s="31"/>
      <c r="H223" s="31"/>
      <c r="I223" s="31"/>
      <c r="J223" s="31"/>
      <c r="K223" s="28"/>
      <c r="L223" s="28"/>
      <c r="M223" s="41"/>
      <c r="N223" s="36"/>
      <c r="O223" s="37"/>
      <c r="P223" s="31"/>
      <c r="Q223" s="25">
        <v>584</v>
      </c>
    </row>
    <row r="224" spans="1:17" s="25" customFormat="1" ht="11.25">
      <c r="A224" s="17">
        <v>213</v>
      </c>
      <c r="B224" s="23">
        <f t="shared" si="7"/>
        <v>585</v>
      </c>
      <c r="C224" s="24" t="s">
        <v>117</v>
      </c>
      <c r="D224" s="30"/>
      <c r="F224" s="21"/>
      <c r="G224" s="31"/>
      <c r="H224" s="31"/>
      <c r="I224" s="31"/>
      <c r="J224" s="31"/>
      <c r="K224" s="28"/>
      <c r="L224" s="28"/>
      <c r="M224" s="31"/>
      <c r="N224" s="31"/>
      <c r="O224" s="31"/>
      <c r="P224" s="31"/>
      <c r="Q224" s="25">
        <v>585</v>
      </c>
    </row>
    <row r="225" spans="1:17" s="25" customFormat="1" ht="11.25">
      <c r="A225" s="17">
        <v>214</v>
      </c>
      <c r="B225" s="23">
        <f t="shared" si="7"/>
        <v>585</v>
      </c>
      <c r="C225" s="27">
        <v>585010</v>
      </c>
      <c r="D225" s="30" t="s">
        <v>118</v>
      </c>
      <c r="F225" s="21">
        <v>1606</v>
      </c>
      <c r="G225" s="31"/>
      <c r="H225" s="31">
        <v>0</v>
      </c>
      <c r="I225" s="31"/>
      <c r="J225" s="31">
        <v>0</v>
      </c>
      <c r="K225" s="28"/>
      <c r="L225" s="28"/>
      <c r="M225" s="43">
        <v>0</v>
      </c>
      <c r="N225" s="43"/>
      <c r="O225" s="31"/>
      <c r="P225" s="31"/>
      <c r="Q225" s="25">
        <v>585</v>
      </c>
    </row>
    <row r="226" spans="1:17" s="25" customFormat="1" ht="11.25">
      <c r="A226" s="17">
        <v>215</v>
      </c>
      <c r="B226" s="23">
        <f t="shared" si="7"/>
        <v>585</v>
      </c>
      <c r="C226" s="27">
        <v>585020</v>
      </c>
      <c r="D226" s="30" t="s">
        <v>119</v>
      </c>
      <c r="F226" s="21"/>
      <c r="G226" s="31"/>
      <c r="H226" s="31">
        <v>0</v>
      </c>
      <c r="I226" s="31"/>
      <c r="J226" s="31">
        <v>0</v>
      </c>
      <c r="K226" s="28"/>
      <c r="L226" s="28"/>
      <c r="M226" s="43">
        <f>SUM(F226:K226)</f>
        <v>0</v>
      </c>
      <c r="N226" s="43"/>
      <c r="O226" s="31"/>
      <c r="P226" s="31"/>
      <c r="Q226" s="25">
        <v>585</v>
      </c>
    </row>
    <row r="227" spans="1:18" s="25" customFormat="1" ht="33.75">
      <c r="A227" s="17">
        <v>216</v>
      </c>
      <c r="B227" s="23">
        <f t="shared" si="7"/>
        <v>585</v>
      </c>
      <c r="C227" s="24"/>
      <c r="D227" s="30"/>
      <c r="E227" s="25" t="s">
        <v>217</v>
      </c>
      <c r="F227" s="31">
        <f>SUM(F225:F226)</f>
        <v>1606</v>
      </c>
      <c r="G227" s="31">
        <f>SUM(G225:G226)</f>
        <v>0</v>
      </c>
      <c r="H227" s="31">
        <f>SUM(H225:H226)</f>
        <v>0</v>
      </c>
      <c r="I227" s="31">
        <v>0</v>
      </c>
      <c r="J227" s="31">
        <v>0</v>
      </c>
      <c r="K227" s="28"/>
      <c r="L227" s="36" t="s">
        <v>283</v>
      </c>
      <c r="M227" s="31">
        <f>SUM(M225:M226)</f>
        <v>0</v>
      </c>
      <c r="N227" s="36" t="s">
        <v>187</v>
      </c>
      <c r="O227" s="37">
        <f>SUM(N225:N226)</f>
        <v>0</v>
      </c>
      <c r="P227" s="31"/>
      <c r="Q227" s="25">
        <v>585</v>
      </c>
      <c r="R227" s="25">
        <v>0</v>
      </c>
    </row>
    <row r="228" spans="1:17" s="25" customFormat="1" ht="11.25">
      <c r="A228" s="17">
        <v>217</v>
      </c>
      <c r="B228" s="23">
        <f t="shared" si="7"/>
        <v>585</v>
      </c>
      <c r="C228" s="24"/>
      <c r="D228" s="30"/>
      <c r="F228" s="21"/>
      <c r="G228" s="31"/>
      <c r="H228" s="31"/>
      <c r="I228" s="31"/>
      <c r="J228" s="31"/>
      <c r="K228" s="28"/>
      <c r="L228" s="28"/>
      <c r="M228" s="31"/>
      <c r="N228" s="36"/>
      <c r="O228" s="37"/>
      <c r="P228" s="31"/>
      <c r="Q228" s="25">
        <v>585</v>
      </c>
    </row>
    <row r="229" spans="1:17" s="25" customFormat="1" ht="11.25">
      <c r="A229" s="17">
        <v>218</v>
      </c>
      <c r="B229" s="23">
        <f t="shared" si="7"/>
        <v>586</v>
      </c>
      <c r="C229" s="24" t="s">
        <v>55</v>
      </c>
      <c r="D229" s="30"/>
      <c r="F229" s="21"/>
      <c r="G229" s="31"/>
      <c r="H229" s="31"/>
      <c r="I229" s="31"/>
      <c r="J229" s="31"/>
      <c r="K229" s="28"/>
      <c r="L229" s="28"/>
      <c r="M229" s="15"/>
      <c r="N229" s="31"/>
      <c r="O229" s="31"/>
      <c r="P229" s="31"/>
      <c r="Q229" s="25">
        <v>586</v>
      </c>
    </row>
    <row r="230" spans="1:17" s="25" customFormat="1" ht="11.25">
      <c r="A230" s="17">
        <v>219</v>
      </c>
      <c r="B230" s="23">
        <f t="shared" si="7"/>
        <v>586</v>
      </c>
      <c r="C230" s="27">
        <v>586000</v>
      </c>
      <c r="D230" s="30" t="s">
        <v>56</v>
      </c>
      <c r="F230" s="21">
        <v>0</v>
      </c>
      <c r="G230" s="31">
        <v>0</v>
      </c>
      <c r="H230" s="31">
        <v>0</v>
      </c>
      <c r="I230" s="31"/>
      <c r="J230" s="31">
        <v>0</v>
      </c>
      <c r="K230" s="28"/>
      <c r="L230" s="28"/>
      <c r="M230" s="43"/>
      <c r="N230" s="43">
        <f>M230-J230</f>
        <v>0</v>
      </c>
      <c r="O230" s="31"/>
      <c r="P230" s="31"/>
      <c r="Q230" s="25">
        <v>586</v>
      </c>
    </row>
    <row r="231" spans="1:18" s="25" customFormat="1" ht="33.75">
      <c r="A231" s="17">
        <v>220</v>
      </c>
      <c r="B231" s="23">
        <f t="shared" si="7"/>
        <v>586</v>
      </c>
      <c r="C231" s="24"/>
      <c r="D231" s="30"/>
      <c r="E231" s="25" t="s">
        <v>217</v>
      </c>
      <c r="F231" s="31">
        <f>SUM(F230)</f>
        <v>0</v>
      </c>
      <c r="G231" s="31">
        <f>SUM(G230)</f>
        <v>0</v>
      </c>
      <c r="H231" s="31">
        <f>SUM(H230)</f>
        <v>0</v>
      </c>
      <c r="I231" s="31">
        <v>3423</v>
      </c>
      <c r="J231" s="31">
        <v>0</v>
      </c>
      <c r="K231" s="28"/>
      <c r="L231" s="36" t="s">
        <v>284</v>
      </c>
      <c r="M231" s="31">
        <f>SUM(M230)</f>
        <v>0</v>
      </c>
      <c r="N231" s="36" t="s">
        <v>215</v>
      </c>
      <c r="O231" s="37">
        <f>SUM(N230:N230)</f>
        <v>0</v>
      </c>
      <c r="P231" s="31"/>
      <c r="Q231" s="25">
        <v>586</v>
      </c>
      <c r="R231" s="25">
        <v>3423</v>
      </c>
    </row>
    <row r="232" spans="1:17" s="25" customFormat="1" ht="11.25">
      <c r="A232" s="17">
        <v>221</v>
      </c>
      <c r="B232" s="23">
        <f t="shared" si="7"/>
        <v>586</v>
      </c>
      <c r="C232" s="24"/>
      <c r="D232" s="30"/>
      <c r="F232" s="21"/>
      <c r="G232" s="31"/>
      <c r="H232" s="31"/>
      <c r="I232" s="31"/>
      <c r="J232" s="31"/>
      <c r="K232" s="28"/>
      <c r="L232" s="28"/>
      <c r="M232" s="31"/>
      <c r="N232" s="36"/>
      <c r="O232" s="37"/>
      <c r="P232" s="31"/>
      <c r="Q232" s="25">
        <v>586</v>
      </c>
    </row>
    <row r="233" spans="1:17" s="25" customFormat="1" ht="11.25">
      <c r="A233" s="17">
        <v>222</v>
      </c>
      <c r="B233" s="23">
        <f t="shared" si="7"/>
        <v>587</v>
      </c>
      <c r="C233" s="24" t="s">
        <v>120</v>
      </c>
      <c r="D233" s="30"/>
      <c r="F233" s="21"/>
      <c r="G233" s="31"/>
      <c r="H233" s="31"/>
      <c r="I233" s="31"/>
      <c r="J233" s="31"/>
      <c r="K233" s="28"/>
      <c r="L233" s="28"/>
      <c r="M233" s="31"/>
      <c r="N233" s="31"/>
      <c r="O233" s="31"/>
      <c r="P233" s="31"/>
      <c r="Q233" s="25">
        <v>587</v>
      </c>
    </row>
    <row r="234" spans="1:17" s="25" customFormat="1" ht="11.25">
      <c r="A234" s="17">
        <v>223</v>
      </c>
      <c r="B234" s="23">
        <f t="shared" si="7"/>
        <v>587</v>
      </c>
      <c r="C234" s="27">
        <v>587000</v>
      </c>
      <c r="D234" s="30" t="s">
        <v>121</v>
      </c>
      <c r="F234" s="21"/>
      <c r="G234" s="31"/>
      <c r="H234" s="31">
        <v>0</v>
      </c>
      <c r="I234" s="31"/>
      <c r="J234" s="31">
        <v>0</v>
      </c>
      <c r="K234" s="28"/>
      <c r="L234" s="28"/>
      <c r="M234" s="31">
        <v>0</v>
      </c>
      <c r="N234" s="31"/>
      <c r="O234" s="31"/>
      <c r="P234" s="31"/>
      <c r="Q234" s="25">
        <v>587</v>
      </c>
    </row>
    <row r="235" spans="1:18" s="25" customFormat="1" ht="33.75">
      <c r="A235" s="17">
        <v>224</v>
      </c>
      <c r="B235" s="23">
        <f t="shared" si="7"/>
        <v>587</v>
      </c>
      <c r="C235" s="24"/>
      <c r="D235" s="30"/>
      <c r="E235" s="25" t="s">
        <v>217</v>
      </c>
      <c r="F235" s="31">
        <f>SUM(F234)</f>
        <v>0</v>
      </c>
      <c r="G235" s="31">
        <f>SUM(G234)</f>
        <v>0</v>
      </c>
      <c r="H235" s="31">
        <f>SUM(H234)</f>
        <v>0</v>
      </c>
      <c r="I235" s="31">
        <v>0</v>
      </c>
      <c r="J235" s="31">
        <v>0</v>
      </c>
      <c r="K235" s="28"/>
      <c r="L235" s="36" t="s">
        <v>285</v>
      </c>
      <c r="M235" s="31">
        <f>SUM(M234)</f>
        <v>0</v>
      </c>
      <c r="N235" s="36" t="s">
        <v>188</v>
      </c>
      <c r="O235" s="37">
        <f>SUM(N234:N234)</f>
        <v>0</v>
      </c>
      <c r="P235" s="31"/>
      <c r="Q235" s="25">
        <v>587</v>
      </c>
      <c r="R235" s="25">
        <v>0</v>
      </c>
    </row>
    <row r="236" spans="1:17" s="25" customFormat="1" ht="11.25">
      <c r="A236" s="17">
        <v>225</v>
      </c>
      <c r="B236" s="23">
        <f t="shared" si="7"/>
        <v>587</v>
      </c>
      <c r="C236" s="24"/>
      <c r="D236" s="30"/>
      <c r="F236" s="21"/>
      <c r="G236" s="31"/>
      <c r="H236" s="31"/>
      <c r="I236" s="31"/>
      <c r="J236" s="31"/>
      <c r="K236" s="28"/>
      <c r="L236" s="28"/>
      <c r="M236" s="31"/>
      <c r="N236" s="36"/>
      <c r="O236" s="37"/>
      <c r="P236" s="31"/>
      <c r="Q236" s="25">
        <v>587</v>
      </c>
    </row>
    <row r="237" spans="1:17" s="25" customFormat="1" ht="11.25">
      <c r="A237" s="17">
        <v>226</v>
      </c>
      <c r="B237" s="23">
        <f t="shared" si="7"/>
        <v>588</v>
      </c>
      <c r="C237" s="24" t="s">
        <v>57</v>
      </c>
      <c r="D237" s="30"/>
      <c r="F237" s="21"/>
      <c r="G237" s="31"/>
      <c r="H237" s="31"/>
      <c r="I237" s="31"/>
      <c r="J237" s="31"/>
      <c r="K237" s="28"/>
      <c r="L237" s="28"/>
      <c r="M237" s="31"/>
      <c r="N237" s="31"/>
      <c r="O237" s="31"/>
      <c r="P237" s="31"/>
      <c r="Q237" s="25">
        <v>588</v>
      </c>
    </row>
    <row r="238" spans="1:17" s="25" customFormat="1" ht="11.25">
      <c r="A238" s="17">
        <v>227</v>
      </c>
      <c r="B238" s="23">
        <f t="shared" si="7"/>
        <v>588</v>
      </c>
      <c r="C238" s="27">
        <v>588000</v>
      </c>
      <c r="D238" s="30" t="s">
        <v>58</v>
      </c>
      <c r="F238" s="21">
        <v>111</v>
      </c>
      <c r="G238" s="31">
        <v>87</v>
      </c>
      <c r="H238" s="31">
        <v>187</v>
      </c>
      <c r="I238" s="31"/>
      <c r="J238" s="31">
        <v>21924</v>
      </c>
      <c r="K238" s="28"/>
      <c r="L238" s="28"/>
      <c r="M238" s="44">
        <v>0</v>
      </c>
      <c r="N238" s="44">
        <f>M238-J238</f>
        <v>-21924</v>
      </c>
      <c r="O238" s="31"/>
      <c r="P238" s="31"/>
      <c r="Q238" s="25">
        <v>588</v>
      </c>
    </row>
    <row r="239" spans="1:18" s="25" customFormat="1" ht="33.75">
      <c r="A239" s="17">
        <v>228</v>
      </c>
      <c r="B239" s="23">
        <f t="shared" si="7"/>
        <v>588</v>
      </c>
      <c r="C239" s="24"/>
      <c r="D239" s="30"/>
      <c r="E239" s="25" t="s">
        <v>217</v>
      </c>
      <c r="F239" s="31">
        <f>SUM(F238)</f>
        <v>111</v>
      </c>
      <c r="G239" s="31">
        <f>SUM(G238)</f>
        <v>87</v>
      </c>
      <c r="H239" s="31">
        <f>SUM(H238)</f>
        <v>187</v>
      </c>
      <c r="I239" s="31">
        <v>0</v>
      </c>
      <c r="J239" s="31">
        <f>SUM(J238)</f>
        <v>21924</v>
      </c>
      <c r="K239" s="28"/>
      <c r="L239" s="36" t="s">
        <v>286</v>
      </c>
      <c r="M239" s="31">
        <f>SUM(M238)</f>
        <v>0</v>
      </c>
      <c r="N239" s="36" t="s">
        <v>189</v>
      </c>
      <c r="O239" s="37">
        <f>SUM(N238:N238)</f>
        <v>-21924</v>
      </c>
      <c r="P239" s="31"/>
      <c r="Q239" s="25">
        <v>588</v>
      </c>
      <c r="R239" s="25">
        <v>0</v>
      </c>
    </row>
    <row r="240" spans="1:17" s="25" customFormat="1" ht="11.25">
      <c r="A240" s="17">
        <v>229</v>
      </c>
      <c r="B240" s="23">
        <f t="shared" si="7"/>
        <v>588</v>
      </c>
      <c r="C240" s="24"/>
      <c r="D240" s="30"/>
      <c r="F240" s="21"/>
      <c r="G240" s="31"/>
      <c r="H240" s="31"/>
      <c r="I240" s="31"/>
      <c r="J240" s="31"/>
      <c r="K240" s="28"/>
      <c r="L240" s="28"/>
      <c r="M240" s="31"/>
      <c r="N240" s="36"/>
      <c r="O240" s="37"/>
      <c r="P240" s="31"/>
      <c r="Q240" s="25">
        <v>588</v>
      </c>
    </row>
    <row r="241" spans="1:17" s="25" customFormat="1" ht="11.25">
      <c r="A241" s="17">
        <v>230</v>
      </c>
      <c r="B241" s="23">
        <f t="shared" si="7"/>
        <v>589</v>
      </c>
      <c r="C241" s="24" t="s">
        <v>191</v>
      </c>
      <c r="D241" s="30"/>
      <c r="F241" s="21"/>
      <c r="G241" s="31"/>
      <c r="H241" s="31"/>
      <c r="I241" s="31"/>
      <c r="J241" s="31"/>
      <c r="K241" s="28"/>
      <c r="L241" s="28"/>
      <c r="M241" s="31"/>
      <c r="N241" s="31"/>
      <c r="O241" s="31"/>
      <c r="P241" s="31"/>
      <c r="Q241" s="25">
        <v>589</v>
      </c>
    </row>
    <row r="242" spans="1:17" s="25" customFormat="1" ht="11.25">
      <c r="A242" s="17">
        <v>231</v>
      </c>
      <c r="B242" s="23">
        <f t="shared" si="7"/>
        <v>589</v>
      </c>
      <c r="C242" s="27">
        <v>589000</v>
      </c>
      <c r="D242" s="30" t="s">
        <v>122</v>
      </c>
      <c r="F242" s="21"/>
      <c r="G242" s="31"/>
      <c r="H242" s="31">
        <v>0</v>
      </c>
      <c r="I242" s="31"/>
      <c r="J242" s="31">
        <v>0</v>
      </c>
      <c r="K242" s="28"/>
      <c r="L242" s="28"/>
      <c r="M242" s="31">
        <v>0</v>
      </c>
      <c r="N242" s="31"/>
      <c r="O242" s="31"/>
      <c r="P242" s="31"/>
      <c r="Q242" s="25">
        <v>589</v>
      </c>
    </row>
    <row r="243" spans="1:18" s="25" customFormat="1" ht="33.75">
      <c r="A243" s="17">
        <v>232</v>
      </c>
      <c r="B243" s="23">
        <f t="shared" si="7"/>
        <v>589</v>
      </c>
      <c r="C243" s="24"/>
      <c r="D243" s="30"/>
      <c r="E243" s="25" t="s">
        <v>217</v>
      </c>
      <c r="F243" s="31">
        <f>SUM(F242)</f>
        <v>0</v>
      </c>
      <c r="G243" s="31">
        <f>SUM(G242)</f>
        <v>0</v>
      </c>
      <c r="H243" s="31">
        <f>SUM(H242)</f>
        <v>0</v>
      </c>
      <c r="I243" s="31">
        <v>0</v>
      </c>
      <c r="J243" s="31">
        <v>0</v>
      </c>
      <c r="K243" s="28"/>
      <c r="L243" s="36" t="s">
        <v>287</v>
      </c>
      <c r="M243" s="31">
        <f>SUM(M242)</f>
        <v>0</v>
      </c>
      <c r="N243" s="36" t="s">
        <v>190</v>
      </c>
      <c r="O243" s="37">
        <f>SUM(N242:N242)</f>
        <v>0</v>
      </c>
      <c r="P243" s="31"/>
      <c r="Q243" s="25">
        <v>589</v>
      </c>
      <c r="R243" s="25">
        <v>0</v>
      </c>
    </row>
    <row r="244" spans="1:17" s="25" customFormat="1" ht="11.25">
      <c r="A244" s="17">
        <v>233</v>
      </c>
      <c r="B244" s="23">
        <f t="shared" si="7"/>
        <v>589</v>
      </c>
      <c r="C244" s="24"/>
      <c r="D244" s="30"/>
      <c r="F244" s="21"/>
      <c r="G244" s="31"/>
      <c r="H244" s="31"/>
      <c r="I244" s="31"/>
      <c r="J244" s="31"/>
      <c r="K244" s="28"/>
      <c r="L244" s="28"/>
      <c r="M244" s="31"/>
      <c r="N244" s="36"/>
      <c r="O244" s="37"/>
      <c r="P244" s="31"/>
      <c r="Q244" s="25">
        <v>589</v>
      </c>
    </row>
    <row r="245" spans="1:17" s="25" customFormat="1" ht="11.25">
      <c r="A245" s="17">
        <v>234</v>
      </c>
      <c r="B245" s="23">
        <f t="shared" si="7"/>
        <v>590</v>
      </c>
      <c r="C245" s="24" t="s">
        <v>66</v>
      </c>
      <c r="D245" s="30"/>
      <c r="F245" s="21"/>
      <c r="G245" s="31"/>
      <c r="H245" s="31"/>
      <c r="I245" s="31"/>
      <c r="J245" s="31"/>
      <c r="K245" s="28"/>
      <c r="L245" s="28"/>
      <c r="M245" s="31"/>
      <c r="N245" s="31"/>
      <c r="O245" s="31"/>
      <c r="P245" s="31"/>
      <c r="Q245" s="25">
        <v>590</v>
      </c>
    </row>
    <row r="246" spans="1:17" s="25" customFormat="1" ht="11.25">
      <c r="A246" s="17">
        <v>235</v>
      </c>
      <c r="B246" s="23">
        <f t="shared" si="7"/>
        <v>590</v>
      </c>
      <c r="C246" s="29">
        <v>590000</v>
      </c>
      <c r="D246" s="30" t="s">
        <v>38</v>
      </c>
      <c r="F246" s="21">
        <v>76600</v>
      </c>
      <c r="G246" s="31">
        <v>76858</v>
      </c>
      <c r="H246" s="31">
        <v>79025</v>
      </c>
      <c r="I246" s="31"/>
      <c r="J246" s="31">
        <v>102387</v>
      </c>
      <c r="K246" s="28"/>
      <c r="L246" s="28"/>
      <c r="M246" s="31">
        <f>159791*1.035</f>
        <v>165384</v>
      </c>
      <c r="N246" s="31">
        <f>M246-J246</f>
        <v>62997</v>
      </c>
      <c r="O246" s="31"/>
      <c r="P246" s="106" t="s">
        <v>330</v>
      </c>
      <c r="Q246" s="25">
        <v>590</v>
      </c>
    </row>
    <row r="247" spans="1:18" s="25" customFormat="1" ht="33.75">
      <c r="A247" s="17">
        <v>236</v>
      </c>
      <c r="B247" s="23">
        <f t="shared" si="7"/>
        <v>590</v>
      </c>
      <c r="C247" s="24"/>
      <c r="D247" s="30"/>
      <c r="E247" s="25" t="s">
        <v>217</v>
      </c>
      <c r="F247" s="31">
        <f>SUM(F246)</f>
        <v>76600</v>
      </c>
      <c r="G247" s="31">
        <f>SUM(G246)</f>
        <v>76858</v>
      </c>
      <c r="H247" s="31">
        <f>SUM(H246)</f>
        <v>79025</v>
      </c>
      <c r="I247" s="31">
        <v>287374</v>
      </c>
      <c r="J247" s="31">
        <f>SUM(J246)</f>
        <v>102387</v>
      </c>
      <c r="K247" s="28"/>
      <c r="L247" s="36" t="s">
        <v>288</v>
      </c>
      <c r="M247" s="31">
        <f>SUM(M246)</f>
        <v>165384</v>
      </c>
      <c r="N247" s="36" t="s">
        <v>192</v>
      </c>
      <c r="O247" s="37">
        <f>SUM(N246:N246)</f>
        <v>62997</v>
      </c>
      <c r="P247" s="106"/>
      <c r="Q247" s="25">
        <v>590</v>
      </c>
      <c r="R247" s="25">
        <v>287374</v>
      </c>
    </row>
    <row r="248" spans="1:17" s="25" customFormat="1" ht="11.25">
      <c r="A248" s="17">
        <v>237</v>
      </c>
      <c r="B248" s="23">
        <f t="shared" si="7"/>
        <v>590</v>
      </c>
      <c r="C248" s="24"/>
      <c r="D248" s="30"/>
      <c r="F248" s="21"/>
      <c r="G248" s="31"/>
      <c r="H248" s="31"/>
      <c r="I248" s="31"/>
      <c r="J248" s="31"/>
      <c r="K248" s="28"/>
      <c r="L248" s="28"/>
      <c r="M248" s="31"/>
      <c r="N248" s="36"/>
      <c r="O248" s="37"/>
      <c r="P248" s="31"/>
      <c r="Q248" s="25">
        <v>590</v>
      </c>
    </row>
    <row r="249" spans="1:17" s="25" customFormat="1" ht="11.25">
      <c r="A249" s="17">
        <v>238</v>
      </c>
      <c r="B249" s="23">
        <f t="shared" si="7"/>
        <v>591</v>
      </c>
      <c r="C249" s="24" t="s">
        <v>70</v>
      </c>
      <c r="D249" s="30"/>
      <c r="F249" s="21"/>
      <c r="G249" s="31"/>
      <c r="H249" s="31"/>
      <c r="I249" s="31"/>
      <c r="J249" s="31"/>
      <c r="K249" s="28"/>
      <c r="L249" s="28"/>
      <c r="M249" s="31"/>
      <c r="N249" s="31"/>
      <c r="O249" s="31"/>
      <c r="P249" s="31"/>
      <c r="Q249" s="25">
        <v>591</v>
      </c>
    </row>
    <row r="250" spans="1:17" s="25" customFormat="1" ht="11.25">
      <c r="A250" s="17">
        <v>239</v>
      </c>
      <c r="B250" s="23">
        <f t="shared" si="7"/>
        <v>591</v>
      </c>
      <c r="C250" s="29">
        <v>591510</v>
      </c>
      <c r="D250" s="30" t="s">
        <v>71</v>
      </c>
      <c r="F250" s="21">
        <v>30878</v>
      </c>
      <c r="G250" s="31">
        <v>60454</v>
      </c>
      <c r="H250" s="31">
        <v>42086</v>
      </c>
      <c r="I250" s="31"/>
      <c r="J250" s="31">
        <v>55758</v>
      </c>
      <c r="K250" s="28"/>
      <c r="L250" s="28"/>
      <c r="M250" s="38">
        <f>1.06*J250</f>
        <v>59103</v>
      </c>
      <c r="N250" s="38">
        <f>M250-J250</f>
        <v>3345</v>
      </c>
      <c r="O250" s="31"/>
      <c r="P250" s="31"/>
      <c r="Q250" s="25">
        <v>591</v>
      </c>
    </row>
    <row r="251" spans="1:17" s="25" customFormat="1" ht="11.25">
      <c r="A251" s="17">
        <v>240</v>
      </c>
      <c r="B251" s="23">
        <f t="shared" si="7"/>
        <v>591</v>
      </c>
      <c r="C251" s="27">
        <v>591520</v>
      </c>
      <c r="D251" s="30" t="s">
        <v>72</v>
      </c>
      <c r="F251" s="21">
        <v>16393</v>
      </c>
      <c r="G251" s="31">
        <v>34173</v>
      </c>
      <c r="H251" s="31">
        <v>23604</v>
      </c>
      <c r="I251" s="31"/>
      <c r="J251" s="31">
        <v>3978</v>
      </c>
      <c r="K251" s="28" t="s">
        <v>103</v>
      </c>
      <c r="L251" s="28"/>
      <c r="M251" s="38">
        <f>J251*1.06</f>
        <v>4217</v>
      </c>
      <c r="N251" s="38">
        <f>M251-J251</f>
        <v>239</v>
      </c>
      <c r="O251" s="31"/>
      <c r="P251" s="106" t="s">
        <v>330</v>
      </c>
      <c r="Q251" s="25">
        <v>591</v>
      </c>
    </row>
    <row r="252" spans="1:17" s="25" customFormat="1" ht="11.25">
      <c r="A252" s="17">
        <v>241</v>
      </c>
      <c r="B252" s="23">
        <f t="shared" si="7"/>
        <v>591</v>
      </c>
      <c r="C252" s="29">
        <v>591530</v>
      </c>
      <c r="D252" s="30" t="s">
        <v>46</v>
      </c>
      <c r="F252" s="21">
        <v>40455</v>
      </c>
      <c r="G252" s="31">
        <v>76504</v>
      </c>
      <c r="H252" s="31">
        <v>120808</v>
      </c>
      <c r="I252" s="31"/>
      <c r="J252" s="31">
        <v>74861</v>
      </c>
      <c r="K252" s="28" t="s">
        <v>103</v>
      </c>
      <c r="L252" s="28"/>
      <c r="M252" s="38">
        <f>J252*1.06</f>
        <v>79353</v>
      </c>
      <c r="N252" s="38">
        <f>M252-J252</f>
        <v>4492</v>
      </c>
      <c r="O252" s="31"/>
      <c r="P252" s="106" t="s">
        <v>330</v>
      </c>
      <c r="Q252" s="25">
        <v>591</v>
      </c>
    </row>
    <row r="253" spans="1:18" s="25" customFormat="1" ht="33.75">
      <c r="A253" s="17">
        <v>242</v>
      </c>
      <c r="B253" s="23">
        <f t="shared" si="7"/>
        <v>591</v>
      </c>
      <c r="C253" s="24"/>
      <c r="D253" s="30"/>
      <c r="E253" s="25" t="s">
        <v>217</v>
      </c>
      <c r="F253" s="31">
        <f>SUM(F250:F252)</f>
        <v>87726</v>
      </c>
      <c r="G253" s="31">
        <f>SUM(G250:G252)</f>
        <v>171131</v>
      </c>
      <c r="H253" s="31">
        <f>SUM(H250:H252)</f>
        <v>186498</v>
      </c>
      <c r="I253" s="31">
        <v>57874</v>
      </c>
      <c r="J253" s="31">
        <f>SUM(J250:J252)</f>
        <v>134597</v>
      </c>
      <c r="K253" s="28"/>
      <c r="L253" s="36" t="s">
        <v>289</v>
      </c>
      <c r="M253" s="31">
        <f>SUM(M250:M252)</f>
        <v>142673</v>
      </c>
      <c r="N253" s="36" t="s">
        <v>193</v>
      </c>
      <c r="O253" s="37">
        <f>SUM(N250:N252)</f>
        <v>8076</v>
      </c>
      <c r="P253" s="31"/>
      <c r="Q253" s="25">
        <v>591</v>
      </c>
      <c r="R253" s="25">
        <v>57874</v>
      </c>
    </row>
    <row r="254" spans="1:17" s="25" customFormat="1" ht="11.25">
      <c r="A254" s="17">
        <v>243</v>
      </c>
      <c r="B254" s="23">
        <f t="shared" si="7"/>
        <v>591</v>
      </c>
      <c r="C254" s="24"/>
      <c r="D254" s="30"/>
      <c r="F254" s="21"/>
      <c r="G254" s="31"/>
      <c r="H254" s="31"/>
      <c r="I254" s="31"/>
      <c r="J254" s="31"/>
      <c r="K254" s="28"/>
      <c r="L254" s="28"/>
      <c r="M254" s="31"/>
      <c r="N254" s="36"/>
      <c r="O254" s="37"/>
      <c r="P254" s="31"/>
      <c r="Q254" s="25">
        <v>591</v>
      </c>
    </row>
    <row r="255" spans="1:17" s="39" customFormat="1" ht="11.25">
      <c r="A255" s="17">
        <v>244</v>
      </c>
      <c r="B255" s="23">
        <f t="shared" si="7"/>
        <v>592</v>
      </c>
      <c r="C255" s="45" t="s">
        <v>67</v>
      </c>
      <c r="D255" s="30"/>
      <c r="F255" s="31"/>
      <c r="G255" s="31"/>
      <c r="H255" s="31"/>
      <c r="I255" s="31"/>
      <c r="J255" s="31"/>
      <c r="K255" s="28"/>
      <c r="L255" s="28"/>
      <c r="M255" s="31"/>
      <c r="N255" s="31"/>
      <c r="O255" s="31"/>
      <c r="P255" s="31"/>
      <c r="Q255" s="39">
        <v>592</v>
      </c>
    </row>
    <row r="256" spans="1:17" s="25" customFormat="1" ht="11.25">
      <c r="A256" s="17">
        <v>245</v>
      </c>
      <c r="B256" s="23">
        <f t="shared" si="7"/>
        <v>592</v>
      </c>
      <c r="C256" s="29">
        <v>592500</v>
      </c>
      <c r="D256" s="30" t="s">
        <v>73</v>
      </c>
      <c r="F256" s="31">
        <v>80774</v>
      </c>
      <c r="G256" s="31">
        <v>102919</v>
      </c>
      <c r="H256" s="31">
        <v>144669</v>
      </c>
      <c r="I256" s="31"/>
      <c r="J256" s="31">
        <v>112110</v>
      </c>
      <c r="K256" s="28"/>
      <c r="L256" s="28"/>
      <c r="M256" s="38">
        <v>200790</v>
      </c>
      <c r="N256" s="38">
        <f aca="true" t="shared" si="8" ref="N256:N263">M256-J256</f>
        <v>88680</v>
      </c>
      <c r="O256" s="31"/>
      <c r="P256" s="31"/>
      <c r="Q256" s="25">
        <v>592</v>
      </c>
    </row>
    <row r="257" spans="1:17" s="39" customFormat="1" ht="11.25">
      <c r="A257" s="17">
        <v>246</v>
      </c>
      <c r="B257" s="23">
        <f t="shared" si="7"/>
        <v>592</v>
      </c>
      <c r="C257" s="29">
        <v>592510</v>
      </c>
      <c r="D257" s="30" t="s">
        <v>74</v>
      </c>
      <c r="F257" s="31">
        <v>3213</v>
      </c>
      <c r="G257" s="31">
        <v>10902</v>
      </c>
      <c r="H257" s="31">
        <v>1844</v>
      </c>
      <c r="I257" s="31"/>
      <c r="J257" s="31">
        <v>5829</v>
      </c>
      <c r="K257" s="28"/>
      <c r="L257" s="28"/>
      <c r="M257" s="38">
        <v>51970</v>
      </c>
      <c r="N257" s="38">
        <f t="shared" si="8"/>
        <v>46141</v>
      </c>
      <c r="O257" s="31"/>
      <c r="P257" s="31"/>
      <c r="Q257" s="39">
        <v>592</v>
      </c>
    </row>
    <row r="258" spans="1:17" s="39" customFormat="1" ht="11.25">
      <c r="A258" s="17">
        <v>247</v>
      </c>
      <c r="B258" s="23">
        <f t="shared" si="7"/>
        <v>592</v>
      </c>
      <c r="C258" s="29">
        <v>592520</v>
      </c>
      <c r="D258" s="30" t="s">
        <v>75</v>
      </c>
      <c r="F258" s="31">
        <v>24432</v>
      </c>
      <c r="G258" s="31">
        <v>12929</v>
      </c>
      <c r="H258" s="31">
        <v>25860</v>
      </c>
      <c r="I258" s="31"/>
      <c r="J258" s="31">
        <v>4896</v>
      </c>
      <c r="K258" s="28" t="s">
        <v>103</v>
      </c>
      <c r="L258" s="28"/>
      <c r="M258" s="38">
        <f>J258*1.06+6000</f>
        <v>11190</v>
      </c>
      <c r="N258" s="38">
        <f t="shared" si="8"/>
        <v>6294</v>
      </c>
      <c r="O258" s="31"/>
      <c r="P258" s="106" t="s">
        <v>330</v>
      </c>
      <c r="Q258" s="39">
        <v>592</v>
      </c>
    </row>
    <row r="259" spans="1:17" s="25" customFormat="1" ht="11.25">
      <c r="A259" s="17">
        <v>248</v>
      </c>
      <c r="B259" s="23">
        <f t="shared" si="7"/>
        <v>592</v>
      </c>
      <c r="C259" s="29">
        <v>592530</v>
      </c>
      <c r="D259" s="30" t="s">
        <v>76</v>
      </c>
      <c r="F259" s="31">
        <v>1308</v>
      </c>
      <c r="G259" s="31">
        <v>2508</v>
      </c>
      <c r="H259" s="31">
        <v>4684</v>
      </c>
      <c r="I259" s="31"/>
      <c r="J259" s="31">
        <v>693</v>
      </c>
      <c r="K259" s="28" t="s">
        <v>103</v>
      </c>
      <c r="L259" s="28"/>
      <c r="M259" s="38">
        <f>J259*1.06+6000</f>
        <v>6735</v>
      </c>
      <c r="N259" s="38">
        <f t="shared" si="8"/>
        <v>6042</v>
      </c>
      <c r="O259" s="31"/>
      <c r="P259" s="106" t="s">
        <v>330</v>
      </c>
      <c r="Q259" s="25">
        <v>592</v>
      </c>
    </row>
    <row r="260" spans="1:17" s="39" customFormat="1" ht="11.25">
      <c r="A260" s="17">
        <v>249</v>
      </c>
      <c r="B260" s="23">
        <f t="shared" si="7"/>
        <v>592</v>
      </c>
      <c r="C260" s="29">
        <v>592540</v>
      </c>
      <c r="D260" s="30" t="s">
        <v>105</v>
      </c>
      <c r="F260" s="31">
        <v>23603</v>
      </c>
      <c r="G260" s="31">
        <v>36194</v>
      </c>
      <c r="H260" s="31">
        <v>68461</v>
      </c>
      <c r="I260" s="31"/>
      <c r="J260" s="31">
        <v>26151</v>
      </c>
      <c r="K260" s="28"/>
      <c r="L260" s="28"/>
      <c r="M260" s="38">
        <f>J260*1.06</f>
        <v>27720</v>
      </c>
      <c r="N260" s="38">
        <f t="shared" si="8"/>
        <v>1569</v>
      </c>
      <c r="O260" s="31"/>
      <c r="P260" s="106" t="s">
        <v>330</v>
      </c>
      <c r="Q260" s="39">
        <v>592</v>
      </c>
    </row>
    <row r="261" spans="1:17" s="25" customFormat="1" ht="11.25">
      <c r="A261" s="17">
        <v>250</v>
      </c>
      <c r="B261" s="23">
        <f t="shared" si="7"/>
        <v>592</v>
      </c>
      <c r="C261" s="29">
        <v>592550</v>
      </c>
      <c r="D261" s="30" t="s">
        <v>77</v>
      </c>
      <c r="F261" s="31">
        <v>660</v>
      </c>
      <c r="G261" s="31">
        <v>1675</v>
      </c>
      <c r="H261" s="31">
        <v>90</v>
      </c>
      <c r="I261" s="31"/>
      <c r="J261" s="31">
        <v>0</v>
      </c>
      <c r="K261" s="28"/>
      <c r="L261" s="28"/>
      <c r="M261" s="38">
        <f>J261*1.06+6000</f>
        <v>6000</v>
      </c>
      <c r="N261" s="38">
        <f t="shared" si="8"/>
        <v>6000</v>
      </c>
      <c r="O261" s="31"/>
      <c r="P261" s="106" t="s">
        <v>330</v>
      </c>
      <c r="Q261" s="25">
        <v>592</v>
      </c>
    </row>
    <row r="262" spans="1:17" s="25" customFormat="1" ht="11.25">
      <c r="A262" s="17">
        <v>251</v>
      </c>
      <c r="B262" s="23">
        <f t="shared" si="7"/>
        <v>592</v>
      </c>
      <c r="C262" s="29">
        <v>592560</v>
      </c>
      <c r="D262" s="30" t="s">
        <v>78</v>
      </c>
      <c r="F262" s="31">
        <v>14761</v>
      </c>
      <c r="G262" s="31">
        <v>10172</v>
      </c>
      <c r="H262" s="31">
        <v>3664</v>
      </c>
      <c r="I262" s="31"/>
      <c r="J262" s="31">
        <v>3664</v>
      </c>
      <c r="K262" s="28"/>
      <c r="L262" s="28"/>
      <c r="M262" s="38">
        <f>J262*1.06+6000</f>
        <v>9884</v>
      </c>
      <c r="N262" s="38">
        <f t="shared" si="8"/>
        <v>6220</v>
      </c>
      <c r="O262" s="31"/>
      <c r="P262" s="106" t="s">
        <v>330</v>
      </c>
      <c r="Q262" s="25">
        <v>592</v>
      </c>
    </row>
    <row r="263" spans="1:17" s="25" customFormat="1" ht="11.25">
      <c r="A263" s="17">
        <v>252</v>
      </c>
      <c r="B263" s="23">
        <f t="shared" si="7"/>
        <v>592</v>
      </c>
      <c r="C263" s="29">
        <v>592570</v>
      </c>
      <c r="D263" s="30" t="s">
        <v>78</v>
      </c>
      <c r="F263" s="31">
        <v>61400</v>
      </c>
      <c r="G263" s="31">
        <v>77913</v>
      </c>
      <c r="H263" s="31">
        <v>115574</v>
      </c>
      <c r="I263" s="31"/>
      <c r="J263" s="31">
        <v>113831</v>
      </c>
      <c r="K263" s="28"/>
      <c r="L263" s="28"/>
      <c r="M263" s="38">
        <f>J263*1.06+6000</f>
        <v>126661</v>
      </c>
      <c r="N263" s="38">
        <f t="shared" si="8"/>
        <v>12830</v>
      </c>
      <c r="O263" s="31"/>
      <c r="P263" s="106" t="s">
        <v>330</v>
      </c>
      <c r="Q263" s="25">
        <v>592</v>
      </c>
    </row>
    <row r="264" spans="1:18" s="25" customFormat="1" ht="33.75">
      <c r="A264" s="17">
        <v>253</v>
      </c>
      <c r="B264" s="23">
        <f t="shared" si="7"/>
        <v>592</v>
      </c>
      <c r="C264" s="24"/>
      <c r="D264" s="30"/>
      <c r="E264" s="25" t="s">
        <v>217</v>
      </c>
      <c r="F264" s="31">
        <f>SUM(F256:F263)</f>
        <v>210151</v>
      </c>
      <c r="G264" s="31">
        <f>SUM(G256:G263)</f>
        <v>255212</v>
      </c>
      <c r="H264" s="31">
        <f>SUM(H256:H263)</f>
        <v>364846</v>
      </c>
      <c r="I264" s="31">
        <v>266718</v>
      </c>
      <c r="J264" s="31">
        <f>SUM(J256:J263)</f>
        <v>267174</v>
      </c>
      <c r="K264" s="28"/>
      <c r="L264" s="36" t="s">
        <v>290</v>
      </c>
      <c r="M264" s="31">
        <f>SUM(M256:M263)</f>
        <v>440950</v>
      </c>
      <c r="N264" s="36" t="s">
        <v>194</v>
      </c>
      <c r="O264" s="37">
        <f>SUM(N256:N263)</f>
        <v>173776</v>
      </c>
      <c r="P264" s="31"/>
      <c r="Q264" s="25">
        <v>592</v>
      </c>
      <c r="R264" s="25">
        <v>266718</v>
      </c>
    </row>
    <row r="265" spans="1:17" s="25" customFormat="1" ht="11.25">
      <c r="A265" s="17">
        <v>254</v>
      </c>
      <c r="B265" s="23">
        <f t="shared" si="7"/>
        <v>592</v>
      </c>
      <c r="C265" s="24"/>
      <c r="D265" s="30"/>
      <c r="F265" s="21"/>
      <c r="G265" s="31"/>
      <c r="H265" s="31"/>
      <c r="I265" s="31"/>
      <c r="J265" s="31"/>
      <c r="K265" s="28"/>
      <c r="L265" s="28"/>
      <c r="M265" s="31"/>
      <c r="N265" s="36"/>
      <c r="O265" s="37"/>
      <c r="P265" s="31"/>
      <c r="Q265" s="25">
        <v>592</v>
      </c>
    </row>
    <row r="266" spans="1:17" s="25" customFormat="1" ht="11.25">
      <c r="A266" s="17">
        <v>255</v>
      </c>
      <c r="B266" s="23">
        <f t="shared" si="7"/>
        <v>593</v>
      </c>
      <c r="C266" s="24" t="s">
        <v>343</v>
      </c>
      <c r="D266" s="30"/>
      <c r="F266" s="21"/>
      <c r="G266" s="31"/>
      <c r="H266" s="31"/>
      <c r="I266" s="31"/>
      <c r="J266" s="31"/>
      <c r="K266" s="28"/>
      <c r="L266" s="28"/>
      <c r="M266" s="31"/>
      <c r="N266" s="31"/>
      <c r="O266" s="31"/>
      <c r="P266" s="31"/>
      <c r="Q266" s="25">
        <v>593</v>
      </c>
    </row>
    <row r="267" spans="1:17" s="25" customFormat="1" ht="11.25">
      <c r="A267" s="17">
        <v>256</v>
      </c>
      <c r="B267" s="23">
        <f t="shared" si="7"/>
        <v>593</v>
      </c>
      <c r="C267" s="27">
        <v>593010</v>
      </c>
      <c r="D267" s="30" t="s">
        <v>124</v>
      </c>
      <c r="F267" s="21">
        <v>18360</v>
      </c>
      <c r="G267" s="31"/>
      <c r="H267" s="31"/>
      <c r="I267" s="31"/>
      <c r="J267" s="31">
        <v>-24</v>
      </c>
      <c r="K267" s="28"/>
      <c r="L267" s="28"/>
      <c r="M267" s="43">
        <v>0</v>
      </c>
      <c r="N267" s="43">
        <f>M267-J267</f>
        <v>24</v>
      </c>
      <c r="O267" s="31"/>
      <c r="P267" s="31"/>
      <c r="Q267" s="25">
        <v>593</v>
      </c>
    </row>
    <row r="268" spans="1:17" s="25" customFormat="1" ht="11.25">
      <c r="A268" s="17">
        <v>257</v>
      </c>
      <c r="B268" s="23">
        <f aca="true" t="shared" si="9" ref="B268:B309">IF(C268="",B267,VALUE(LEFT(C268,3)))</f>
        <v>593</v>
      </c>
      <c r="C268" s="27">
        <v>593020</v>
      </c>
      <c r="D268" s="30" t="s">
        <v>125</v>
      </c>
      <c r="F268" s="21"/>
      <c r="G268" s="31"/>
      <c r="H268" s="31"/>
      <c r="I268" s="31"/>
      <c r="J268" s="31">
        <v>0</v>
      </c>
      <c r="K268" s="28"/>
      <c r="L268" s="28"/>
      <c r="M268" s="43">
        <v>0</v>
      </c>
      <c r="N268" s="43">
        <f>M268-J268</f>
        <v>0</v>
      </c>
      <c r="O268" s="31"/>
      <c r="P268" s="31"/>
      <c r="Q268" s="25">
        <v>593</v>
      </c>
    </row>
    <row r="269" spans="1:17" s="25" customFormat="1" ht="11.25">
      <c r="A269" s="17">
        <v>258</v>
      </c>
      <c r="B269" s="23">
        <f t="shared" si="9"/>
        <v>593</v>
      </c>
      <c r="C269" s="27">
        <v>593500</v>
      </c>
      <c r="D269" s="30" t="s">
        <v>126</v>
      </c>
      <c r="F269" s="21">
        <v>399</v>
      </c>
      <c r="G269" s="31"/>
      <c r="H269" s="31"/>
      <c r="I269" s="31"/>
      <c r="J269" s="31"/>
      <c r="K269" s="28"/>
      <c r="L269" s="28"/>
      <c r="M269" s="43">
        <v>0</v>
      </c>
      <c r="N269" s="43">
        <f>M269-J269</f>
        <v>0</v>
      </c>
      <c r="O269" s="31"/>
      <c r="P269" s="31"/>
      <c r="Q269" s="25">
        <v>593</v>
      </c>
    </row>
    <row r="270" spans="1:17" s="25" customFormat="1" ht="11.25">
      <c r="A270" s="17">
        <v>259</v>
      </c>
      <c r="B270" s="23">
        <f t="shared" si="9"/>
        <v>593</v>
      </c>
      <c r="C270" s="27">
        <v>593510</v>
      </c>
      <c r="D270" s="30" t="s">
        <v>128</v>
      </c>
      <c r="F270" s="21">
        <v>1397</v>
      </c>
      <c r="G270" s="31"/>
      <c r="H270" s="31"/>
      <c r="I270" s="31"/>
      <c r="J270" s="31"/>
      <c r="K270" s="28"/>
      <c r="L270" s="28"/>
      <c r="M270" s="43">
        <v>0</v>
      </c>
      <c r="N270" s="43">
        <f>M270-J270</f>
        <v>0</v>
      </c>
      <c r="O270" s="31"/>
      <c r="P270" s="31"/>
      <c r="Q270" s="25">
        <v>593</v>
      </c>
    </row>
    <row r="271" spans="1:17" s="25" customFormat="1" ht="11.25">
      <c r="A271" s="17">
        <v>260</v>
      </c>
      <c r="B271" s="23">
        <f t="shared" si="9"/>
        <v>593</v>
      </c>
      <c r="C271" s="27">
        <v>593520</v>
      </c>
      <c r="D271" s="30" t="s">
        <v>127</v>
      </c>
      <c r="F271" s="21"/>
      <c r="G271" s="31"/>
      <c r="H271" s="31">
        <v>1756</v>
      </c>
      <c r="I271" s="31"/>
      <c r="J271" s="31"/>
      <c r="K271" s="28"/>
      <c r="L271" s="28"/>
      <c r="M271" s="43">
        <v>0</v>
      </c>
      <c r="N271" s="43">
        <f>M271-J271</f>
        <v>0</v>
      </c>
      <c r="O271" s="31"/>
      <c r="P271" s="31"/>
      <c r="Q271" s="25">
        <v>593</v>
      </c>
    </row>
    <row r="272" spans="1:18" s="25" customFormat="1" ht="33.75">
      <c r="A272" s="17">
        <v>261</v>
      </c>
      <c r="B272" s="23">
        <f t="shared" si="9"/>
        <v>593</v>
      </c>
      <c r="C272" s="27"/>
      <c r="D272" s="30"/>
      <c r="E272" s="25" t="s">
        <v>217</v>
      </c>
      <c r="F272" s="31">
        <f>SUM(F267:F271)</f>
        <v>20156</v>
      </c>
      <c r="G272" s="31">
        <f>SUM(G267:G271)</f>
        <v>0</v>
      </c>
      <c r="H272" s="31">
        <f>SUM(H267:H271)</f>
        <v>1756</v>
      </c>
      <c r="I272" s="31">
        <v>0</v>
      </c>
      <c r="J272" s="31">
        <f>SUM(J267:J271)</f>
        <v>-24</v>
      </c>
      <c r="K272" s="28"/>
      <c r="L272" s="36" t="s">
        <v>291</v>
      </c>
      <c r="M272" s="31">
        <f>SUM(M267:M271)</f>
        <v>0</v>
      </c>
      <c r="N272" s="36" t="s">
        <v>195</v>
      </c>
      <c r="O272" s="37">
        <f>SUM(N267:N271)</f>
        <v>24</v>
      </c>
      <c r="P272" s="31"/>
      <c r="Q272" s="25">
        <v>593</v>
      </c>
      <c r="R272" s="25">
        <v>0</v>
      </c>
    </row>
    <row r="273" spans="1:17" s="25" customFormat="1" ht="11.25">
      <c r="A273" s="17">
        <v>262</v>
      </c>
      <c r="B273" s="23">
        <f t="shared" si="9"/>
        <v>593</v>
      </c>
      <c r="C273" s="27"/>
      <c r="D273" s="30"/>
      <c r="F273" s="21"/>
      <c r="G273" s="31"/>
      <c r="H273" s="31"/>
      <c r="I273" s="31"/>
      <c r="J273" s="31"/>
      <c r="K273" s="28"/>
      <c r="L273" s="28"/>
      <c r="M273" s="31"/>
      <c r="N273" s="36"/>
      <c r="O273" s="37"/>
      <c r="P273" s="31"/>
      <c r="Q273" s="25">
        <v>593</v>
      </c>
    </row>
    <row r="274" spans="1:17" s="25" customFormat="1" ht="11.25">
      <c r="A274" s="17">
        <v>263</v>
      </c>
      <c r="B274" s="23">
        <f t="shared" si="9"/>
        <v>594</v>
      </c>
      <c r="C274" s="24" t="s">
        <v>129</v>
      </c>
      <c r="D274" s="30"/>
      <c r="F274" s="21"/>
      <c r="G274" s="31"/>
      <c r="H274" s="31"/>
      <c r="I274" s="31"/>
      <c r="J274" s="31"/>
      <c r="K274" s="28"/>
      <c r="L274" s="28"/>
      <c r="M274" s="46"/>
      <c r="N274" s="46"/>
      <c r="O274" s="31"/>
      <c r="P274" s="31"/>
      <c r="Q274" s="25">
        <v>594</v>
      </c>
    </row>
    <row r="275" spans="1:17" s="25" customFormat="1" ht="11.25">
      <c r="A275" s="17">
        <v>264</v>
      </c>
      <c r="B275" s="23">
        <f t="shared" si="9"/>
        <v>594</v>
      </c>
      <c r="C275" s="27">
        <v>594500</v>
      </c>
      <c r="D275" s="30" t="s">
        <v>130</v>
      </c>
      <c r="F275" s="21">
        <v>1304</v>
      </c>
      <c r="G275" s="31"/>
      <c r="H275" s="31"/>
      <c r="I275" s="31"/>
      <c r="J275" s="31"/>
      <c r="K275" s="28"/>
      <c r="L275" s="28"/>
      <c r="M275" s="43"/>
      <c r="N275" s="43"/>
      <c r="O275" s="31"/>
      <c r="P275" s="31"/>
      <c r="Q275" s="25">
        <v>594</v>
      </c>
    </row>
    <row r="276" spans="1:18" s="25" customFormat="1" ht="33.75">
      <c r="A276" s="17">
        <v>265</v>
      </c>
      <c r="B276" s="23">
        <f t="shared" si="9"/>
        <v>594</v>
      </c>
      <c r="C276" s="24"/>
      <c r="D276" s="30"/>
      <c r="E276" s="25" t="s">
        <v>217</v>
      </c>
      <c r="F276" s="21">
        <f>SUM(F275)</f>
        <v>1304</v>
      </c>
      <c r="G276" s="21">
        <f>SUM(G275)</f>
        <v>0</v>
      </c>
      <c r="H276" s="21">
        <f>SUM(H275)</f>
        <v>0</v>
      </c>
      <c r="I276" s="31">
        <v>20534</v>
      </c>
      <c r="J276" s="21">
        <f>SUM(J275)</f>
        <v>0</v>
      </c>
      <c r="K276" s="28"/>
      <c r="L276" s="36" t="s">
        <v>292</v>
      </c>
      <c r="M276" s="31">
        <f>SUM(M275)</f>
        <v>0</v>
      </c>
      <c r="N276" s="36" t="s">
        <v>196</v>
      </c>
      <c r="O276" s="37">
        <f>SUM(N270:N275)</f>
        <v>0</v>
      </c>
      <c r="P276" s="31"/>
      <c r="Q276" s="25">
        <v>594</v>
      </c>
      <c r="R276" s="25">
        <v>20534</v>
      </c>
    </row>
    <row r="277" spans="1:17" s="25" customFormat="1" ht="11.25">
      <c r="A277" s="17">
        <v>266</v>
      </c>
      <c r="B277" s="23">
        <f t="shared" si="9"/>
        <v>594</v>
      </c>
      <c r="C277" s="24"/>
      <c r="D277" s="30"/>
      <c r="F277" s="21"/>
      <c r="G277" s="31"/>
      <c r="H277" s="31"/>
      <c r="I277" s="31"/>
      <c r="J277" s="31"/>
      <c r="K277" s="28"/>
      <c r="L277" s="28"/>
      <c r="M277" s="31"/>
      <c r="N277" s="36"/>
      <c r="O277" s="37"/>
      <c r="P277" s="31"/>
      <c r="Q277" s="25">
        <v>594</v>
      </c>
    </row>
    <row r="278" spans="1:17" s="25" customFormat="1" ht="11.25">
      <c r="A278" s="17">
        <v>267</v>
      </c>
      <c r="B278" s="23">
        <f t="shared" si="9"/>
        <v>594</v>
      </c>
      <c r="C278" s="24" t="s">
        <v>131</v>
      </c>
      <c r="D278" s="30"/>
      <c r="F278" s="21"/>
      <c r="G278" s="31"/>
      <c r="H278" s="31"/>
      <c r="I278" s="31"/>
      <c r="J278" s="31"/>
      <c r="K278" s="28"/>
      <c r="L278" s="28"/>
      <c r="M278" s="31"/>
      <c r="N278" s="31"/>
      <c r="O278" s="31"/>
      <c r="P278" s="31"/>
      <c r="Q278" s="25">
        <v>594</v>
      </c>
    </row>
    <row r="279" spans="1:17" s="25" customFormat="1" ht="11.25">
      <c r="A279" s="17">
        <v>268</v>
      </c>
      <c r="B279" s="23">
        <f t="shared" si="9"/>
        <v>594</v>
      </c>
      <c r="C279" s="27">
        <v>594600</v>
      </c>
      <c r="D279" s="30" t="s">
        <v>132</v>
      </c>
      <c r="F279" s="21"/>
      <c r="G279" s="31"/>
      <c r="H279" s="31">
        <v>0</v>
      </c>
      <c r="I279" s="31"/>
      <c r="J279" s="31">
        <v>0</v>
      </c>
      <c r="K279" s="28"/>
      <c r="L279" s="28"/>
      <c r="M279" s="47">
        <v>0</v>
      </c>
      <c r="N279" s="47"/>
      <c r="O279" s="31"/>
      <c r="P279" s="31"/>
      <c r="Q279" s="25">
        <v>594</v>
      </c>
    </row>
    <row r="280" spans="1:17" s="25" customFormat="1" ht="11.25">
      <c r="A280" s="17">
        <v>269</v>
      </c>
      <c r="B280" s="23">
        <f t="shared" si="9"/>
        <v>594</v>
      </c>
      <c r="C280" s="27">
        <v>594610</v>
      </c>
      <c r="D280" s="30" t="s">
        <v>133</v>
      </c>
      <c r="F280" s="21"/>
      <c r="G280" s="31"/>
      <c r="H280" s="31">
        <v>0</v>
      </c>
      <c r="I280" s="31"/>
      <c r="J280" s="31">
        <v>0</v>
      </c>
      <c r="K280" s="28"/>
      <c r="L280" s="28"/>
      <c r="M280" s="47">
        <v>0</v>
      </c>
      <c r="N280" s="47"/>
      <c r="O280" s="31"/>
      <c r="P280" s="31"/>
      <c r="Q280" s="25">
        <v>594</v>
      </c>
    </row>
    <row r="281" spans="1:17" s="25" customFormat="1" ht="11.25">
      <c r="A281" s="17">
        <v>270</v>
      </c>
      <c r="B281" s="23">
        <f t="shared" si="9"/>
        <v>594</v>
      </c>
      <c r="C281" s="27">
        <v>594620</v>
      </c>
      <c r="D281" s="30" t="s">
        <v>134</v>
      </c>
      <c r="F281" s="21"/>
      <c r="G281" s="31"/>
      <c r="H281" s="31">
        <v>0</v>
      </c>
      <c r="I281" s="31"/>
      <c r="J281" s="31">
        <v>0</v>
      </c>
      <c r="K281" s="28"/>
      <c r="L281" s="28"/>
      <c r="M281" s="47">
        <v>0</v>
      </c>
      <c r="N281" s="47"/>
      <c r="O281" s="31"/>
      <c r="P281" s="31"/>
      <c r="Q281" s="25">
        <v>594</v>
      </c>
    </row>
    <row r="282" spans="1:17" s="25" customFormat="1" ht="11.25">
      <c r="A282" s="17">
        <v>271</v>
      </c>
      <c r="B282" s="23">
        <f t="shared" si="9"/>
        <v>594</v>
      </c>
      <c r="C282" s="27">
        <v>594630</v>
      </c>
      <c r="D282" s="30" t="s">
        <v>135</v>
      </c>
      <c r="F282" s="21"/>
      <c r="G282" s="31"/>
      <c r="H282" s="31">
        <v>0</v>
      </c>
      <c r="I282" s="31"/>
      <c r="J282" s="31">
        <v>0</v>
      </c>
      <c r="K282" s="28"/>
      <c r="L282" s="28"/>
      <c r="M282" s="47">
        <v>0</v>
      </c>
      <c r="N282" s="47"/>
      <c r="O282" s="31"/>
      <c r="P282" s="31"/>
      <c r="Q282" s="25">
        <v>594</v>
      </c>
    </row>
    <row r="283" spans="1:17" s="25" customFormat="1" ht="11.25">
      <c r="A283" s="17">
        <v>272</v>
      </c>
      <c r="B283" s="23">
        <f t="shared" si="9"/>
        <v>594</v>
      </c>
      <c r="C283" s="27">
        <v>594640</v>
      </c>
      <c r="D283" s="30" t="s">
        <v>136</v>
      </c>
      <c r="F283" s="21"/>
      <c r="G283" s="31"/>
      <c r="H283" s="31">
        <v>0</v>
      </c>
      <c r="I283" s="31"/>
      <c r="J283" s="31">
        <v>0</v>
      </c>
      <c r="K283" s="28"/>
      <c r="L283" s="28"/>
      <c r="M283" s="47">
        <v>0</v>
      </c>
      <c r="N283" s="47"/>
      <c r="O283" s="31"/>
      <c r="P283" s="31"/>
      <c r="Q283" s="25">
        <v>594</v>
      </c>
    </row>
    <row r="284" spans="1:17" s="25" customFormat="1" ht="33.75">
      <c r="A284" s="17">
        <v>273</v>
      </c>
      <c r="B284" s="23">
        <f t="shared" si="9"/>
        <v>594</v>
      </c>
      <c r="C284" s="24"/>
      <c r="D284" s="30"/>
      <c r="E284" s="25" t="s">
        <v>217</v>
      </c>
      <c r="F284" s="21"/>
      <c r="G284" s="31"/>
      <c r="H284" s="31">
        <f>SUM(H279:H283)</f>
        <v>0</v>
      </c>
      <c r="I284" s="31"/>
      <c r="J284" s="31">
        <f>SUM(J279:J283)</f>
        <v>0</v>
      </c>
      <c r="K284" s="28"/>
      <c r="L284" s="36" t="s">
        <v>294</v>
      </c>
      <c r="M284" s="31">
        <f>SUM(M279:M283)</f>
        <v>0</v>
      </c>
      <c r="N284" s="36" t="s">
        <v>293</v>
      </c>
      <c r="O284" s="37">
        <f>SUM(N279:N283)</f>
        <v>0</v>
      </c>
      <c r="P284" s="31"/>
      <c r="Q284" s="25">
        <v>594</v>
      </c>
    </row>
    <row r="285" spans="1:17" s="25" customFormat="1" ht="11.25">
      <c r="A285" s="17">
        <v>274</v>
      </c>
      <c r="B285" s="23">
        <f t="shared" si="9"/>
        <v>594</v>
      </c>
      <c r="C285" s="24"/>
      <c r="D285" s="30"/>
      <c r="F285" s="21"/>
      <c r="G285" s="31"/>
      <c r="H285" s="31"/>
      <c r="I285" s="31"/>
      <c r="J285" s="31"/>
      <c r="K285" s="28"/>
      <c r="L285" s="28"/>
      <c r="M285" s="31"/>
      <c r="N285" s="36"/>
      <c r="O285" s="37"/>
      <c r="P285" s="31"/>
      <c r="Q285" s="25">
        <v>594</v>
      </c>
    </row>
    <row r="286" spans="1:17" s="39" customFormat="1" ht="11.25">
      <c r="A286" s="17">
        <v>275</v>
      </c>
      <c r="B286" s="23">
        <f t="shared" si="9"/>
        <v>595</v>
      </c>
      <c r="C286" s="45" t="s">
        <v>79</v>
      </c>
      <c r="D286" s="30"/>
      <c r="F286" s="31"/>
      <c r="G286" s="31"/>
      <c r="H286" s="31"/>
      <c r="I286" s="31"/>
      <c r="J286" s="31"/>
      <c r="K286" s="28"/>
      <c r="L286" s="28"/>
      <c r="M286" s="31"/>
      <c r="N286" s="31"/>
      <c r="O286" s="31"/>
      <c r="P286" s="31"/>
      <c r="Q286" s="39">
        <v>595</v>
      </c>
    </row>
    <row r="287" spans="1:17" s="39" customFormat="1" ht="11.25">
      <c r="A287" s="17">
        <v>276</v>
      </c>
      <c r="B287" s="23">
        <f t="shared" si="9"/>
        <v>595</v>
      </c>
      <c r="C287" s="29">
        <v>595500</v>
      </c>
      <c r="D287" s="30" t="s">
        <v>137</v>
      </c>
      <c r="F287" s="31"/>
      <c r="G287" s="31"/>
      <c r="H287" s="31">
        <v>61584</v>
      </c>
      <c r="I287" s="31"/>
      <c r="J287" s="31">
        <v>81425</v>
      </c>
      <c r="K287" s="28" t="s">
        <v>103</v>
      </c>
      <c r="L287" s="28"/>
      <c r="M287" s="43">
        <f>J287*1.06</f>
        <v>86311</v>
      </c>
      <c r="N287" s="43">
        <f>M287-J287</f>
        <v>4886</v>
      </c>
      <c r="O287" s="31"/>
      <c r="P287" s="106" t="s">
        <v>330</v>
      </c>
      <c r="Q287" s="39">
        <v>595</v>
      </c>
    </row>
    <row r="288" spans="1:17" s="39" customFormat="1" ht="11.25">
      <c r="A288" s="17">
        <v>277</v>
      </c>
      <c r="B288" s="23">
        <f t="shared" si="9"/>
        <v>595</v>
      </c>
      <c r="C288" s="29">
        <v>595510</v>
      </c>
      <c r="D288" s="30" t="s">
        <v>80</v>
      </c>
      <c r="F288" s="31">
        <v>1025</v>
      </c>
      <c r="G288" s="31"/>
      <c r="H288" s="31">
        <v>824</v>
      </c>
      <c r="I288" s="31"/>
      <c r="J288" s="31">
        <v>8681</v>
      </c>
      <c r="K288" s="28" t="s">
        <v>238</v>
      </c>
      <c r="L288" s="28"/>
      <c r="M288" s="43">
        <f>381000*1.06</f>
        <v>403860</v>
      </c>
      <c r="N288" s="43">
        <f>M288-J288</f>
        <v>395179</v>
      </c>
      <c r="O288" s="31"/>
      <c r="P288" s="106" t="s">
        <v>330</v>
      </c>
      <c r="Q288" s="39">
        <v>595</v>
      </c>
    </row>
    <row r="289" spans="1:17" s="25" customFormat="1" ht="11.25">
      <c r="A289" s="17">
        <v>278</v>
      </c>
      <c r="B289" s="23">
        <f t="shared" si="9"/>
        <v>595</v>
      </c>
      <c r="C289" s="27">
        <v>595520</v>
      </c>
      <c r="D289" s="30" t="s">
        <v>138</v>
      </c>
      <c r="F289" s="21"/>
      <c r="G289" s="31"/>
      <c r="H289" s="31">
        <v>12786</v>
      </c>
      <c r="I289" s="31"/>
      <c r="J289" s="31">
        <v>13304</v>
      </c>
      <c r="K289" s="28" t="s">
        <v>103</v>
      </c>
      <c r="L289" s="28"/>
      <c r="M289" s="43">
        <f>J289*1.06</f>
        <v>14102</v>
      </c>
      <c r="N289" s="43">
        <f>M289-J289</f>
        <v>798</v>
      </c>
      <c r="O289" s="31"/>
      <c r="P289" s="106" t="s">
        <v>330</v>
      </c>
      <c r="Q289" s="25">
        <v>595</v>
      </c>
    </row>
    <row r="290" spans="1:17" s="25" customFormat="1" ht="11.25">
      <c r="A290" s="17">
        <v>279</v>
      </c>
      <c r="B290" s="23">
        <f t="shared" si="9"/>
        <v>595</v>
      </c>
      <c r="C290" s="27">
        <v>595530</v>
      </c>
      <c r="D290" s="30" t="s">
        <v>139</v>
      </c>
      <c r="F290" s="21"/>
      <c r="G290" s="31"/>
      <c r="H290" s="31">
        <v>152</v>
      </c>
      <c r="I290" s="31"/>
      <c r="J290" s="31">
        <v>0</v>
      </c>
      <c r="K290" s="28"/>
      <c r="L290" s="28"/>
      <c r="M290" s="43">
        <f>J290*1.06</f>
        <v>0</v>
      </c>
      <c r="N290" s="43">
        <f>M290-J290</f>
        <v>0</v>
      </c>
      <c r="O290" s="31"/>
      <c r="P290" s="106"/>
      <c r="Q290" s="25">
        <v>595</v>
      </c>
    </row>
    <row r="291" spans="1:18" s="25" customFormat="1" ht="33.75">
      <c r="A291" s="17">
        <v>280</v>
      </c>
      <c r="B291" s="23">
        <f t="shared" si="9"/>
        <v>595</v>
      </c>
      <c r="C291" s="27"/>
      <c r="E291" s="25" t="s">
        <v>217</v>
      </c>
      <c r="F291" s="31">
        <f>SUM(F287:F290)</f>
        <v>1025</v>
      </c>
      <c r="G291" s="31">
        <f>SUM(G287:G290)</f>
        <v>0</v>
      </c>
      <c r="H291" s="31">
        <f>SUM(H287:H290)</f>
        <v>75346</v>
      </c>
      <c r="I291" s="31">
        <v>112985</v>
      </c>
      <c r="J291" s="31">
        <f>SUM(J287:J290)</f>
        <v>103410</v>
      </c>
      <c r="K291" s="28"/>
      <c r="L291" s="36" t="s">
        <v>295</v>
      </c>
      <c r="M291" s="41">
        <f>SUM(M287:M290)</f>
        <v>504273</v>
      </c>
      <c r="N291" s="36" t="s">
        <v>197</v>
      </c>
      <c r="O291" s="37">
        <f>SUM(N286:N290)</f>
        <v>400863</v>
      </c>
      <c r="P291" s="31"/>
      <c r="Q291" s="25">
        <v>595</v>
      </c>
      <c r="R291" s="25">
        <v>112985</v>
      </c>
    </row>
    <row r="292" spans="1:17" s="25" customFormat="1" ht="11.25">
      <c r="A292" s="17">
        <v>281</v>
      </c>
      <c r="B292" s="23">
        <f t="shared" si="9"/>
        <v>595</v>
      </c>
      <c r="C292" s="27"/>
      <c r="F292" s="21"/>
      <c r="G292" s="31"/>
      <c r="H292" s="31"/>
      <c r="I292" s="31"/>
      <c r="J292" s="31"/>
      <c r="K292" s="28"/>
      <c r="L292" s="28"/>
      <c r="M292" s="41"/>
      <c r="N292" s="36"/>
      <c r="O292" s="37"/>
      <c r="P292" s="31"/>
      <c r="Q292" s="25">
        <v>595</v>
      </c>
    </row>
    <row r="293" spans="1:17" s="25" customFormat="1" ht="11.25">
      <c r="A293" s="17">
        <v>282</v>
      </c>
      <c r="B293" s="23">
        <f t="shared" si="9"/>
        <v>596</v>
      </c>
      <c r="C293" s="24" t="s">
        <v>140</v>
      </c>
      <c r="F293" s="21"/>
      <c r="G293" s="31"/>
      <c r="H293" s="31"/>
      <c r="I293" s="31"/>
      <c r="J293" s="31"/>
      <c r="K293" s="28"/>
      <c r="L293" s="28"/>
      <c r="M293" s="31"/>
      <c r="N293" s="31"/>
      <c r="O293" s="31"/>
      <c r="P293" s="31"/>
      <c r="Q293" s="25">
        <v>596</v>
      </c>
    </row>
    <row r="294" spans="1:17" s="25" customFormat="1" ht="11.25">
      <c r="A294" s="17">
        <v>283</v>
      </c>
      <c r="B294" s="23">
        <f t="shared" si="9"/>
        <v>596</v>
      </c>
      <c r="C294" s="27">
        <v>596010</v>
      </c>
      <c r="D294" s="30" t="s">
        <v>141</v>
      </c>
      <c r="F294" s="21"/>
      <c r="G294" s="31"/>
      <c r="H294" s="31"/>
      <c r="I294" s="31"/>
      <c r="J294" s="31"/>
      <c r="K294" s="28"/>
      <c r="L294" s="28"/>
      <c r="M294" s="31">
        <v>0</v>
      </c>
      <c r="N294" s="71">
        <f aca="true" t="shared" si="10" ref="N294:N299">M294-J294</f>
        <v>0</v>
      </c>
      <c r="O294" s="31"/>
      <c r="P294" s="31"/>
      <c r="Q294" s="25">
        <v>596</v>
      </c>
    </row>
    <row r="295" spans="1:17" s="25" customFormat="1" ht="11.25">
      <c r="A295" s="17">
        <v>284</v>
      </c>
      <c r="B295" s="23">
        <f t="shared" si="9"/>
        <v>596</v>
      </c>
      <c r="C295" s="27">
        <v>596020</v>
      </c>
      <c r="D295" s="30" t="s">
        <v>142</v>
      </c>
      <c r="F295" s="21"/>
      <c r="G295" s="31"/>
      <c r="H295" s="31">
        <v>121</v>
      </c>
      <c r="I295" s="31"/>
      <c r="J295" s="31">
        <v>0</v>
      </c>
      <c r="K295" s="28"/>
      <c r="L295" s="28"/>
      <c r="M295" s="31">
        <v>0</v>
      </c>
      <c r="N295" s="71">
        <f t="shared" si="10"/>
        <v>0</v>
      </c>
      <c r="O295" s="31"/>
      <c r="P295" s="31"/>
      <c r="Q295" s="25">
        <v>596</v>
      </c>
    </row>
    <row r="296" spans="1:17" s="25" customFormat="1" ht="11.25">
      <c r="A296" s="17">
        <v>285</v>
      </c>
      <c r="B296" s="23">
        <f t="shared" si="9"/>
        <v>596</v>
      </c>
      <c r="C296" s="27">
        <v>596500</v>
      </c>
      <c r="D296" s="30" t="s">
        <v>143</v>
      </c>
      <c r="F296" s="21"/>
      <c r="G296" s="31"/>
      <c r="H296" s="31"/>
      <c r="I296" s="31"/>
      <c r="J296" s="31"/>
      <c r="K296" s="28"/>
      <c r="L296" s="28"/>
      <c r="M296" s="31">
        <v>0</v>
      </c>
      <c r="N296" s="71">
        <f t="shared" si="10"/>
        <v>0</v>
      </c>
      <c r="O296" s="31"/>
      <c r="P296" s="31"/>
      <c r="Q296" s="25">
        <v>596</v>
      </c>
    </row>
    <row r="297" spans="1:17" s="25" customFormat="1" ht="11.25">
      <c r="A297" s="17">
        <v>286</v>
      </c>
      <c r="B297" s="23">
        <f t="shared" si="9"/>
        <v>596</v>
      </c>
      <c r="C297" s="27">
        <v>596510</v>
      </c>
      <c r="D297" s="30" t="s">
        <v>144</v>
      </c>
      <c r="F297" s="21"/>
      <c r="G297" s="31"/>
      <c r="H297" s="31"/>
      <c r="I297" s="31"/>
      <c r="J297" s="31">
        <v>0</v>
      </c>
      <c r="K297" s="28"/>
      <c r="L297" s="28"/>
      <c r="M297" s="31">
        <v>0</v>
      </c>
      <c r="N297" s="71">
        <f t="shared" si="10"/>
        <v>0</v>
      </c>
      <c r="O297" s="31"/>
      <c r="P297" s="31"/>
      <c r="Q297" s="25">
        <v>596</v>
      </c>
    </row>
    <row r="298" spans="1:17" s="25" customFormat="1" ht="11.25">
      <c r="A298" s="17">
        <v>287</v>
      </c>
      <c r="B298" s="23">
        <f t="shared" si="9"/>
        <v>596</v>
      </c>
      <c r="C298" s="27">
        <v>596520</v>
      </c>
      <c r="D298" s="30" t="s">
        <v>145</v>
      </c>
      <c r="F298" s="21"/>
      <c r="G298" s="31"/>
      <c r="H298" s="31"/>
      <c r="I298" s="31"/>
      <c r="J298" s="31"/>
      <c r="K298" s="28"/>
      <c r="L298" s="28"/>
      <c r="M298" s="31">
        <v>0</v>
      </c>
      <c r="N298" s="71">
        <f t="shared" si="10"/>
        <v>0</v>
      </c>
      <c r="O298" s="31"/>
      <c r="P298" s="31"/>
      <c r="Q298" s="25">
        <v>596</v>
      </c>
    </row>
    <row r="299" spans="1:17" s="25" customFormat="1" ht="11.25">
      <c r="A299" s="17">
        <v>288</v>
      </c>
      <c r="B299" s="23">
        <f t="shared" si="9"/>
        <v>596</v>
      </c>
      <c r="C299" s="27">
        <v>596530</v>
      </c>
      <c r="D299" s="30" t="s">
        <v>145</v>
      </c>
      <c r="F299" s="21"/>
      <c r="G299" s="31"/>
      <c r="H299" s="31"/>
      <c r="I299" s="31"/>
      <c r="J299" s="31">
        <v>0</v>
      </c>
      <c r="K299" s="28"/>
      <c r="L299" s="28"/>
      <c r="M299" s="31">
        <v>0</v>
      </c>
      <c r="N299" s="71">
        <f t="shared" si="10"/>
        <v>0</v>
      </c>
      <c r="O299" s="31"/>
      <c r="P299" s="31"/>
      <c r="Q299" s="25">
        <v>596</v>
      </c>
    </row>
    <row r="300" spans="1:18" s="25" customFormat="1" ht="33.75">
      <c r="A300" s="17">
        <v>289</v>
      </c>
      <c r="B300" s="23">
        <f t="shared" si="9"/>
        <v>596</v>
      </c>
      <c r="C300" s="27"/>
      <c r="E300" s="25" t="s">
        <v>217</v>
      </c>
      <c r="F300" s="31">
        <f>SUM(F294:F299)</f>
        <v>0</v>
      </c>
      <c r="G300" s="31">
        <f>SUM(G294:G299)</f>
        <v>0</v>
      </c>
      <c r="H300" s="31">
        <f>SUM(H294:H299)</f>
        <v>121</v>
      </c>
      <c r="I300" s="31">
        <v>0</v>
      </c>
      <c r="J300" s="31">
        <f>SUM(J294:J299)</f>
        <v>0</v>
      </c>
      <c r="K300" s="28"/>
      <c r="L300" s="36" t="s">
        <v>296</v>
      </c>
      <c r="M300" s="31">
        <f>SUM(M294:M299)</f>
        <v>0</v>
      </c>
      <c r="N300" s="36" t="s">
        <v>198</v>
      </c>
      <c r="O300" s="37">
        <f>SUM(N295:N299)</f>
        <v>0</v>
      </c>
      <c r="P300" s="31"/>
      <c r="Q300" s="25">
        <v>596</v>
      </c>
      <c r="R300" s="25">
        <v>0</v>
      </c>
    </row>
    <row r="301" spans="1:17" s="25" customFormat="1" ht="11.25">
      <c r="A301" s="17">
        <v>290</v>
      </c>
      <c r="B301" s="23">
        <f t="shared" si="9"/>
        <v>596</v>
      </c>
      <c r="C301" s="27"/>
      <c r="F301" s="21"/>
      <c r="G301" s="31"/>
      <c r="H301" s="31"/>
      <c r="I301" s="31"/>
      <c r="J301" s="31"/>
      <c r="K301" s="28"/>
      <c r="L301" s="28"/>
      <c r="M301" s="31"/>
      <c r="N301" s="36"/>
      <c r="O301" s="37"/>
      <c r="P301" s="31"/>
      <c r="Q301" s="25">
        <v>596</v>
      </c>
    </row>
    <row r="302" spans="1:17" s="25" customFormat="1" ht="11.25">
      <c r="A302" s="17">
        <v>291</v>
      </c>
      <c r="B302" s="23">
        <f t="shared" si="9"/>
        <v>597</v>
      </c>
      <c r="C302" s="24">
        <v>597</v>
      </c>
      <c r="F302" s="21"/>
      <c r="G302" s="31"/>
      <c r="H302" s="31"/>
      <c r="I302" s="31"/>
      <c r="J302" s="31"/>
      <c r="K302" s="28"/>
      <c r="L302" s="28"/>
      <c r="M302" s="31"/>
      <c r="N302" s="36"/>
      <c r="O302" s="37"/>
      <c r="P302" s="31"/>
      <c r="Q302" s="25">
        <v>597</v>
      </c>
    </row>
    <row r="303" spans="1:17" s="25" customFormat="1" ht="11.25">
      <c r="A303" s="17">
        <v>292</v>
      </c>
      <c r="B303" s="23">
        <f t="shared" si="9"/>
        <v>597</v>
      </c>
      <c r="C303" s="27">
        <v>597000</v>
      </c>
      <c r="F303" s="21">
        <v>0</v>
      </c>
      <c r="G303" s="31">
        <v>0</v>
      </c>
      <c r="H303" s="31">
        <v>0</v>
      </c>
      <c r="I303" s="31"/>
      <c r="J303" s="31">
        <v>0</v>
      </c>
      <c r="K303" s="28" t="s">
        <v>103</v>
      </c>
      <c r="L303" s="28"/>
      <c r="M303" s="31"/>
      <c r="N303" s="71">
        <f>M303-J303</f>
        <v>0</v>
      </c>
      <c r="O303" s="37"/>
      <c r="P303" s="31"/>
      <c r="Q303" s="25">
        <v>597</v>
      </c>
    </row>
    <row r="304" spans="1:18" s="25" customFormat="1" ht="33.75">
      <c r="A304" s="17">
        <v>293</v>
      </c>
      <c r="B304" s="23">
        <f t="shared" si="9"/>
        <v>597</v>
      </c>
      <c r="C304" s="27"/>
      <c r="E304" s="25" t="s">
        <v>217</v>
      </c>
      <c r="F304" s="21">
        <f>SUM(F303)</f>
        <v>0</v>
      </c>
      <c r="G304" s="21">
        <f>SUM(G303)</f>
        <v>0</v>
      </c>
      <c r="H304" s="21">
        <f>SUM(H303)</f>
        <v>0</v>
      </c>
      <c r="I304" s="31">
        <v>1711</v>
      </c>
      <c r="J304" s="21">
        <f>SUM(J303)</f>
        <v>0</v>
      </c>
      <c r="K304" s="28"/>
      <c r="L304" s="36" t="s">
        <v>298</v>
      </c>
      <c r="M304" s="31">
        <f>SUM(M303)</f>
        <v>0</v>
      </c>
      <c r="N304" s="36" t="s">
        <v>299</v>
      </c>
      <c r="O304" s="37">
        <f>SUM(N299:N303)</f>
        <v>0</v>
      </c>
      <c r="P304" s="31"/>
      <c r="Q304" s="25">
        <v>597</v>
      </c>
      <c r="R304" s="25">
        <v>1711</v>
      </c>
    </row>
    <row r="305" spans="1:17" s="25" customFormat="1" ht="11.25">
      <c r="A305" s="17"/>
      <c r="B305" s="23">
        <f t="shared" si="9"/>
        <v>597</v>
      </c>
      <c r="C305" s="27"/>
      <c r="F305" s="21"/>
      <c r="G305" s="31"/>
      <c r="H305" s="31"/>
      <c r="I305" s="31"/>
      <c r="J305" s="31"/>
      <c r="K305" s="28"/>
      <c r="L305" s="28"/>
      <c r="M305" s="31"/>
      <c r="N305" s="36"/>
      <c r="O305" s="37"/>
      <c r="P305" s="31"/>
      <c r="Q305" s="25">
        <v>597</v>
      </c>
    </row>
    <row r="306" spans="1:17" s="25" customFormat="1" ht="11.25">
      <c r="A306" s="17">
        <v>294</v>
      </c>
      <c r="B306" s="23">
        <f t="shared" si="9"/>
        <v>597</v>
      </c>
      <c r="C306" s="27"/>
      <c r="F306" s="21"/>
      <c r="G306" s="31"/>
      <c r="H306" s="31"/>
      <c r="I306" s="31"/>
      <c r="J306" s="31"/>
      <c r="K306" s="28"/>
      <c r="L306" s="28"/>
      <c r="M306" s="31"/>
      <c r="N306" s="36"/>
      <c r="O306" s="37"/>
      <c r="P306" s="31"/>
      <c r="Q306" s="25">
        <v>597</v>
      </c>
    </row>
    <row r="307" spans="1:17" s="25" customFormat="1" ht="11.25">
      <c r="A307" s="17">
        <v>295</v>
      </c>
      <c r="B307" s="23">
        <f t="shared" si="9"/>
        <v>598</v>
      </c>
      <c r="C307" s="24" t="s">
        <v>157</v>
      </c>
      <c r="F307" s="21"/>
      <c r="G307" s="31"/>
      <c r="H307" s="31"/>
      <c r="I307" s="31"/>
      <c r="J307" s="31"/>
      <c r="K307" s="28"/>
      <c r="L307" s="28"/>
      <c r="M307" s="31"/>
      <c r="N307" s="31"/>
      <c r="O307" s="31"/>
      <c r="P307" s="31"/>
      <c r="Q307" s="25">
        <v>598</v>
      </c>
    </row>
    <row r="308" spans="1:17" s="25" customFormat="1" ht="11.25">
      <c r="A308" s="17">
        <v>296</v>
      </c>
      <c r="B308" s="23">
        <f t="shared" si="9"/>
        <v>598</v>
      </c>
      <c r="C308" s="27">
        <v>598000</v>
      </c>
      <c r="D308" s="30" t="s">
        <v>158</v>
      </c>
      <c r="F308" s="21">
        <v>2746</v>
      </c>
      <c r="G308" s="31"/>
      <c r="H308" s="31">
        <v>0</v>
      </c>
      <c r="I308" s="31"/>
      <c r="J308" s="31">
        <v>376</v>
      </c>
      <c r="K308" s="28"/>
      <c r="L308" s="28"/>
      <c r="M308" s="43">
        <v>0</v>
      </c>
      <c r="N308" s="43">
        <f>M308-J308</f>
        <v>-376</v>
      </c>
      <c r="O308" s="31"/>
      <c r="P308" s="31"/>
      <c r="Q308" s="25">
        <v>598</v>
      </c>
    </row>
    <row r="309" spans="1:17" s="25" customFormat="1" ht="33.75">
      <c r="A309" s="17">
        <v>297</v>
      </c>
      <c r="B309" s="23">
        <f t="shared" si="9"/>
        <v>598</v>
      </c>
      <c r="C309" s="27"/>
      <c r="E309" s="25" t="s">
        <v>217</v>
      </c>
      <c r="F309" s="21"/>
      <c r="G309" s="31"/>
      <c r="H309" s="31">
        <f>SUM(H308)</f>
        <v>0</v>
      </c>
      <c r="I309" s="31"/>
      <c r="J309" s="31">
        <f>SUM(J308)</f>
        <v>376</v>
      </c>
      <c r="K309" s="28"/>
      <c r="L309" s="36" t="s">
        <v>297</v>
      </c>
      <c r="M309" s="31">
        <f>SUM(M308)</f>
        <v>0</v>
      </c>
      <c r="N309" s="36" t="s">
        <v>199</v>
      </c>
      <c r="O309" s="37">
        <f>SUM(N298:N308)</f>
        <v>-376</v>
      </c>
      <c r="P309" s="31"/>
      <c r="Q309" s="25">
        <v>598</v>
      </c>
    </row>
    <row r="310" spans="1:16" s="25" customFormat="1" ht="63.75" customHeight="1">
      <c r="A310" s="17">
        <v>298</v>
      </c>
      <c r="B310" s="34"/>
      <c r="C310" s="27"/>
      <c r="F310" s="73" t="s">
        <v>257</v>
      </c>
      <c r="G310" s="74" t="s">
        <v>258</v>
      </c>
      <c r="H310" s="74" t="s">
        <v>324</v>
      </c>
      <c r="I310" s="108" t="s">
        <v>259</v>
      </c>
      <c r="J310" s="75" t="s">
        <v>327</v>
      </c>
      <c r="K310" s="77" t="s">
        <v>238</v>
      </c>
      <c r="L310" s="77"/>
      <c r="M310" s="75" t="s">
        <v>319</v>
      </c>
      <c r="N310" s="78"/>
      <c r="O310" s="75" t="s">
        <v>320</v>
      </c>
      <c r="P310" s="31"/>
    </row>
    <row r="311" spans="1:18" s="25" customFormat="1" ht="11.25">
      <c r="A311" s="17">
        <v>299</v>
      </c>
      <c r="B311" s="34"/>
      <c r="C311" s="258" t="s">
        <v>173</v>
      </c>
      <c r="D311" s="258"/>
      <c r="E311" s="258"/>
      <c r="F311" s="31">
        <f>SUM(F120:F309)</f>
        <v>2484708</v>
      </c>
      <c r="G311" s="31">
        <f>SUM(G120:G309)</f>
        <v>2795498</v>
      </c>
      <c r="H311" s="31">
        <f>SUM(H120:H309)</f>
        <v>3946408</v>
      </c>
      <c r="I311" s="31">
        <f>SUM(I120:I309)</f>
        <v>2099610</v>
      </c>
      <c r="J311" s="47">
        <f>SUM(J121+J135+J142+J146+J150+J154+J161+J171+J182+J183+J188+J192+J196+J205+J213+J214+J222+J227+J231+J235+J239+J243+J247+J253+J264+J272+J276+J284+J291++J300+J304+J309)</f>
        <v>2319221</v>
      </c>
      <c r="K311" s="77"/>
      <c r="L311" s="77"/>
      <c r="M311" s="47">
        <f>SUM(M121+M135+M142+M146+M150+M154+M161+M171+M183+M184+M188+M192+M196+M205+M213+M214+M222+M227+M231+M235+M239+M243+M247+M253+M264+M272+M276+M284+M291++M300+M304+M309)</f>
        <v>4089863</v>
      </c>
      <c r="N311" s="79"/>
      <c r="O311" s="47">
        <f>SUM(O9:O309)</f>
        <v>1770642</v>
      </c>
      <c r="P311" s="31"/>
      <c r="Q311" s="41">
        <f>M311-J311</f>
        <v>1770642</v>
      </c>
      <c r="R311" s="41">
        <f>O311-Q311</f>
        <v>0</v>
      </c>
    </row>
    <row r="312" spans="1:16" s="25" customFormat="1" ht="86.25" customHeight="1">
      <c r="A312" s="17">
        <v>300</v>
      </c>
      <c r="B312" s="34"/>
      <c r="C312" s="49"/>
      <c r="D312" s="48"/>
      <c r="E312" s="48"/>
      <c r="F312" s="73" t="s">
        <v>257</v>
      </c>
      <c r="G312" s="74" t="s">
        <v>258</v>
      </c>
      <c r="H312" s="74" t="s">
        <v>324</v>
      </c>
      <c r="I312" s="108" t="s">
        <v>259</v>
      </c>
      <c r="J312" s="75" t="s">
        <v>326</v>
      </c>
      <c r="K312" s="77" t="s">
        <v>238</v>
      </c>
      <c r="L312" s="77"/>
      <c r="M312" s="75" t="s">
        <v>321</v>
      </c>
      <c r="N312" s="79"/>
      <c r="O312" s="47"/>
      <c r="P312" s="31"/>
    </row>
    <row r="313" spans="1:18" s="25" customFormat="1" ht="11.25">
      <c r="A313" s="17">
        <v>301</v>
      </c>
      <c r="B313" s="34"/>
      <c r="C313" s="258" t="s">
        <v>107</v>
      </c>
      <c r="D313" s="258"/>
      <c r="E313" s="258"/>
      <c r="F313" s="21">
        <f>F311-F211-F179</f>
        <v>2401753</v>
      </c>
      <c r="G313" s="21">
        <f>G311-G211-G179</f>
        <v>2751479</v>
      </c>
      <c r="H313" s="21">
        <f>H311-H211-H179</f>
        <v>3728822</v>
      </c>
      <c r="I313" s="31">
        <f>I311-I211-I179</f>
        <v>2099610</v>
      </c>
      <c r="J313" s="47">
        <f>J311-J214-J183</f>
        <v>1915061</v>
      </c>
      <c r="K313" s="77"/>
      <c r="L313" s="77"/>
      <c r="M313" s="47">
        <f>M311-M214-M184</f>
        <v>3617244</v>
      </c>
      <c r="N313" s="79"/>
      <c r="O313" s="47">
        <f>O311-O214-O184</f>
        <v>1702183</v>
      </c>
      <c r="P313" s="21"/>
      <c r="Q313" s="41">
        <f>M313-J313</f>
        <v>1702183</v>
      </c>
      <c r="R313" s="41">
        <f>O313-Q313</f>
        <v>0</v>
      </c>
    </row>
    <row r="314" spans="1:16" s="25" customFormat="1" ht="69" customHeight="1">
      <c r="A314" s="17"/>
      <c r="B314" s="34"/>
      <c r="C314" s="27" t="s">
        <v>104</v>
      </c>
      <c r="F314" s="21"/>
      <c r="G314" s="21"/>
      <c r="H314" s="107"/>
      <c r="I314" s="31"/>
      <c r="J314" s="75" t="s">
        <v>325</v>
      </c>
      <c r="K314" s="77"/>
      <c r="L314" s="77"/>
      <c r="M314" s="75" t="s">
        <v>322</v>
      </c>
      <c r="N314" s="79" t="s">
        <v>23</v>
      </c>
      <c r="O314" s="75" t="s">
        <v>323</v>
      </c>
      <c r="P314" s="21"/>
    </row>
    <row r="315" spans="1:18" s="25" customFormat="1" ht="11.25">
      <c r="A315" s="17">
        <v>302</v>
      </c>
      <c r="B315" s="34"/>
      <c r="C315" s="27"/>
      <c r="F315" s="21"/>
      <c r="G315" s="21"/>
      <c r="H315" s="107"/>
      <c r="I315" s="31"/>
      <c r="J315" s="75">
        <f>SUM(J214+J183)</f>
        <v>404160</v>
      </c>
      <c r="K315" s="77"/>
      <c r="L315" s="77"/>
      <c r="M315" s="75">
        <f>SUM(M214+M184)</f>
        <v>472619</v>
      </c>
      <c r="N315" s="79"/>
      <c r="O315" s="47">
        <f>SUM(O214,O184)</f>
        <v>68459</v>
      </c>
      <c r="P315" s="21"/>
      <c r="Q315" s="41">
        <f>M315-J315</f>
        <v>68459</v>
      </c>
      <c r="R315" s="41">
        <f>O315-Q315</f>
        <v>0</v>
      </c>
    </row>
    <row r="316" spans="1:16" s="25" customFormat="1" ht="11.25">
      <c r="A316" s="17">
        <v>303</v>
      </c>
      <c r="B316" s="34"/>
      <c r="C316" s="27" t="s">
        <v>109</v>
      </c>
      <c r="F316" s="21"/>
      <c r="G316" s="21"/>
      <c r="H316" s="21"/>
      <c r="I316" s="21"/>
      <c r="J316" s="21"/>
      <c r="K316" s="26"/>
      <c r="L316" s="26"/>
      <c r="M316" s="50"/>
      <c r="N316" s="21"/>
      <c r="O316" s="21"/>
      <c r="P316" s="21"/>
    </row>
    <row r="317" spans="1:16" s="25" customFormat="1" ht="11.25">
      <c r="A317" s="17">
        <v>304</v>
      </c>
      <c r="B317" s="34"/>
      <c r="C317" s="27" t="s">
        <v>106</v>
      </c>
      <c r="F317" s="21"/>
      <c r="G317" s="21"/>
      <c r="H317" s="21"/>
      <c r="I317" s="21"/>
      <c r="J317" s="21">
        <f>SUM(J315,J313,J116)</f>
        <v>7896169</v>
      </c>
      <c r="K317" s="26"/>
      <c r="L317" s="26"/>
      <c r="M317" s="21">
        <f>SUM(M315,M313,M116)</f>
        <v>12356786</v>
      </c>
      <c r="N317" s="21"/>
      <c r="O317" s="21">
        <f>SUM(O315,O313,N116)</f>
        <v>4460617</v>
      </c>
      <c r="P317" s="21"/>
    </row>
    <row r="318" spans="1:16" s="25" customFormat="1" ht="11.25">
      <c r="A318" s="17">
        <v>305</v>
      </c>
      <c r="B318" s="34"/>
      <c r="C318" s="27" t="s">
        <v>108</v>
      </c>
      <c r="F318" s="21"/>
      <c r="G318" s="21"/>
      <c r="H318" s="21"/>
      <c r="I318" s="21"/>
      <c r="J318" s="21">
        <f>'Budget v Actual Summaries'!J72</f>
        <v>7896169</v>
      </c>
      <c r="K318" s="26"/>
      <c r="L318" s="26"/>
      <c r="M318" s="21">
        <f>'Budget v Actual Summaries'!K72</f>
        <v>12382449</v>
      </c>
      <c r="N318" s="21"/>
      <c r="O318" s="21">
        <f>'Budget v Actual Summaries'!M72</f>
        <v>4486280</v>
      </c>
      <c r="P318" s="21"/>
    </row>
    <row r="319" spans="1:16" s="25" customFormat="1" ht="11.25">
      <c r="A319" s="17">
        <v>306</v>
      </c>
      <c r="B319" s="34"/>
      <c r="C319" s="27" t="s">
        <v>110</v>
      </c>
      <c r="F319" s="21"/>
      <c r="G319" s="21"/>
      <c r="H319" s="21"/>
      <c r="I319" s="21"/>
      <c r="J319" s="21">
        <f>J317-J318</f>
        <v>0</v>
      </c>
      <c r="K319" s="26"/>
      <c r="L319" s="26"/>
      <c r="M319" s="21">
        <f>M317-M318</f>
        <v>-25663</v>
      </c>
      <c r="N319" s="21"/>
      <c r="O319" s="21">
        <f>O317-O318</f>
        <v>-25663</v>
      </c>
      <c r="P319" s="21"/>
    </row>
    <row r="320" spans="1:17" s="25" customFormat="1" ht="11.25">
      <c r="A320" s="17">
        <v>307</v>
      </c>
      <c r="B320" s="34" t="s">
        <v>23</v>
      </c>
      <c r="C320" s="27" t="s">
        <v>16</v>
      </c>
      <c r="F320" s="21"/>
      <c r="G320" s="21"/>
      <c r="H320" s="21"/>
      <c r="I320" s="21"/>
      <c r="J320" s="21"/>
      <c r="K320" s="26"/>
      <c r="L320" s="26"/>
      <c r="M320" s="21"/>
      <c r="N320" s="21"/>
      <c r="O320" s="21"/>
      <c r="P320" s="21"/>
      <c r="Q320" s="25" t="s">
        <v>23</v>
      </c>
    </row>
    <row r="321" spans="1:16" s="25" customFormat="1" ht="11.25">
      <c r="A321" s="17">
        <v>308</v>
      </c>
      <c r="B321" s="34"/>
      <c r="C321" s="264" t="s">
        <v>213</v>
      </c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6"/>
      <c r="P321" s="21"/>
    </row>
    <row r="322" spans="1:16" s="25" customFormat="1" ht="11.25">
      <c r="A322" s="17">
        <v>309</v>
      </c>
      <c r="B322" s="27"/>
      <c r="C322" s="27" t="s">
        <v>17</v>
      </c>
      <c r="F322" s="21"/>
      <c r="G322" s="21"/>
      <c r="H322" s="21"/>
      <c r="I322" s="21"/>
      <c r="J322" s="21"/>
      <c r="K322" s="26"/>
      <c r="L322" s="26"/>
      <c r="M322" s="21"/>
      <c r="N322" s="21"/>
      <c r="O322" s="21"/>
      <c r="P322" s="21"/>
    </row>
    <row r="323" spans="1:16" s="25" customFormat="1" ht="11.25">
      <c r="A323" s="17">
        <v>310</v>
      </c>
      <c r="B323" s="27"/>
      <c r="C323" s="27" t="s">
        <v>242</v>
      </c>
      <c r="K323" s="51"/>
      <c r="L323" s="51"/>
      <c r="N323" s="41"/>
      <c r="O323" s="41"/>
      <c r="P323" s="41"/>
    </row>
    <row r="324" spans="1:16" s="25" customFormat="1" ht="18.75" customHeight="1">
      <c r="A324" s="17">
        <v>311</v>
      </c>
      <c r="B324" s="27"/>
      <c r="C324" s="267" t="s">
        <v>300</v>
      </c>
      <c r="D324" s="267"/>
      <c r="E324" s="267"/>
      <c r="F324" s="267"/>
      <c r="G324" s="267"/>
      <c r="H324" s="267"/>
      <c r="I324" s="267"/>
      <c r="J324" s="267"/>
      <c r="K324" s="267"/>
      <c r="L324" s="267"/>
      <c r="M324" s="267"/>
      <c r="N324" s="52"/>
      <c r="O324" s="53"/>
      <c r="P324" s="53"/>
    </row>
    <row r="325" spans="1:16" s="25" customFormat="1" ht="11.25">
      <c r="A325" s="17">
        <v>312</v>
      </c>
      <c r="B325" s="27"/>
      <c r="C325" s="267" t="s">
        <v>171</v>
      </c>
      <c r="D325" s="267"/>
      <c r="E325" s="267"/>
      <c r="F325" s="267"/>
      <c r="G325" s="267"/>
      <c r="H325" s="267"/>
      <c r="I325" s="267"/>
      <c r="J325" s="267"/>
      <c r="K325" s="267"/>
      <c r="L325" s="267"/>
      <c r="M325" s="267"/>
      <c r="N325" s="52"/>
      <c r="O325" s="53"/>
      <c r="P325" s="53"/>
    </row>
    <row r="326" spans="1:3" ht="11.25">
      <c r="A326" s="17">
        <v>313</v>
      </c>
      <c r="C326" s="9" t="s">
        <v>241</v>
      </c>
    </row>
    <row r="327" spans="1:14" ht="11.25">
      <c r="A327" s="17">
        <v>314</v>
      </c>
      <c r="C327" s="268" t="s">
        <v>239</v>
      </c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</row>
    <row r="328" spans="1:3" ht="11.25">
      <c r="A328" s="17">
        <v>315</v>
      </c>
      <c r="C328" s="9" t="s">
        <v>240</v>
      </c>
    </row>
    <row r="329" spans="1:10" ht="11.25">
      <c r="A329" s="17">
        <v>316</v>
      </c>
      <c r="C329" s="261" t="s">
        <v>256</v>
      </c>
      <c r="D329" s="262"/>
      <c r="E329" s="262"/>
      <c r="F329" s="262"/>
      <c r="G329" s="262"/>
      <c r="H329" s="262"/>
      <c r="I329" s="263"/>
      <c r="J329" s="103"/>
    </row>
    <row r="330" spans="1:9" ht="11.25">
      <c r="A330" s="17">
        <v>316</v>
      </c>
      <c r="C330" s="261" t="s">
        <v>329</v>
      </c>
      <c r="D330" s="262"/>
      <c r="E330" s="262"/>
      <c r="F330" s="262"/>
      <c r="G330" s="262"/>
      <c r="H330" s="262"/>
      <c r="I330" s="263"/>
    </row>
  </sheetData>
  <mergeCells count="17">
    <mergeCell ref="P7:P8"/>
    <mergeCell ref="C330:I330"/>
    <mergeCell ref="C5:D5"/>
    <mergeCell ref="A2:B2"/>
    <mergeCell ref="A3:B3"/>
    <mergeCell ref="A4:B4"/>
    <mergeCell ref="A5:B5"/>
    <mergeCell ref="E6:H6"/>
    <mergeCell ref="K7:K8"/>
    <mergeCell ref="C311:E311"/>
    <mergeCell ref="C313:E313"/>
    <mergeCell ref="D116:E116"/>
    <mergeCell ref="C329:I329"/>
    <mergeCell ref="C321:O321"/>
    <mergeCell ref="C324:M324"/>
    <mergeCell ref="C325:M325"/>
    <mergeCell ref="C327:N327"/>
  </mergeCells>
  <printOptions/>
  <pageMargins left="0.6" right="0.22" top="1.1" bottom="0.75" header="0.44" footer="0.33"/>
  <pageSetup fitToHeight="4" horizontalDpi="600" verticalDpi="600" orientation="portrait" paperSize="3" scale="68" r:id="rId1"/>
  <headerFooter alignWithMargins="0">
    <oddHeader>&amp;C&amp;Z&amp;F&amp;RPage &amp;P</oddHeader>
    <oddFooter>&amp;Lgmm9385&amp;CPage &amp;P&amp;R&amp;T   &amp;D</oddFooter>
  </headerFooter>
  <rowBreaks count="3" manualBreakCount="3">
    <brk id="117" max="15" man="1"/>
    <brk id="215" max="15" man="1"/>
    <brk id="30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8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5.00390625" style="9" customWidth="1"/>
    <col min="2" max="2" width="7.125" style="9" bestFit="1" customWidth="1"/>
    <col min="3" max="3" width="8.625" style="9" customWidth="1"/>
    <col min="4" max="4" width="8.75390625" style="15" customWidth="1"/>
    <col min="5" max="5" width="30.375" style="15" customWidth="1"/>
    <col min="6" max="6" width="14.75390625" style="15" hidden="1" customWidth="1"/>
    <col min="7" max="8" width="13.75390625" style="15" hidden="1" customWidth="1"/>
    <col min="9" max="9" width="12.00390625" style="15" hidden="1" customWidth="1"/>
    <col min="10" max="10" width="4.25390625" style="13" customWidth="1"/>
    <col min="11" max="11" width="13.625" style="13" customWidth="1"/>
    <col min="12" max="12" width="12.375" style="15" customWidth="1"/>
    <col min="13" max="13" width="13.25390625" style="54" customWidth="1"/>
    <col min="14" max="14" width="12.875" style="55" customWidth="1"/>
    <col min="15" max="15" width="3.625" style="55" customWidth="1"/>
    <col min="16" max="18" width="11.375" style="15" customWidth="1"/>
    <col min="19" max="19" width="15.75390625" style="15" customWidth="1"/>
    <col min="20" max="20" width="11.125" style="15" bestFit="1" customWidth="1"/>
    <col min="21" max="16384" width="11.375" style="15" customWidth="1"/>
  </cols>
  <sheetData>
    <row r="1" spans="1:15" ht="15.75">
      <c r="A1" s="69" t="s">
        <v>243</v>
      </c>
      <c r="B1" s="10"/>
      <c r="C1" s="11"/>
      <c r="D1" s="12"/>
      <c r="E1" s="56" t="s">
        <v>24</v>
      </c>
      <c r="F1" s="57"/>
      <c r="G1" s="57"/>
      <c r="H1" s="57"/>
      <c r="I1" s="57"/>
      <c r="L1" s="12"/>
      <c r="M1" s="12"/>
      <c r="N1" s="14"/>
      <c r="O1" s="14"/>
    </row>
    <row r="2" spans="1:15" ht="15.75">
      <c r="A2" s="273"/>
      <c r="B2" s="274"/>
      <c r="C2" s="11" t="s">
        <v>209</v>
      </c>
      <c r="D2" s="12"/>
      <c r="E2" s="56" t="s">
        <v>19</v>
      </c>
      <c r="F2" s="57"/>
      <c r="G2" s="57"/>
      <c r="H2" s="57"/>
      <c r="I2" s="57"/>
      <c r="L2" s="12"/>
      <c r="M2" s="12"/>
      <c r="N2" s="14"/>
      <c r="O2" s="14"/>
    </row>
    <row r="3" spans="1:15" ht="15.75">
      <c r="A3" s="275"/>
      <c r="B3" s="276"/>
      <c r="C3" s="11" t="s">
        <v>208</v>
      </c>
      <c r="D3" s="12"/>
      <c r="E3" s="56" t="s">
        <v>18</v>
      </c>
      <c r="F3" s="57"/>
      <c r="G3" s="57"/>
      <c r="H3" s="57"/>
      <c r="I3" s="57"/>
      <c r="L3" s="12"/>
      <c r="M3" s="12"/>
      <c r="N3" s="14"/>
      <c r="O3" s="14"/>
    </row>
    <row r="4" spans="1:15" ht="24" customHeight="1">
      <c r="A4" s="277"/>
      <c r="B4" s="278"/>
      <c r="C4" s="11" t="s">
        <v>210</v>
      </c>
      <c r="D4" s="12"/>
      <c r="E4" s="56" t="s">
        <v>112</v>
      </c>
      <c r="F4" s="57"/>
      <c r="G4" s="57"/>
      <c r="H4" s="57"/>
      <c r="I4" s="57"/>
      <c r="L4" s="12"/>
      <c r="M4" s="12"/>
      <c r="N4" s="14"/>
      <c r="O4" s="14"/>
    </row>
    <row r="5" spans="1:15" ht="52.5" customHeight="1">
      <c r="A5" s="279"/>
      <c r="B5" s="280"/>
      <c r="C5" s="271" t="s">
        <v>244</v>
      </c>
      <c r="D5" s="272"/>
      <c r="E5" s="16"/>
      <c r="F5" s="16"/>
      <c r="L5" s="17"/>
      <c r="M5" s="17"/>
      <c r="N5" s="18"/>
      <c r="O5" s="18"/>
    </row>
    <row r="6" spans="1:20" ht="16.5" thickBot="1">
      <c r="A6" s="17"/>
      <c r="E6" s="281" t="s">
        <v>27</v>
      </c>
      <c r="F6" s="281"/>
      <c r="G6" s="281"/>
      <c r="H6" s="281"/>
      <c r="I6" s="17"/>
      <c r="M6" s="17"/>
      <c r="N6" s="18"/>
      <c r="O6" s="18"/>
      <c r="S6" s="92"/>
      <c r="T6" s="92"/>
    </row>
    <row r="7" spans="1:21" ht="12.75">
      <c r="A7" s="17" t="s">
        <v>20</v>
      </c>
      <c r="B7" s="17"/>
      <c r="F7" s="17">
        <v>2005</v>
      </c>
      <c r="G7" s="17">
        <v>2006</v>
      </c>
      <c r="H7" s="17">
        <v>2007</v>
      </c>
      <c r="I7" s="17">
        <v>2008</v>
      </c>
      <c r="J7" s="269" t="s">
        <v>104</v>
      </c>
      <c r="K7" s="66"/>
      <c r="L7" s="17">
        <v>2009</v>
      </c>
      <c r="M7" s="17" t="s">
        <v>164</v>
      </c>
      <c r="N7" s="19" t="s">
        <v>102</v>
      </c>
      <c r="O7" s="19"/>
      <c r="Q7" s="15">
        <v>2008</v>
      </c>
      <c r="R7" s="88"/>
      <c r="S7" s="94" t="s">
        <v>311</v>
      </c>
      <c r="T7" s="95"/>
      <c r="U7" s="90"/>
    </row>
    <row r="8" spans="1:21" ht="16.5" customHeight="1">
      <c r="A8" s="20" t="s">
        <v>21</v>
      </c>
      <c r="B8" s="20"/>
      <c r="F8" s="17" t="s">
        <v>22</v>
      </c>
      <c r="G8" s="17" t="s">
        <v>22</v>
      </c>
      <c r="H8" s="17" t="s">
        <v>22</v>
      </c>
      <c r="I8" s="17" t="s">
        <v>216</v>
      </c>
      <c r="J8" s="270"/>
      <c r="K8" s="67"/>
      <c r="L8" s="17" t="s">
        <v>13</v>
      </c>
      <c r="M8" s="17" t="s">
        <v>165</v>
      </c>
      <c r="N8" s="18" t="s">
        <v>231</v>
      </c>
      <c r="O8" s="18"/>
      <c r="P8" s="15" t="s">
        <v>310</v>
      </c>
      <c r="Q8" s="15" t="s">
        <v>216</v>
      </c>
      <c r="R8" s="88"/>
      <c r="S8" s="96" t="s">
        <v>310</v>
      </c>
      <c r="T8" s="97" t="s">
        <v>312</v>
      </c>
      <c r="U8" s="90"/>
    </row>
    <row r="9" spans="1:21" ht="20.25">
      <c r="A9" s="17">
        <v>1</v>
      </c>
      <c r="B9" s="20"/>
      <c r="C9" s="2" t="s">
        <v>235</v>
      </c>
      <c r="F9" s="21"/>
      <c r="G9" s="21"/>
      <c r="H9" s="21"/>
      <c r="I9" s="21"/>
      <c r="J9" s="22"/>
      <c r="K9" s="22"/>
      <c r="L9" s="21"/>
      <c r="M9" s="21"/>
      <c r="N9" s="21"/>
      <c r="O9" s="21"/>
      <c r="R9" s="88"/>
      <c r="S9" s="98">
        <v>56</v>
      </c>
      <c r="T9" s="99"/>
      <c r="U9" s="90"/>
    </row>
    <row r="10" spans="1:21" s="25" customFormat="1" ht="12.75">
      <c r="A10" s="17">
        <v>2</v>
      </c>
      <c r="B10" s="23">
        <f aca="true" t="shared" si="0" ref="B10:B73">IF(C10="",B9,VALUE(LEFT(C10,3)))</f>
        <v>560</v>
      </c>
      <c r="C10" s="24" t="s">
        <v>159</v>
      </c>
      <c r="F10" s="21"/>
      <c r="G10" s="21"/>
      <c r="H10" s="21"/>
      <c r="I10" s="21"/>
      <c r="J10" s="26"/>
      <c r="K10" s="26"/>
      <c r="L10" s="21"/>
      <c r="M10" s="21"/>
      <c r="N10" s="21"/>
      <c r="O10" s="21"/>
      <c r="P10" s="25">
        <v>560</v>
      </c>
      <c r="R10" s="89"/>
      <c r="S10" s="98">
        <v>560</v>
      </c>
      <c r="T10" s="99">
        <v>2379</v>
      </c>
      <c r="U10" s="91"/>
    </row>
    <row r="11" spans="1:21" s="25" customFormat="1" ht="12.75">
      <c r="A11" s="17">
        <v>3</v>
      </c>
      <c r="B11" s="23">
        <f t="shared" si="0"/>
        <v>560</v>
      </c>
      <c r="C11" s="27">
        <v>560000</v>
      </c>
      <c r="D11" s="25" t="s">
        <v>160</v>
      </c>
      <c r="F11" s="21">
        <v>145</v>
      </c>
      <c r="G11" s="21"/>
      <c r="H11" s="21">
        <v>4440</v>
      </c>
      <c r="I11" s="21"/>
      <c r="J11" s="28"/>
      <c r="K11" s="28"/>
      <c r="L11" s="21"/>
      <c r="M11" s="21"/>
      <c r="N11" s="21"/>
      <c r="O11" s="21"/>
      <c r="P11" s="25">
        <v>560</v>
      </c>
      <c r="R11" s="89"/>
      <c r="S11" s="98">
        <v>561</v>
      </c>
      <c r="T11" s="99">
        <v>0</v>
      </c>
      <c r="U11" s="91"/>
    </row>
    <row r="12" spans="1:21" s="25" customFormat="1" ht="12.75">
      <c r="A12" s="17">
        <v>4</v>
      </c>
      <c r="B12" s="23">
        <f t="shared" si="0"/>
        <v>560</v>
      </c>
      <c r="C12" s="27"/>
      <c r="E12" s="25" t="s">
        <v>217</v>
      </c>
      <c r="F12" s="21">
        <f>SUM(F11)</f>
        <v>145</v>
      </c>
      <c r="G12" s="21">
        <f>SUM(G11)</f>
        <v>0</v>
      </c>
      <c r="H12" s="21">
        <f>SUM(H11)</f>
        <v>4440</v>
      </c>
      <c r="I12" s="21">
        <v>0</v>
      </c>
      <c r="J12" s="26"/>
      <c r="K12" s="26"/>
      <c r="L12" s="21">
        <f>I12*1.035</f>
        <v>0</v>
      </c>
      <c r="M12" s="71">
        <f>L12-I12</f>
        <v>0</v>
      </c>
      <c r="N12" s="21"/>
      <c r="O12" s="21"/>
      <c r="P12" s="25">
        <v>560</v>
      </c>
      <c r="Q12" s="25">
        <v>0</v>
      </c>
      <c r="R12" s="89"/>
      <c r="S12" s="98">
        <v>562</v>
      </c>
      <c r="T12" s="99">
        <v>16749</v>
      </c>
      <c r="U12" s="91"/>
    </row>
    <row r="13" spans="1:21" s="25" customFormat="1" ht="12.75">
      <c r="A13" s="17">
        <v>5</v>
      </c>
      <c r="B13" s="23">
        <f t="shared" si="0"/>
        <v>560</v>
      </c>
      <c r="C13" s="27"/>
      <c r="F13" s="21"/>
      <c r="G13" s="21"/>
      <c r="H13" s="21"/>
      <c r="I13" s="21"/>
      <c r="J13" s="26"/>
      <c r="K13" s="26"/>
      <c r="L13" s="21"/>
      <c r="M13" s="21"/>
      <c r="N13" s="21"/>
      <c r="O13" s="21"/>
      <c r="P13" s="25">
        <v>560</v>
      </c>
      <c r="R13" s="89"/>
      <c r="S13" s="98">
        <v>563</v>
      </c>
      <c r="T13" s="99">
        <v>41600</v>
      </c>
      <c r="U13" s="91"/>
    </row>
    <row r="14" spans="1:21" s="25" customFormat="1" ht="12.75">
      <c r="A14" s="17">
        <v>6</v>
      </c>
      <c r="B14" s="23">
        <f t="shared" si="0"/>
        <v>561</v>
      </c>
      <c r="C14" s="24" t="s">
        <v>146</v>
      </c>
      <c r="F14" s="21"/>
      <c r="G14" s="21"/>
      <c r="H14" s="21"/>
      <c r="I14" s="21"/>
      <c r="J14" s="26"/>
      <c r="K14" s="26"/>
      <c r="L14" s="21"/>
      <c r="M14" s="21"/>
      <c r="N14" s="21"/>
      <c r="O14" s="21"/>
      <c r="P14" s="25">
        <v>561</v>
      </c>
      <c r="R14" s="89"/>
      <c r="S14" s="98">
        <v>566</v>
      </c>
      <c r="T14" s="99">
        <v>0</v>
      </c>
      <c r="U14" s="91"/>
    </row>
    <row r="15" spans="1:21" s="25" customFormat="1" ht="12.75">
      <c r="A15" s="17">
        <v>7</v>
      </c>
      <c r="B15" s="23">
        <f t="shared" si="0"/>
        <v>561</v>
      </c>
      <c r="C15" s="27">
        <v>561010</v>
      </c>
      <c r="D15" s="25" t="s">
        <v>147</v>
      </c>
      <c r="F15" s="21"/>
      <c r="G15" s="21"/>
      <c r="H15" s="21">
        <v>84</v>
      </c>
      <c r="I15" s="21"/>
      <c r="J15" s="28"/>
      <c r="K15" s="28"/>
      <c r="L15" s="21"/>
      <c r="M15" s="21"/>
      <c r="N15" s="21"/>
      <c r="O15" s="21"/>
      <c r="P15" s="25">
        <v>561</v>
      </c>
      <c r="R15" s="89"/>
      <c r="S15" s="98">
        <v>567</v>
      </c>
      <c r="T15" s="99">
        <v>0</v>
      </c>
      <c r="U15" s="91"/>
    </row>
    <row r="16" spans="1:21" s="25" customFormat="1" ht="12.75">
      <c r="A16" s="17">
        <v>8</v>
      </c>
      <c r="B16" s="23">
        <f t="shared" si="0"/>
        <v>561</v>
      </c>
      <c r="C16" s="27"/>
      <c r="E16" s="25" t="s">
        <v>217</v>
      </c>
      <c r="F16" s="21">
        <f>SUM(F15)</f>
        <v>0</v>
      </c>
      <c r="G16" s="21">
        <f>SUM(G15)</f>
        <v>0</v>
      </c>
      <c r="H16" s="21">
        <f>SUM(H15)</f>
        <v>84</v>
      </c>
      <c r="I16" s="21">
        <v>0</v>
      </c>
      <c r="J16" s="26"/>
      <c r="K16" s="26"/>
      <c r="L16" s="21">
        <f>I16*1.035</f>
        <v>0</v>
      </c>
      <c r="M16" s="71">
        <f>L16-I16</f>
        <v>0</v>
      </c>
      <c r="N16" s="21"/>
      <c r="O16" s="21"/>
      <c r="P16" s="25">
        <v>561</v>
      </c>
      <c r="Q16" s="25">
        <v>0</v>
      </c>
      <c r="R16" s="89"/>
      <c r="S16" s="98">
        <v>568</v>
      </c>
      <c r="T16" s="99">
        <v>211877</v>
      </c>
      <c r="U16" s="91"/>
    </row>
    <row r="17" spans="1:21" s="25" customFormat="1" ht="12.75">
      <c r="A17" s="17">
        <v>9</v>
      </c>
      <c r="B17" s="23">
        <f t="shared" si="0"/>
        <v>561</v>
      </c>
      <c r="C17" s="27"/>
      <c r="F17" s="21"/>
      <c r="G17" s="21"/>
      <c r="H17" s="21"/>
      <c r="I17" s="21"/>
      <c r="J17" s="26"/>
      <c r="K17" s="26"/>
      <c r="L17" s="21"/>
      <c r="M17" s="21"/>
      <c r="N17" s="21"/>
      <c r="O17" s="21"/>
      <c r="P17" s="25">
        <v>561</v>
      </c>
      <c r="R17" s="89"/>
      <c r="S17" s="98">
        <v>569</v>
      </c>
      <c r="T17" s="99">
        <v>176704</v>
      </c>
      <c r="U17" s="91"/>
    </row>
    <row r="18" spans="1:21" s="25" customFormat="1" ht="12.75">
      <c r="A18" s="17">
        <v>10</v>
      </c>
      <c r="B18" s="23">
        <f t="shared" si="0"/>
        <v>563</v>
      </c>
      <c r="C18" s="24" t="s">
        <v>81</v>
      </c>
      <c r="F18" s="21"/>
      <c r="G18" s="21"/>
      <c r="H18" s="21"/>
      <c r="I18" s="21"/>
      <c r="J18" s="26"/>
      <c r="K18" s="26"/>
      <c r="L18" s="21"/>
      <c r="M18" s="21"/>
      <c r="N18" s="21"/>
      <c r="O18" s="21"/>
      <c r="P18" s="25">
        <v>563</v>
      </c>
      <c r="R18" s="89"/>
      <c r="S18" s="98">
        <v>570</v>
      </c>
      <c r="T18" s="99">
        <v>384764</v>
      </c>
      <c r="U18" s="91"/>
    </row>
    <row r="19" spans="1:21" s="25" customFormat="1" ht="12.75">
      <c r="A19" s="17">
        <v>11</v>
      </c>
      <c r="B19" s="23">
        <f t="shared" si="0"/>
        <v>563</v>
      </c>
      <c r="C19" s="29">
        <v>563000</v>
      </c>
      <c r="D19" s="30" t="s">
        <v>82</v>
      </c>
      <c r="F19" s="21">
        <v>25863</v>
      </c>
      <c r="G19" s="31">
        <f>'[2]O&amp;M Cost By FERC'!$H$16</f>
        <v>20609</v>
      </c>
      <c r="H19" s="31">
        <v>14417</v>
      </c>
      <c r="I19" s="31"/>
      <c r="J19" s="28"/>
      <c r="K19" s="28"/>
      <c r="L19" s="31"/>
      <c r="M19" s="31"/>
      <c r="N19" s="31"/>
      <c r="O19" s="31"/>
      <c r="P19" s="25">
        <v>563</v>
      </c>
      <c r="R19" s="89"/>
      <c r="S19" s="98">
        <v>571</v>
      </c>
      <c r="T19" s="99">
        <v>1047929</v>
      </c>
      <c r="U19" s="91"/>
    </row>
    <row r="20" spans="1:21" s="25" customFormat="1" ht="12.75">
      <c r="A20" s="17">
        <v>12</v>
      </c>
      <c r="B20" s="23">
        <f t="shared" si="0"/>
        <v>563</v>
      </c>
      <c r="C20" s="27"/>
      <c r="E20" s="25" t="s">
        <v>217</v>
      </c>
      <c r="F20" s="21">
        <f>SUM(F19)</f>
        <v>25863</v>
      </c>
      <c r="G20" s="21">
        <f>SUM(G19)</f>
        <v>20609</v>
      </c>
      <c r="H20" s="21">
        <f>SUM(H19)</f>
        <v>14417</v>
      </c>
      <c r="I20" s="31">
        <v>41600</v>
      </c>
      <c r="J20" s="28"/>
      <c r="K20" s="28"/>
      <c r="L20" s="21">
        <f>I20*1.035</f>
        <v>43056</v>
      </c>
      <c r="M20" s="71">
        <f>L20-I20</f>
        <v>1456</v>
      </c>
      <c r="N20" s="31"/>
      <c r="O20" s="31"/>
      <c r="P20" s="25">
        <v>563</v>
      </c>
      <c r="Q20" s="25">
        <v>41600</v>
      </c>
      <c r="R20" s="89"/>
      <c r="S20" s="98">
        <v>572</v>
      </c>
      <c r="T20" s="99">
        <v>0</v>
      </c>
      <c r="U20" s="91"/>
    </row>
    <row r="21" spans="1:21" s="25" customFormat="1" ht="12.75">
      <c r="A21" s="17">
        <v>13</v>
      </c>
      <c r="B21" s="23">
        <f t="shared" si="0"/>
        <v>563</v>
      </c>
      <c r="C21" s="27"/>
      <c r="F21" s="21"/>
      <c r="G21" s="31"/>
      <c r="H21" s="31"/>
      <c r="I21" s="31"/>
      <c r="J21" s="28"/>
      <c r="K21" s="28"/>
      <c r="L21" s="31"/>
      <c r="M21" s="31"/>
      <c r="N21" s="31"/>
      <c r="O21" s="31"/>
      <c r="P21" s="25">
        <v>563</v>
      </c>
      <c r="R21" s="89"/>
      <c r="S21" s="98">
        <v>573</v>
      </c>
      <c r="T21" s="99">
        <v>0</v>
      </c>
      <c r="U21" s="91"/>
    </row>
    <row r="22" spans="1:21" s="25" customFormat="1" ht="12.75">
      <c r="A22" s="17">
        <v>14</v>
      </c>
      <c r="B22" s="23">
        <f t="shared" si="0"/>
        <v>566</v>
      </c>
      <c r="C22" s="24" t="s">
        <v>161</v>
      </c>
      <c r="F22" s="21"/>
      <c r="G22" s="31"/>
      <c r="H22" s="31"/>
      <c r="I22" s="31"/>
      <c r="J22" s="28"/>
      <c r="K22" s="28"/>
      <c r="L22" s="31"/>
      <c r="M22" s="31"/>
      <c r="N22" s="31"/>
      <c r="O22" s="31"/>
      <c r="P22" s="25">
        <v>566</v>
      </c>
      <c r="R22" s="89"/>
      <c r="S22" s="98">
        <v>580</v>
      </c>
      <c r="T22" s="99">
        <v>0</v>
      </c>
      <c r="U22" s="91"/>
    </row>
    <row r="23" spans="1:21" s="25" customFormat="1" ht="12.75">
      <c r="A23" s="17">
        <v>15</v>
      </c>
      <c r="B23" s="23">
        <f t="shared" si="0"/>
        <v>566</v>
      </c>
      <c r="C23" s="27">
        <v>566000</v>
      </c>
      <c r="D23" s="25" t="s">
        <v>162</v>
      </c>
      <c r="F23" s="21">
        <v>0</v>
      </c>
      <c r="G23" s="31">
        <v>115</v>
      </c>
      <c r="H23" s="31">
        <v>500</v>
      </c>
      <c r="I23" s="31"/>
      <c r="J23" s="28"/>
      <c r="K23" s="28"/>
      <c r="L23" s="31"/>
      <c r="M23" s="31"/>
      <c r="N23" s="31"/>
      <c r="O23" s="31"/>
      <c r="P23" s="25">
        <v>566</v>
      </c>
      <c r="R23" s="89"/>
      <c r="S23" s="98">
        <v>582</v>
      </c>
      <c r="T23" s="99">
        <v>11700</v>
      </c>
      <c r="U23" s="91"/>
    </row>
    <row r="24" spans="1:21" s="25" customFormat="1" ht="12.75">
      <c r="A24" s="17">
        <v>16</v>
      </c>
      <c r="B24" s="23">
        <f t="shared" si="0"/>
        <v>566</v>
      </c>
      <c r="C24" s="27"/>
      <c r="E24" s="25" t="s">
        <v>217</v>
      </c>
      <c r="F24" s="21">
        <f>SUM(F23)</f>
        <v>0</v>
      </c>
      <c r="G24" s="21">
        <f>SUM(G23)</f>
        <v>115</v>
      </c>
      <c r="H24" s="21">
        <f>SUM(H23)</f>
        <v>500</v>
      </c>
      <c r="I24" s="31">
        <v>0</v>
      </c>
      <c r="J24" s="28"/>
      <c r="K24" s="28"/>
      <c r="L24" s="21">
        <f>I24*1.035</f>
        <v>0</v>
      </c>
      <c r="M24" s="71">
        <f>L24-I24</f>
        <v>0</v>
      </c>
      <c r="N24" s="31"/>
      <c r="O24" s="31"/>
      <c r="P24" s="25">
        <v>566</v>
      </c>
      <c r="Q24" s="25">
        <v>0</v>
      </c>
      <c r="R24" s="89"/>
      <c r="S24" s="98">
        <v>583</v>
      </c>
      <c r="T24" s="99">
        <v>356328</v>
      </c>
      <c r="U24" s="91"/>
    </row>
    <row r="25" spans="1:21" s="25" customFormat="1" ht="12.75">
      <c r="A25" s="17">
        <v>17</v>
      </c>
      <c r="B25" s="23">
        <f t="shared" si="0"/>
        <v>566</v>
      </c>
      <c r="C25" s="27"/>
      <c r="F25" s="21"/>
      <c r="G25" s="31"/>
      <c r="H25" s="31"/>
      <c r="I25" s="31"/>
      <c r="J25" s="28"/>
      <c r="K25" s="28"/>
      <c r="L25" s="31"/>
      <c r="M25" s="31"/>
      <c r="N25" s="31"/>
      <c r="O25" s="31"/>
      <c r="P25" s="25">
        <v>566</v>
      </c>
      <c r="R25" s="89"/>
      <c r="S25" s="98">
        <v>584</v>
      </c>
      <c r="T25" s="99">
        <v>0</v>
      </c>
      <c r="U25" s="91"/>
    </row>
    <row r="26" spans="1:21" s="25" customFormat="1" ht="12.75">
      <c r="A26" s="17">
        <v>18</v>
      </c>
      <c r="B26" s="23">
        <f t="shared" si="0"/>
        <v>568</v>
      </c>
      <c r="C26" s="24" t="s">
        <v>83</v>
      </c>
      <c r="F26" s="21"/>
      <c r="G26" s="31"/>
      <c r="H26" s="31"/>
      <c r="I26" s="31"/>
      <c r="J26" s="28"/>
      <c r="K26" s="28"/>
      <c r="L26" s="31"/>
      <c r="M26" s="31"/>
      <c r="N26" s="31"/>
      <c r="O26" s="31"/>
      <c r="P26" s="25">
        <v>568</v>
      </c>
      <c r="R26" s="89"/>
      <c r="S26" s="98">
        <v>585</v>
      </c>
      <c r="T26" s="99">
        <v>0</v>
      </c>
      <c r="U26" s="91"/>
    </row>
    <row r="27" spans="1:21" s="25" customFormat="1" ht="12.75">
      <c r="A27" s="17">
        <v>19</v>
      </c>
      <c r="B27" s="23">
        <f t="shared" si="0"/>
        <v>568</v>
      </c>
      <c r="C27" s="29">
        <v>568000</v>
      </c>
      <c r="D27" s="30" t="s">
        <v>84</v>
      </c>
      <c r="F27" s="21">
        <v>98725</v>
      </c>
      <c r="G27" s="31">
        <v>94380</v>
      </c>
      <c r="H27" s="31">
        <v>144353</v>
      </c>
      <c r="I27" s="31"/>
      <c r="J27" s="28"/>
      <c r="K27" s="28"/>
      <c r="L27" s="31"/>
      <c r="M27" s="31"/>
      <c r="N27" s="31"/>
      <c r="O27" s="31"/>
      <c r="P27" s="25">
        <v>568</v>
      </c>
      <c r="R27" s="89"/>
      <c r="S27" s="98">
        <v>586</v>
      </c>
      <c r="T27" s="99">
        <v>3423</v>
      </c>
      <c r="U27" s="91"/>
    </row>
    <row r="28" spans="1:21" s="25" customFormat="1" ht="12.75">
      <c r="A28" s="17">
        <v>20</v>
      </c>
      <c r="B28" s="23">
        <f t="shared" si="0"/>
        <v>568</v>
      </c>
      <c r="C28" s="29"/>
      <c r="D28" s="30"/>
      <c r="E28" s="25" t="s">
        <v>217</v>
      </c>
      <c r="F28" s="21">
        <f>SUM(F27)</f>
        <v>98725</v>
      </c>
      <c r="G28" s="21">
        <f>SUM(G27)</f>
        <v>94380</v>
      </c>
      <c r="H28" s="21">
        <f>SUM(H27)</f>
        <v>144353</v>
      </c>
      <c r="I28" s="31">
        <v>167839</v>
      </c>
      <c r="J28" s="28"/>
      <c r="K28" s="28"/>
      <c r="L28" s="31">
        <v>245955</v>
      </c>
      <c r="M28" s="71">
        <f>L28-I28</f>
        <v>78116</v>
      </c>
      <c r="N28" s="31"/>
      <c r="O28" s="31"/>
      <c r="P28" s="25">
        <v>568</v>
      </c>
      <c r="Q28" s="25">
        <v>167839</v>
      </c>
      <c r="R28" s="89"/>
      <c r="S28" s="98">
        <v>587</v>
      </c>
      <c r="T28" s="99">
        <v>0</v>
      </c>
      <c r="U28" s="91"/>
    </row>
    <row r="29" spans="1:21" s="25" customFormat="1" ht="12.75">
      <c r="A29" s="17">
        <v>21</v>
      </c>
      <c r="B29" s="23">
        <f t="shared" si="0"/>
        <v>568</v>
      </c>
      <c r="C29" s="29"/>
      <c r="D29" s="30"/>
      <c r="F29" s="21"/>
      <c r="G29" s="31"/>
      <c r="H29" s="31"/>
      <c r="I29" s="31"/>
      <c r="J29" s="28"/>
      <c r="K29" s="28"/>
      <c r="L29" s="31"/>
      <c r="M29" s="31"/>
      <c r="N29" s="31"/>
      <c r="O29" s="31"/>
      <c r="P29" s="25">
        <v>568</v>
      </c>
      <c r="R29" s="89"/>
      <c r="S29" s="98">
        <v>588</v>
      </c>
      <c r="T29" s="99">
        <v>6000</v>
      </c>
      <c r="U29" s="91"/>
    </row>
    <row r="30" spans="1:21" s="25" customFormat="1" ht="12.75">
      <c r="A30" s="17">
        <v>22</v>
      </c>
      <c r="B30" s="23">
        <f t="shared" si="0"/>
        <v>571</v>
      </c>
      <c r="C30" s="24" t="s">
        <v>85</v>
      </c>
      <c r="F30" s="21"/>
      <c r="G30" s="31"/>
      <c r="H30" s="31"/>
      <c r="I30" s="31"/>
      <c r="J30" s="28"/>
      <c r="K30" s="28"/>
      <c r="L30" s="31"/>
      <c r="M30" s="31"/>
      <c r="N30" s="31"/>
      <c r="O30" s="31"/>
      <c r="P30" s="25">
        <v>571</v>
      </c>
      <c r="R30" s="89"/>
      <c r="S30" s="98">
        <v>589</v>
      </c>
      <c r="T30" s="99">
        <v>0</v>
      </c>
      <c r="U30" s="91"/>
    </row>
    <row r="31" spans="1:21" s="25" customFormat="1" ht="12.75">
      <c r="A31" s="17">
        <v>23</v>
      </c>
      <c r="B31" s="23">
        <f t="shared" si="0"/>
        <v>571</v>
      </c>
      <c r="C31" s="27">
        <v>571010</v>
      </c>
      <c r="D31" s="25" t="s">
        <v>163</v>
      </c>
      <c r="F31" s="21">
        <v>1146</v>
      </c>
      <c r="G31" s="31"/>
      <c r="H31" s="31"/>
      <c r="I31" s="31"/>
      <c r="J31" s="28"/>
      <c r="K31" s="28"/>
      <c r="L31" s="31"/>
      <c r="M31" s="31"/>
      <c r="N31" s="31"/>
      <c r="O31" s="31"/>
      <c r="P31" s="25">
        <v>571</v>
      </c>
      <c r="R31" s="89"/>
      <c r="S31" s="98">
        <v>590</v>
      </c>
      <c r="T31" s="99">
        <v>861669</v>
      </c>
      <c r="U31" s="91"/>
    </row>
    <row r="32" spans="1:21" s="25" customFormat="1" ht="12.75">
      <c r="A32" s="17">
        <v>24</v>
      </c>
      <c r="B32" s="23">
        <f t="shared" si="0"/>
        <v>571</v>
      </c>
      <c r="C32" s="29">
        <v>571031</v>
      </c>
      <c r="D32" s="30" t="s">
        <v>86</v>
      </c>
      <c r="F32" s="21">
        <v>491159</v>
      </c>
      <c r="G32" s="31">
        <v>621916</v>
      </c>
      <c r="H32" s="31">
        <v>535802</v>
      </c>
      <c r="I32" s="31"/>
      <c r="J32" s="28"/>
      <c r="K32" s="28"/>
      <c r="L32" s="31"/>
      <c r="M32" s="31"/>
      <c r="N32" s="31"/>
      <c r="O32" s="31"/>
      <c r="P32" s="25">
        <v>571</v>
      </c>
      <c r="R32" s="89"/>
      <c r="S32" s="98">
        <v>591</v>
      </c>
      <c r="T32" s="99">
        <v>57874</v>
      </c>
      <c r="U32" s="91"/>
    </row>
    <row r="33" spans="1:21" s="25" customFormat="1" ht="12.75">
      <c r="A33" s="17">
        <v>25</v>
      </c>
      <c r="B33" s="23">
        <f t="shared" si="0"/>
        <v>571</v>
      </c>
      <c r="C33" s="29">
        <v>571032</v>
      </c>
      <c r="D33" s="30" t="s">
        <v>87</v>
      </c>
      <c r="F33" s="21">
        <v>150681</v>
      </c>
      <c r="G33" s="31">
        <v>172436</v>
      </c>
      <c r="H33" s="31">
        <v>156699</v>
      </c>
      <c r="I33" s="31"/>
      <c r="J33" s="28"/>
      <c r="K33" s="28"/>
      <c r="L33" s="31"/>
      <c r="M33" s="31"/>
      <c r="N33" s="31"/>
      <c r="O33" s="31"/>
      <c r="P33" s="25">
        <v>571</v>
      </c>
      <c r="R33" s="89"/>
      <c r="S33" s="98">
        <v>592</v>
      </c>
      <c r="T33" s="99">
        <v>266718</v>
      </c>
      <c r="U33" s="91"/>
    </row>
    <row r="34" spans="1:21" s="25" customFormat="1" ht="12.75">
      <c r="A34" s="17">
        <v>26</v>
      </c>
      <c r="B34" s="23">
        <f t="shared" si="0"/>
        <v>571</v>
      </c>
      <c r="C34" s="29">
        <v>571033</v>
      </c>
      <c r="D34" s="30" t="s">
        <v>88</v>
      </c>
      <c r="F34" s="21">
        <v>0</v>
      </c>
      <c r="G34" s="31">
        <v>0</v>
      </c>
      <c r="H34" s="31">
        <v>0</v>
      </c>
      <c r="I34" s="31"/>
      <c r="J34" s="28"/>
      <c r="K34" s="28"/>
      <c r="L34" s="31"/>
      <c r="M34" s="31"/>
      <c r="N34" s="31"/>
      <c r="O34" s="31"/>
      <c r="P34" s="25">
        <v>571</v>
      </c>
      <c r="R34" s="89"/>
      <c r="S34" s="98">
        <v>593</v>
      </c>
      <c r="T34" s="99">
        <v>3761258</v>
      </c>
      <c r="U34" s="91"/>
    </row>
    <row r="35" spans="1:21" s="25" customFormat="1" ht="12.75">
      <c r="A35" s="17">
        <v>27</v>
      </c>
      <c r="B35" s="23">
        <f t="shared" si="0"/>
        <v>571</v>
      </c>
      <c r="C35" s="29">
        <v>571034</v>
      </c>
      <c r="D35" s="30" t="s">
        <v>89</v>
      </c>
      <c r="F35" s="21">
        <v>5310</v>
      </c>
      <c r="G35" s="31">
        <f>'[1]O&amp;M Cost By FERC'!H42</f>
        <v>658</v>
      </c>
      <c r="H35" s="31">
        <v>4824</v>
      </c>
      <c r="I35" s="31"/>
      <c r="J35" s="28"/>
      <c r="K35" s="28"/>
      <c r="L35" s="31"/>
      <c r="M35" s="31"/>
      <c r="N35" s="31"/>
      <c r="O35" s="31"/>
      <c r="P35" s="25">
        <v>571</v>
      </c>
      <c r="R35" s="89"/>
      <c r="S35" s="98">
        <v>594</v>
      </c>
      <c r="T35" s="99">
        <v>20534</v>
      </c>
      <c r="U35" s="91"/>
    </row>
    <row r="36" spans="1:21" s="25" customFormat="1" ht="12.75">
      <c r="A36" s="17">
        <v>28</v>
      </c>
      <c r="B36" s="23">
        <f t="shared" si="0"/>
        <v>571</v>
      </c>
      <c r="C36" s="27"/>
      <c r="E36" s="25" t="s">
        <v>217</v>
      </c>
      <c r="F36" s="21">
        <f>SUM(F31:F35)</f>
        <v>648296</v>
      </c>
      <c r="G36" s="21">
        <f>SUM(G31:G35)</f>
        <v>795010</v>
      </c>
      <c r="H36" s="21">
        <f>SUM(H31:H35)</f>
        <v>697325</v>
      </c>
      <c r="I36" s="31">
        <v>691600</v>
      </c>
      <c r="J36" s="28"/>
      <c r="K36" s="28"/>
      <c r="L36" s="31">
        <v>1013485</v>
      </c>
      <c r="M36" s="71">
        <f>L36-I36</f>
        <v>321885</v>
      </c>
      <c r="N36" s="31"/>
      <c r="O36" s="31"/>
      <c r="P36" s="25">
        <v>571</v>
      </c>
      <c r="Q36" s="25">
        <v>691600</v>
      </c>
      <c r="R36" s="89"/>
      <c r="S36" s="98">
        <v>595</v>
      </c>
      <c r="T36" s="99">
        <v>112985</v>
      </c>
      <c r="U36" s="91"/>
    </row>
    <row r="37" spans="1:21" s="25" customFormat="1" ht="12.75">
      <c r="A37" s="17">
        <v>29</v>
      </c>
      <c r="B37" s="23">
        <f t="shared" si="0"/>
        <v>571</v>
      </c>
      <c r="C37" s="27"/>
      <c r="F37" s="21"/>
      <c r="G37" s="21"/>
      <c r="H37" s="21"/>
      <c r="I37" s="31"/>
      <c r="J37" s="28"/>
      <c r="K37" s="28"/>
      <c r="L37" s="31"/>
      <c r="M37" s="31"/>
      <c r="N37" s="31"/>
      <c r="O37" s="31"/>
      <c r="P37" s="25">
        <v>571</v>
      </c>
      <c r="R37" s="89"/>
      <c r="S37" s="98">
        <v>596</v>
      </c>
      <c r="T37" s="99">
        <v>0</v>
      </c>
      <c r="U37" s="91"/>
    </row>
    <row r="38" spans="1:21" s="25" customFormat="1" ht="12.75">
      <c r="A38" s="17">
        <v>30</v>
      </c>
      <c r="B38" s="23">
        <f t="shared" si="0"/>
        <v>573</v>
      </c>
      <c r="C38" s="24" t="s">
        <v>90</v>
      </c>
      <c r="F38" s="21"/>
      <c r="G38" s="31"/>
      <c r="H38" s="31"/>
      <c r="I38" s="31"/>
      <c r="J38" s="28"/>
      <c r="K38" s="28"/>
      <c r="L38" s="31"/>
      <c r="M38" s="31"/>
      <c r="N38" s="31"/>
      <c r="O38" s="31"/>
      <c r="P38" s="25">
        <v>573</v>
      </c>
      <c r="R38" s="89"/>
      <c r="S38" s="98">
        <v>597</v>
      </c>
      <c r="T38" s="99">
        <v>1711</v>
      </c>
      <c r="U38" s="91"/>
    </row>
    <row r="39" spans="1:21" s="25" customFormat="1" ht="12.75">
      <c r="A39" s="17">
        <v>31</v>
      </c>
      <c r="B39" s="23">
        <f t="shared" si="0"/>
        <v>573</v>
      </c>
      <c r="C39" s="29">
        <v>573000</v>
      </c>
      <c r="D39" s="30" t="s">
        <v>91</v>
      </c>
      <c r="F39" s="21">
        <v>95557</v>
      </c>
      <c r="G39" s="31">
        <f>'[2]O&amp;M Cost By FERC'!$H$45</f>
        <v>0</v>
      </c>
      <c r="H39" s="31">
        <v>0</v>
      </c>
      <c r="I39" s="31"/>
      <c r="J39" s="28"/>
      <c r="K39" s="28"/>
      <c r="L39" s="31"/>
      <c r="M39" s="31"/>
      <c r="N39" s="31"/>
      <c r="O39" s="31"/>
      <c r="P39" s="25">
        <v>573</v>
      </c>
      <c r="R39" s="89"/>
      <c r="S39" s="98">
        <v>598</v>
      </c>
      <c r="T39" s="99">
        <v>0</v>
      </c>
      <c r="U39" s="91"/>
    </row>
    <row r="40" spans="1:21" s="25" customFormat="1" ht="12.75">
      <c r="A40" s="17">
        <v>32</v>
      </c>
      <c r="B40" s="23">
        <f t="shared" si="0"/>
        <v>573</v>
      </c>
      <c r="C40" s="27"/>
      <c r="E40" s="25" t="s">
        <v>217</v>
      </c>
      <c r="F40" s="21">
        <f>SUM(F39)</f>
        <v>95557</v>
      </c>
      <c r="G40" s="21">
        <f>SUM(G39)</f>
        <v>0</v>
      </c>
      <c r="H40" s="21">
        <f>SUM(H39)</f>
        <v>0</v>
      </c>
      <c r="I40" s="31">
        <v>0</v>
      </c>
      <c r="J40" s="28"/>
      <c r="K40" s="28"/>
      <c r="L40" s="21">
        <f>I40*1.035</f>
        <v>0</v>
      </c>
      <c r="M40" s="71">
        <f>L40-I40</f>
        <v>0</v>
      </c>
      <c r="N40" s="31"/>
      <c r="O40" s="31"/>
      <c r="P40" s="25">
        <v>573</v>
      </c>
      <c r="Q40" s="25">
        <v>0</v>
      </c>
      <c r="R40" s="89"/>
      <c r="S40" s="98">
        <v>885</v>
      </c>
      <c r="T40" s="99">
        <v>23671</v>
      </c>
      <c r="U40" s="91"/>
    </row>
    <row r="41" spans="1:21" s="25" customFormat="1" ht="12.75">
      <c r="A41" s="17">
        <v>33</v>
      </c>
      <c r="B41" s="23">
        <f t="shared" si="0"/>
        <v>573</v>
      </c>
      <c r="C41" s="27"/>
      <c r="F41" s="21"/>
      <c r="G41" s="21"/>
      <c r="H41" s="21"/>
      <c r="I41" s="31"/>
      <c r="J41" s="28"/>
      <c r="K41" s="28"/>
      <c r="L41" s="31"/>
      <c r="M41" s="31"/>
      <c r="N41" s="31"/>
      <c r="O41" s="31"/>
      <c r="P41" s="25">
        <v>573</v>
      </c>
      <c r="R41" s="89"/>
      <c r="S41" s="98">
        <v>887</v>
      </c>
      <c r="T41" s="99">
        <v>105000</v>
      </c>
      <c r="U41" s="91"/>
    </row>
    <row r="42" spans="1:21" s="25" customFormat="1" ht="12.75">
      <c r="A42" s="17">
        <v>34</v>
      </c>
      <c r="B42" s="23">
        <f t="shared" si="0"/>
        <v>580</v>
      </c>
      <c r="C42" s="24">
        <v>580</v>
      </c>
      <c r="F42" s="21"/>
      <c r="G42" s="21"/>
      <c r="H42" s="21"/>
      <c r="I42" s="31"/>
      <c r="J42" s="28"/>
      <c r="K42" s="28"/>
      <c r="L42" s="31"/>
      <c r="M42" s="31"/>
      <c r="N42" s="31"/>
      <c r="O42" s="31"/>
      <c r="P42" s="25">
        <v>580</v>
      </c>
      <c r="R42" s="89"/>
      <c r="S42" s="98">
        <v>921</v>
      </c>
      <c r="T42" s="99">
        <v>0</v>
      </c>
      <c r="U42" s="91"/>
    </row>
    <row r="43" spans="1:21" s="25" customFormat="1" ht="12.75">
      <c r="A43" s="17">
        <v>35</v>
      </c>
      <c r="B43" s="23">
        <f t="shared" si="0"/>
        <v>580</v>
      </c>
      <c r="C43" s="27">
        <v>580000</v>
      </c>
      <c r="F43" s="21"/>
      <c r="G43" s="21">
        <v>10</v>
      </c>
      <c r="H43" s="21"/>
      <c r="I43" s="31"/>
      <c r="J43" s="28"/>
      <c r="K43" s="28"/>
      <c r="L43" s="31"/>
      <c r="M43" s="31"/>
      <c r="N43" s="31"/>
      <c r="O43" s="31"/>
      <c r="P43" s="25">
        <v>580</v>
      </c>
      <c r="R43" s="89"/>
      <c r="S43" s="98">
        <v>923</v>
      </c>
      <c r="T43" s="99">
        <v>0</v>
      </c>
      <c r="U43" s="91"/>
    </row>
    <row r="44" spans="1:21" s="25" customFormat="1" ht="12.75">
      <c r="A44" s="17">
        <v>36</v>
      </c>
      <c r="B44" s="23">
        <f t="shared" si="0"/>
        <v>580</v>
      </c>
      <c r="C44" s="27"/>
      <c r="E44" s="25" t="s">
        <v>217</v>
      </c>
      <c r="F44" s="21">
        <f>SUM(F43)</f>
        <v>0</v>
      </c>
      <c r="G44" s="21">
        <f>SUM(G43)</f>
        <v>10</v>
      </c>
      <c r="H44" s="21">
        <f>SUM(H43)</f>
        <v>0</v>
      </c>
      <c r="I44" s="31">
        <v>0</v>
      </c>
      <c r="J44" s="28"/>
      <c r="K44" s="28"/>
      <c r="L44" s="21">
        <f>I44*1.035</f>
        <v>0</v>
      </c>
      <c r="M44" s="71">
        <f>L44-I44</f>
        <v>0</v>
      </c>
      <c r="N44" s="31"/>
      <c r="O44" s="31"/>
      <c r="P44" s="25">
        <v>580</v>
      </c>
      <c r="Q44" s="25">
        <v>0</v>
      </c>
      <c r="R44" s="89"/>
      <c r="S44" s="98">
        <v>925</v>
      </c>
      <c r="T44" s="99">
        <v>0</v>
      </c>
      <c r="U44" s="91"/>
    </row>
    <row r="45" spans="1:21" s="25" customFormat="1" ht="12.75">
      <c r="A45" s="17">
        <v>37</v>
      </c>
      <c r="B45" s="23">
        <f t="shared" si="0"/>
        <v>580</v>
      </c>
      <c r="C45" s="27"/>
      <c r="F45" s="21"/>
      <c r="G45" s="21"/>
      <c r="H45" s="21"/>
      <c r="I45" s="31"/>
      <c r="J45" s="28"/>
      <c r="K45" s="28"/>
      <c r="L45" s="31"/>
      <c r="M45" s="31"/>
      <c r="N45" s="31"/>
      <c r="O45" s="31"/>
      <c r="P45" s="25">
        <v>580</v>
      </c>
      <c r="R45" s="89"/>
      <c r="S45" s="98">
        <v>926</v>
      </c>
      <c r="T45" s="99">
        <v>0</v>
      </c>
      <c r="U45" s="91"/>
    </row>
    <row r="46" spans="1:21" s="25" customFormat="1" ht="12.75">
      <c r="A46" s="17">
        <v>38</v>
      </c>
      <c r="B46" s="23">
        <f t="shared" si="0"/>
        <v>588</v>
      </c>
      <c r="C46" s="24">
        <v>588</v>
      </c>
      <c r="F46" s="21"/>
      <c r="G46" s="21"/>
      <c r="H46" s="21"/>
      <c r="I46" s="31"/>
      <c r="J46" s="28"/>
      <c r="K46" s="28"/>
      <c r="L46" s="31"/>
      <c r="M46" s="31"/>
      <c r="N46" s="31"/>
      <c r="O46" s="31"/>
      <c r="P46" s="25">
        <v>588</v>
      </c>
      <c r="R46" s="89"/>
      <c r="S46" s="98">
        <v>930</v>
      </c>
      <c r="T46" s="99">
        <v>5371263</v>
      </c>
      <c r="U46" s="91"/>
    </row>
    <row r="47" spans="1:21" s="25" customFormat="1" ht="12.75">
      <c r="A47" s="17">
        <v>39</v>
      </c>
      <c r="B47" s="23">
        <f t="shared" si="0"/>
        <v>588</v>
      </c>
      <c r="C47" s="27">
        <v>588000</v>
      </c>
      <c r="F47" s="21">
        <v>511</v>
      </c>
      <c r="G47" s="21">
        <v>1492</v>
      </c>
      <c r="H47" s="21">
        <v>98</v>
      </c>
      <c r="I47" s="31"/>
      <c r="J47" s="28"/>
      <c r="K47" s="28"/>
      <c r="L47" s="31"/>
      <c r="M47" s="31"/>
      <c r="N47" s="31"/>
      <c r="O47" s="31"/>
      <c r="P47" s="25">
        <v>588</v>
      </c>
      <c r="R47" s="89"/>
      <c r="S47" s="98" t="s">
        <v>313</v>
      </c>
      <c r="T47" s="100"/>
      <c r="U47" s="91"/>
    </row>
    <row r="48" spans="1:21" s="25" customFormat="1" ht="13.5" thickBot="1">
      <c r="A48" s="17">
        <v>40</v>
      </c>
      <c r="B48" s="23">
        <f t="shared" si="0"/>
        <v>588</v>
      </c>
      <c r="C48" s="27">
        <v>588020</v>
      </c>
      <c r="F48" s="21"/>
      <c r="G48" s="21">
        <v>200</v>
      </c>
      <c r="H48" s="21">
        <v>500</v>
      </c>
      <c r="I48" s="31"/>
      <c r="J48" s="28"/>
      <c r="K48" s="28"/>
      <c r="L48" s="31"/>
      <c r="M48" s="31"/>
      <c r="N48" s="31"/>
      <c r="O48" s="31"/>
      <c r="P48" s="25">
        <v>588</v>
      </c>
      <c r="R48" s="89"/>
      <c r="S48" s="101" t="s">
        <v>314</v>
      </c>
      <c r="T48" s="102">
        <v>12842136</v>
      </c>
      <c r="U48" s="91"/>
    </row>
    <row r="49" spans="1:20" s="25" customFormat="1" ht="11.25">
      <c r="A49" s="17">
        <v>41</v>
      </c>
      <c r="B49" s="23">
        <f t="shared" si="0"/>
        <v>588</v>
      </c>
      <c r="C49" s="27">
        <v>588030</v>
      </c>
      <c r="F49" s="21"/>
      <c r="G49" s="21">
        <v>325</v>
      </c>
      <c r="H49" s="21">
        <v>350</v>
      </c>
      <c r="I49" s="31"/>
      <c r="J49" s="28"/>
      <c r="K49" s="28"/>
      <c r="L49" s="31"/>
      <c r="M49" s="31"/>
      <c r="N49" s="31"/>
      <c r="O49" s="31"/>
      <c r="P49" s="25">
        <v>588</v>
      </c>
      <c r="S49" s="93"/>
      <c r="T49" s="93"/>
    </row>
    <row r="50" spans="1:16" s="25" customFormat="1" ht="11.25">
      <c r="A50" s="17">
        <v>42</v>
      </c>
      <c r="B50" s="23">
        <f t="shared" si="0"/>
        <v>588</v>
      </c>
      <c r="C50" s="27">
        <v>588040</v>
      </c>
      <c r="F50" s="21">
        <v>128</v>
      </c>
      <c r="G50" s="21">
        <v>2204</v>
      </c>
      <c r="H50" s="21">
        <v>1436</v>
      </c>
      <c r="I50" s="31"/>
      <c r="J50" s="28"/>
      <c r="K50" s="28"/>
      <c r="L50" s="31"/>
      <c r="M50" s="31"/>
      <c r="N50" s="31"/>
      <c r="O50" s="31"/>
      <c r="P50" s="25">
        <v>588</v>
      </c>
    </row>
    <row r="51" spans="1:16" s="25" customFormat="1" ht="11.25">
      <c r="A51" s="17">
        <v>43</v>
      </c>
      <c r="B51" s="23">
        <f t="shared" si="0"/>
        <v>588</v>
      </c>
      <c r="C51" s="27">
        <v>588100</v>
      </c>
      <c r="F51" s="21"/>
      <c r="G51" s="21"/>
      <c r="H51" s="21">
        <v>260</v>
      </c>
      <c r="I51" s="31"/>
      <c r="J51" s="28"/>
      <c r="K51" s="28"/>
      <c r="L51" s="31"/>
      <c r="M51" s="31"/>
      <c r="N51" s="31"/>
      <c r="O51" s="31"/>
      <c r="P51" s="25">
        <v>588</v>
      </c>
    </row>
    <row r="52" spans="1:17" s="25" customFormat="1" ht="11.25">
      <c r="A52" s="17">
        <v>44</v>
      </c>
      <c r="B52" s="23">
        <f t="shared" si="0"/>
        <v>588</v>
      </c>
      <c r="C52" s="27"/>
      <c r="E52" s="25" t="s">
        <v>217</v>
      </c>
      <c r="F52" s="21">
        <f>SUM(F47:F51)</f>
        <v>639</v>
      </c>
      <c r="G52" s="21">
        <f>SUM(G47:G51)</f>
        <v>4221</v>
      </c>
      <c r="H52" s="21">
        <f>SUM(H47:H51)</f>
        <v>2644</v>
      </c>
      <c r="I52" s="31">
        <v>6000</v>
      </c>
      <c r="J52" s="28"/>
      <c r="K52" s="28"/>
      <c r="L52" s="21">
        <f>I52*1.035</f>
        <v>6210</v>
      </c>
      <c r="M52" s="71">
        <f>L52-I52</f>
        <v>210</v>
      </c>
      <c r="N52" s="31"/>
      <c r="O52" s="31"/>
      <c r="P52" s="25">
        <v>588</v>
      </c>
      <c r="Q52" s="25">
        <v>6000</v>
      </c>
    </row>
    <row r="53" spans="1:16" s="25" customFormat="1" ht="11.25">
      <c r="A53" s="17">
        <v>45</v>
      </c>
      <c r="B53" s="23">
        <f t="shared" si="0"/>
        <v>588</v>
      </c>
      <c r="C53" s="27"/>
      <c r="F53" s="21"/>
      <c r="G53" s="21"/>
      <c r="H53" s="21"/>
      <c r="I53" s="31"/>
      <c r="J53" s="28"/>
      <c r="K53" s="28"/>
      <c r="L53" s="31"/>
      <c r="M53" s="31"/>
      <c r="N53" s="31"/>
      <c r="O53" s="31"/>
      <c r="P53" s="25">
        <v>588</v>
      </c>
    </row>
    <row r="54" spans="1:16" s="25" customFormat="1" ht="11.25">
      <c r="A54" s="17">
        <v>46</v>
      </c>
      <c r="B54" s="23">
        <f t="shared" si="0"/>
        <v>590</v>
      </c>
      <c r="C54" s="24" t="s">
        <v>92</v>
      </c>
      <c r="F54" s="21"/>
      <c r="G54" s="31"/>
      <c r="H54" s="31"/>
      <c r="I54" s="31"/>
      <c r="J54" s="28"/>
      <c r="K54" s="28"/>
      <c r="L54" s="31"/>
      <c r="M54" s="31"/>
      <c r="N54" s="31"/>
      <c r="O54" s="31"/>
      <c r="P54" s="25">
        <v>590</v>
      </c>
    </row>
    <row r="55" spans="1:16" s="25" customFormat="1" ht="11.25">
      <c r="A55" s="17">
        <v>47</v>
      </c>
      <c r="B55" s="23">
        <f t="shared" si="0"/>
        <v>590</v>
      </c>
      <c r="C55" s="29">
        <v>590000</v>
      </c>
      <c r="D55" s="30" t="s">
        <v>93</v>
      </c>
      <c r="F55" s="21">
        <v>457554</v>
      </c>
      <c r="G55" s="31">
        <v>638488</v>
      </c>
      <c r="H55" s="31">
        <v>561823</v>
      </c>
      <c r="I55" s="31"/>
      <c r="J55" s="28"/>
      <c r="K55" s="28"/>
      <c r="L55" s="31"/>
      <c r="M55" s="31"/>
      <c r="N55" s="31"/>
      <c r="O55" s="31"/>
      <c r="P55" s="25">
        <v>590</v>
      </c>
    </row>
    <row r="56" spans="1:17" s="25" customFormat="1" ht="11.25">
      <c r="A56" s="17">
        <v>48</v>
      </c>
      <c r="B56" s="23">
        <f t="shared" si="0"/>
        <v>590</v>
      </c>
      <c r="C56" s="27"/>
      <c r="E56" s="25" t="s">
        <v>217</v>
      </c>
      <c r="F56" s="21">
        <f>SUM(F55)</f>
        <v>457554</v>
      </c>
      <c r="G56" s="21">
        <f>SUM(G55)</f>
        <v>638488</v>
      </c>
      <c r="H56" s="21">
        <f>SUM(H55)</f>
        <v>561823</v>
      </c>
      <c r="I56" s="31">
        <v>574295</v>
      </c>
      <c r="J56" s="28"/>
      <c r="K56" s="28"/>
      <c r="L56" s="31">
        <v>759741</v>
      </c>
      <c r="M56" s="71">
        <f>L56-I56</f>
        <v>185446</v>
      </c>
      <c r="N56" s="31"/>
      <c r="O56" s="31"/>
      <c r="P56" s="25">
        <v>590</v>
      </c>
      <c r="Q56" s="25">
        <v>574295</v>
      </c>
    </row>
    <row r="57" spans="1:16" s="25" customFormat="1" ht="11.25">
      <c r="A57" s="17">
        <v>49</v>
      </c>
      <c r="B57" s="23">
        <f t="shared" si="0"/>
        <v>590</v>
      </c>
      <c r="C57" s="27"/>
      <c r="F57" s="21"/>
      <c r="G57" s="21"/>
      <c r="H57" s="21"/>
      <c r="I57" s="31"/>
      <c r="J57" s="28"/>
      <c r="K57" s="28"/>
      <c r="L57" s="31"/>
      <c r="M57" s="31"/>
      <c r="N57" s="31"/>
      <c r="O57" s="31"/>
      <c r="P57" s="25">
        <v>590</v>
      </c>
    </row>
    <row r="58" spans="1:16" s="25" customFormat="1" ht="11.25">
      <c r="A58" s="17">
        <v>50</v>
      </c>
      <c r="B58" s="23">
        <f t="shared" si="0"/>
        <v>593</v>
      </c>
      <c r="C58" s="24" t="s">
        <v>94</v>
      </c>
      <c r="F58" s="21"/>
      <c r="G58" s="31"/>
      <c r="H58" s="31"/>
      <c r="I58" s="31"/>
      <c r="J58" s="28"/>
      <c r="K58" s="28"/>
      <c r="L58" s="31"/>
      <c r="M58" s="31"/>
      <c r="N58" s="31"/>
      <c r="O58" s="31"/>
      <c r="P58" s="25">
        <v>593</v>
      </c>
    </row>
    <row r="59" spans="1:16" s="25" customFormat="1" ht="11.25">
      <c r="A59" s="17">
        <v>51</v>
      </c>
      <c r="B59" s="23">
        <f t="shared" si="0"/>
        <v>593</v>
      </c>
      <c r="C59" s="29">
        <v>593010</v>
      </c>
      <c r="D59" s="30" t="s">
        <v>95</v>
      </c>
      <c r="F59" s="21">
        <v>433</v>
      </c>
      <c r="G59" s="31">
        <f>'[1]O&amp;M Cost By FERC'!H84</f>
        <v>0</v>
      </c>
      <c r="H59" s="31">
        <v>0</v>
      </c>
      <c r="I59" s="31"/>
      <c r="J59" s="28"/>
      <c r="K59" s="28"/>
      <c r="L59" s="31"/>
      <c r="M59" s="31"/>
      <c r="N59" s="31"/>
      <c r="O59" s="31"/>
      <c r="P59" s="25">
        <v>593</v>
      </c>
    </row>
    <row r="60" spans="1:16" s="25" customFormat="1" ht="11.25">
      <c r="A60" s="17">
        <v>52</v>
      </c>
      <c r="B60" s="23">
        <f t="shared" si="0"/>
        <v>593</v>
      </c>
      <c r="C60" s="27">
        <v>593020</v>
      </c>
      <c r="D60" s="30" t="s">
        <v>96</v>
      </c>
      <c r="F60" s="21">
        <v>0</v>
      </c>
      <c r="G60" s="31">
        <v>22671</v>
      </c>
      <c r="H60" s="31">
        <v>9425</v>
      </c>
      <c r="I60" s="31"/>
      <c r="J60" s="28"/>
      <c r="K60" s="28"/>
      <c r="L60" s="31"/>
      <c r="M60" s="31"/>
      <c r="N60" s="31"/>
      <c r="O60" s="31"/>
      <c r="P60" s="25">
        <v>593</v>
      </c>
    </row>
    <row r="61" spans="1:16" s="25" customFormat="1" ht="11.25">
      <c r="A61" s="17">
        <v>53</v>
      </c>
      <c r="B61" s="23">
        <f t="shared" si="0"/>
        <v>593</v>
      </c>
      <c r="C61" s="29">
        <v>593031</v>
      </c>
      <c r="D61" s="30" t="s">
        <v>97</v>
      </c>
      <c r="F61" s="21">
        <v>1708080</v>
      </c>
      <c r="G61" s="31">
        <v>1795719</v>
      </c>
      <c r="H61" s="31">
        <v>2216814</v>
      </c>
      <c r="I61" s="31"/>
      <c r="J61" s="28"/>
      <c r="K61" s="28"/>
      <c r="L61" s="31"/>
      <c r="M61" s="31"/>
      <c r="N61" s="31"/>
      <c r="O61" s="31"/>
      <c r="P61" s="25">
        <v>593</v>
      </c>
    </row>
    <row r="62" spans="1:16" s="25" customFormat="1" ht="11.25">
      <c r="A62" s="17">
        <v>54</v>
      </c>
      <c r="B62" s="23">
        <f t="shared" si="0"/>
        <v>593</v>
      </c>
      <c r="C62" s="27">
        <v>593032</v>
      </c>
      <c r="D62" s="30" t="s">
        <v>98</v>
      </c>
      <c r="F62" s="21">
        <v>214424</v>
      </c>
      <c r="G62" s="31">
        <v>231632</v>
      </c>
      <c r="H62" s="31">
        <v>228704</v>
      </c>
      <c r="I62" s="31"/>
      <c r="J62" s="28"/>
      <c r="K62" s="28"/>
      <c r="L62" s="31"/>
      <c r="M62" s="31"/>
      <c r="N62" s="31"/>
      <c r="O62" s="31"/>
      <c r="P62" s="25">
        <v>593</v>
      </c>
    </row>
    <row r="63" spans="1:16" s="25" customFormat="1" ht="11.25">
      <c r="A63" s="17">
        <v>55</v>
      </c>
      <c r="B63" s="23">
        <f t="shared" si="0"/>
        <v>593</v>
      </c>
      <c r="C63" s="27">
        <v>593033</v>
      </c>
      <c r="D63" s="30" t="s">
        <v>113</v>
      </c>
      <c r="F63" s="21">
        <v>152</v>
      </c>
      <c r="G63" s="31">
        <v>0</v>
      </c>
      <c r="H63" s="31">
        <v>0</v>
      </c>
      <c r="I63" s="31"/>
      <c r="J63" s="28"/>
      <c r="K63" s="28"/>
      <c r="L63" s="31"/>
      <c r="M63" s="31"/>
      <c r="N63" s="31"/>
      <c r="O63" s="31"/>
      <c r="P63" s="25">
        <v>593</v>
      </c>
    </row>
    <row r="64" spans="1:16" s="25" customFormat="1" ht="11.25">
      <c r="A64" s="17">
        <v>56</v>
      </c>
      <c r="B64" s="23">
        <f t="shared" si="0"/>
        <v>593</v>
      </c>
      <c r="C64" s="29">
        <v>593034</v>
      </c>
      <c r="D64" s="30" t="s">
        <v>99</v>
      </c>
      <c r="F64" s="21">
        <v>25</v>
      </c>
      <c r="G64" s="31">
        <v>79478</v>
      </c>
      <c r="H64" s="31">
        <v>10331</v>
      </c>
      <c r="I64" s="31"/>
      <c r="J64" s="28"/>
      <c r="K64" s="28"/>
      <c r="L64" s="31"/>
      <c r="M64" s="31"/>
      <c r="N64" s="31"/>
      <c r="O64" s="31"/>
      <c r="P64" s="25">
        <v>593</v>
      </c>
    </row>
    <row r="65" spans="1:16" s="25" customFormat="1" ht="11.25">
      <c r="A65" s="17">
        <v>57</v>
      </c>
      <c r="B65" s="23">
        <f t="shared" si="0"/>
        <v>593</v>
      </c>
      <c r="C65" s="27">
        <v>593035</v>
      </c>
      <c r="D65" s="30" t="s">
        <v>100</v>
      </c>
      <c r="F65" s="21">
        <v>1360201</v>
      </c>
      <c r="G65" s="31">
        <f>'[1]O&amp;M Cost By FERC'!H89</f>
        <v>945637</v>
      </c>
      <c r="H65" s="31">
        <v>796532</v>
      </c>
      <c r="I65" s="31"/>
      <c r="J65" s="28"/>
      <c r="K65" s="28"/>
      <c r="L65" s="31"/>
      <c r="M65" s="31"/>
      <c r="N65" s="31"/>
      <c r="O65" s="31"/>
      <c r="P65" s="25">
        <v>593</v>
      </c>
    </row>
    <row r="66" spans="1:16" s="25" customFormat="1" ht="11.25">
      <c r="A66" s="17">
        <v>58</v>
      </c>
      <c r="B66" s="23">
        <f t="shared" si="0"/>
        <v>593</v>
      </c>
      <c r="C66" s="29">
        <v>593036</v>
      </c>
      <c r="D66" s="30" t="s">
        <v>101</v>
      </c>
      <c r="F66" s="21"/>
      <c r="G66" s="31">
        <v>431585</v>
      </c>
      <c r="H66" s="31">
        <v>336168</v>
      </c>
      <c r="I66" s="31"/>
      <c r="J66" s="28"/>
      <c r="K66" s="28"/>
      <c r="L66" s="31"/>
      <c r="M66" s="31"/>
      <c r="N66" s="31"/>
      <c r="O66" s="31"/>
      <c r="P66" s="25">
        <v>593</v>
      </c>
    </row>
    <row r="67" spans="1:16" s="25" customFormat="1" ht="11.25">
      <c r="A67" s="17">
        <v>59</v>
      </c>
      <c r="B67" s="23">
        <f t="shared" si="0"/>
        <v>593</v>
      </c>
      <c r="C67" s="27">
        <v>593037</v>
      </c>
      <c r="D67" s="32" t="s">
        <v>2</v>
      </c>
      <c r="F67" s="21"/>
      <c r="G67" s="31"/>
      <c r="H67" s="31">
        <v>1200</v>
      </c>
      <c r="I67" s="31"/>
      <c r="J67" s="28"/>
      <c r="K67" s="28"/>
      <c r="L67" s="31"/>
      <c r="M67" s="31"/>
      <c r="N67" s="31"/>
      <c r="O67" s="31"/>
      <c r="P67" s="25">
        <v>593</v>
      </c>
    </row>
    <row r="68" spans="1:17" s="25" customFormat="1" ht="11.25">
      <c r="A68" s="17">
        <v>60</v>
      </c>
      <c r="B68" s="23">
        <f t="shared" si="0"/>
        <v>593</v>
      </c>
      <c r="C68" s="27"/>
      <c r="D68" s="32"/>
      <c r="E68" s="25" t="s">
        <v>217</v>
      </c>
      <c r="F68" s="21">
        <f>SUM(F59:F67)</f>
        <v>3283315</v>
      </c>
      <c r="G68" s="21">
        <f>SUM(G59:G67)</f>
        <v>3506722</v>
      </c>
      <c r="H68" s="21">
        <f>SUM(H59:H67)</f>
        <v>3599174</v>
      </c>
      <c r="I68" s="31">
        <v>3761258</v>
      </c>
      <c r="J68" s="28"/>
      <c r="K68" s="28"/>
      <c r="L68" s="31">
        <v>4975812</v>
      </c>
      <c r="M68" s="71">
        <f>L68-I68</f>
        <v>1214554</v>
      </c>
      <c r="N68" s="31"/>
      <c r="O68" s="31"/>
      <c r="P68" s="25">
        <v>593</v>
      </c>
      <c r="Q68" s="25">
        <v>3761258</v>
      </c>
    </row>
    <row r="69" spans="1:16" s="25" customFormat="1" ht="11.25">
      <c r="A69" s="17">
        <v>61</v>
      </c>
      <c r="B69" s="23">
        <f t="shared" si="0"/>
        <v>593</v>
      </c>
      <c r="C69" s="27"/>
      <c r="D69" s="32"/>
      <c r="F69" s="21"/>
      <c r="G69" s="21"/>
      <c r="H69" s="21"/>
      <c r="I69" s="31"/>
      <c r="J69" s="28"/>
      <c r="K69" s="28"/>
      <c r="L69" s="31"/>
      <c r="M69" s="31"/>
      <c r="N69" s="31"/>
      <c r="O69" s="31"/>
      <c r="P69" s="25">
        <v>593</v>
      </c>
    </row>
    <row r="70" spans="1:16" s="25" customFormat="1" ht="11.25">
      <c r="A70" s="17">
        <v>62</v>
      </c>
      <c r="B70" s="23">
        <f t="shared" si="0"/>
        <v>594</v>
      </c>
      <c r="C70" s="24">
        <v>594</v>
      </c>
      <c r="D70" s="32"/>
      <c r="F70" s="21"/>
      <c r="G70" s="31"/>
      <c r="H70" s="31"/>
      <c r="I70" s="31"/>
      <c r="J70" s="28"/>
      <c r="K70" s="28"/>
      <c r="L70" s="31"/>
      <c r="M70" s="31"/>
      <c r="N70" s="31"/>
      <c r="O70" s="31"/>
      <c r="P70" s="25">
        <v>594</v>
      </c>
    </row>
    <row r="71" spans="1:16" s="25" customFormat="1" ht="11.25">
      <c r="A71" s="17">
        <v>63</v>
      </c>
      <c r="B71" s="23">
        <f t="shared" si="0"/>
        <v>594</v>
      </c>
      <c r="C71" s="29">
        <v>594000</v>
      </c>
      <c r="D71" s="32" t="s">
        <v>3</v>
      </c>
      <c r="F71" s="21">
        <v>46</v>
      </c>
      <c r="G71" s="31"/>
      <c r="H71" s="31"/>
      <c r="I71" s="31"/>
      <c r="J71" s="28"/>
      <c r="K71" s="28"/>
      <c r="L71" s="31"/>
      <c r="M71" s="31"/>
      <c r="N71" s="31"/>
      <c r="O71" s="31"/>
      <c r="P71" s="25">
        <v>594</v>
      </c>
    </row>
    <row r="72" spans="1:17" s="25" customFormat="1" ht="11.25">
      <c r="A72" s="17">
        <v>64</v>
      </c>
      <c r="B72" s="23">
        <f t="shared" si="0"/>
        <v>594</v>
      </c>
      <c r="C72" s="29"/>
      <c r="D72" s="32"/>
      <c r="E72" s="25" t="s">
        <v>217</v>
      </c>
      <c r="F72" s="21">
        <f>SUM(F71)</f>
        <v>46</v>
      </c>
      <c r="G72" s="21">
        <f>SUM(G71)</f>
        <v>0</v>
      </c>
      <c r="H72" s="21">
        <f>SUM(H71)</f>
        <v>0</v>
      </c>
      <c r="I72" s="31">
        <v>0</v>
      </c>
      <c r="J72" s="28"/>
      <c r="K72" s="28"/>
      <c r="L72" s="21">
        <f>I72*1.035</f>
        <v>0</v>
      </c>
      <c r="M72" s="71">
        <f>L72-I72</f>
        <v>0</v>
      </c>
      <c r="N72" s="31"/>
      <c r="O72" s="31"/>
      <c r="P72" s="25">
        <v>594</v>
      </c>
      <c r="Q72" s="25">
        <v>0</v>
      </c>
    </row>
    <row r="73" spans="1:16" s="25" customFormat="1" ht="11.25">
      <c r="A73" s="17">
        <v>65</v>
      </c>
      <c r="B73" s="23">
        <f t="shared" si="0"/>
        <v>594</v>
      </c>
      <c r="C73" s="29"/>
      <c r="D73" s="32"/>
      <c r="F73" s="21"/>
      <c r="G73" s="31"/>
      <c r="H73" s="31"/>
      <c r="I73" s="31"/>
      <c r="J73" s="28"/>
      <c r="K73" s="28"/>
      <c r="L73" s="31"/>
      <c r="M73" s="31"/>
      <c r="N73" s="31"/>
      <c r="O73" s="31"/>
      <c r="P73" s="25">
        <v>594</v>
      </c>
    </row>
    <row r="74" spans="1:16" s="25" customFormat="1" ht="11.25">
      <c r="A74" s="17">
        <v>66</v>
      </c>
      <c r="B74" s="23">
        <f aca="true" t="shared" si="1" ref="B74:B137">IF(C74="",B73,VALUE(LEFT(C74,3)))</f>
        <v>596</v>
      </c>
      <c r="C74" s="24">
        <v>596</v>
      </c>
      <c r="D74" s="32"/>
      <c r="F74" s="21"/>
      <c r="G74" s="31"/>
      <c r="H74" s="31"/>
      <c r="I74" s="31"/>
      <c r="J74" s="28"/>
      <c r="K74" s="28"/>
      <c r="L74" s="31"/>
      <c r="M74" s="31"/>
      <c r="N74" s="31"/>
      <c r="O74" s="31"/>
      <c r="P74" s="25">
        <v>596</v>
      </c>
    </row>
    <row r="75" spans="1:16" s="25" customFormat="1" ht="11.25">
      <c r="A75" s="17">
        <v>67</v>
      </c>
      <c r="B75" s="23">
        <f t="shared" si="1"/>
        <v>596</v>
      </c>
      <c r="C75" s="29">
        <v>596010</v>
      </c>
      <c r="D75" s="32" t="s">
        <v>4</v>
      </c>
      <c r="F75" s="21"/>
      <c r="G75" s="31"/>
      <c r="H75" s="31">
        <v>446</v>
      </c>
      <c r="I75" s="31"/>
      <c r="J75" s="28"/>
      <c r="K75" s="28"/>
      <c r="L75" s="31"/>
      <c r="M75" s="31"/>
      <c r="N75" s="31"/>
      <c r="O75" s="31"/>
      <c r="P75" s="25">
        <v>596</v>
      </c>
    </row>
    <row r="76" spans="1:16" s="25" customFormat="1" ht="11.25">
      <c r="A76" s="17">
        <v>68</v>
      </c>
      <c r="B76" s="23">
        <f t="shared" si="1"/>
        <v>596</v>
      </c>
      <c r="C76" s="29">
        <v>596020</v>
      </c>
      <c r="D76" s="32" t="s">
        <v>5</v>
      </c>
      <c r="F76" s="21">
        <v>303</v>
      </c>
      <c r="G76" s="31"/>
      <c r="H76" s="31"/>
      <c r="I76" s="31"/>
      <c r="J76" s="28"/>
      <c r="K76" s="28"/>
      <c r="L76" s="31"/>
      <c r="M76" s="31"/>
      <c r="N76" s="31"/>
      <c r="O76" s="31"/>
      <c r="P76" s="25">
        <v>596</v>
      </c>
    </row>
    <row r="77" spans="1:17" s="25" customFormat="1" ht="11.25">
      <c r="A77" s="17">
        <v>69</v>
      </c>
      <c r="B77" s="23">
        <f t="shared" si="1"/>
        <v>596</v>
      </c>
      <c r="C77" s="29"/>
      <c r="D77" s="32"/>
      <c r="E77" s="25" t="s">
        <v>217</v>
      </c>
      <c r="F77" s="21">
        <f>SUM(F75:F76)</f>
        <v>303</v>
      </c>
      <c r="G77" s="21">
        <f>SUM(G75:G76)</f>
        <v>0</v>
      </c>
      <c r="H77" s="21">
        <f>SUM(H75:H76)</f>
        <v>446</v>
      </c>
      <c r="I77" s="31">
        <v>0</v>
      </c>
      <c r="J77" s="28"/>
      <c r="K77" s="28"/>
      <c r="L77" s="21">
        <f>I77*1.035</f>
        <v>0</v>
      </c>
      <c r="M77" s="71">
        <f>L77-I77</f>
        <v>0</v>
      </c>
      <c r="N77" s="31"/>
      <c r="O77" s="31"/>
      <c r="P77" s="25">
        <v>596</v>
      </c>
      <c r="Q77" s="25">
        <v>0</v>
      </c>
    </row>
    <row r="78" spans="1:16" s="25" customFormat="1" ht="11.25">
      <c r="A78" s="17">
        <v>70</v>
      </c>
      <c r="B78" s="23">
        <f t="shared" si="1"/>
        <v>596</v>
      </c>
      <c r="C78" s="29"/>
      <c r="D78" s="32"/>
      <c r="F78" s="21"/>
      <c r="G78" s="31"/>
      <c r="H78" s="31"/>
      <c r="I78" s="31"/>
      <c r="J78" s="28"/>
      <c r="K78" s="28"/>
      <c r="L78" s="31"/>
      <c r="M78" s="31"/>
      <c r="N78" s="31"/>
      <c r="O78" s="31"/>
      <c r="P78" s="25">
        <v>596</v>
      </c>
    </row>
    <row r="79" spans="1:16" s="25" customFormat="1" ht="11.25">
      <c r="A79" s="17">
        <v>71</v>
      </c>
      <c r="B79" s="23">
        <f t="shared" si="1"/>
        <v>597</v>
      </c>
      <c r="C79" s="24">
        <v>597</v>
      </c>
      <c r="D79" s="32"/>
      <c r="F79" s="21"/>
      <c r="G79" s="31"/>
      <c r="H79" s="31"/>
      <c r="I79" s="31"/>
      <c r="J79" s="28"/>
      <c r="K79" s="28"/>
      <c r="L79" s="31"/>
      <c r="M79" s="31"/>
      <c r="N79" s="31"/>
      <c r="O79" s="31"/>
      <c r="P79" s="25">
        <v>597</v>
      </c>
    </row>
    <row r="80" spans="1:16" s="25" customFormat="1" ht="11.25">
      <c r="A80" s="17">
        <v>72</v>
      </c>
      <c r="B80" s="23">
        <f t="shared" si="1"/>
        <v>597</v>
      </c>
      <c r="C80" s="29">
        <v>597000</v>
      </c>
      <c r="D80" s="32" t="s">
        <v>6</v>
      </c>
      <c r="F80" s="21">
        <v>0</v>
      </c>
      <c r="G80" s="31">
        <v>92</v>
      </c>
      <c r="H80" s="31"/>
      <c r="I80" s="31"/>
      <c r="J80" s="28"/>
      <c r="K80" s="28"/>
      <c r="L80" s="31"/>
      <c r="M80" s="31"/>
      <c r="N80" s="31"/>
      <c r="O80" s="31"/>
      <c r="P80" s="25">
        <v>597</v>
      </c>
    </row>
    <row r="81" spans="1:17" s="25" customFormat="1" ht="11.25">
      <c r="A81" s="17">
        <v>73</v>
      </c>
      <c r="B81" s="23">
        <f t="shared" si="1"/>
        <v>597</v>
      </c>
      <c r="C81" s="29"/>
      <c r="D81" s="32"/>
      <c r="E81" s="25" t="s">
        <v>217</v>
      </c>
      <c r="F81" s="21">
        <f>SUM(F80)</f>
        <v>0</v>
      </c>
      <c r="G81" s="21">
        <f>SUM(G80)</f>
        <v>92</v>
      </c>
      <c r="H81" s="21">
        <f>SUM(H80)</f>
        <v>0</v>
      </c>
      <c r="I81" s="31">
        <v>0</v>
      </c>
      <c r="J81" s="28"/>
      <c r="K81" s="28"/>
      <c r="L81" s="21">
        <f>I81*1.035</f>
        <v>0</v>
      </c>
      <c r="M81" s="71">
        <f>L81-I81</f>
        <v>0</v>
      </c>
      <c r="N81" s="31"/>
      <c r="O81" s="31"/>
      <c r="P81" s="25">
        <v>597</v>
      </c>
      <c r="Q81" s="25">
        <v>0</v>
      </c>
    </row>
    <row r="82" spans="1:16" s="25" customFormat="1" ht="11.25">
      <c r="A82" s="17">
        <v>74</v>
      </c>
      <c r="B82" s="23">
        <f t="shared" si="1"/>
        <v>597</v>
      </c>
      <c r="C82" s="29"/>
      <c r="D82" s="32"/>
      <c r="F82" s="21"/>
      <c r="G82" s="31"/>
      <c r="H82" s="31"/>
      <c r="I82" s="31"/>
      <c r="J82" s="28"/>
      <c r="K82" s="28"/>
      <c r="L82" s="31"/>
      <c r="M82" s="31"/>
      <c r="N82" s="31"/>
      <c r="O82" s="31"/>
      <c r="P82" s="25">
        <v>597</v>
      </c>
    </row>
    <row r="83" spans="1:16" s="25" customFormat="1" ht="11.25">
      <c r="A83" s="17">
        <v>75</v>
      </c>
      <c r="B83" s="23">
        <f t="shared" si="1"/>
        <v>598</v>
      </c>
      <c r="C83" s="24">
        <v>598</v>
      </c>
      <c r="D83" s="32"/>
      <c r="F83" s="21"/>
      <c r="G83" s="31"/>
      <c r="H83" s="31"/>
      <c r="I83" s="31"/>
      <c r="J83" s="28"/>
      <c r="K83" s="28"/>
      <c r="L83" s="31"/>
      <c r="M83" s="31"/>
      <c r="N83" s="31"/>
      <c r="O83" s="31"/>
      <c r="P83" s="25">
        <v>598</v>
      </c>
    </row>
    <row r="84" spans="1:16" s="25" customFormat="1" ht="11.25">
      <c r="A84" s="17">
        <v>76</v>
      </c>
      <c r="B84" s="23">
        <f t="shared" si="1"/>
        <v>598</v>
      </c>
      <c r="C84" s="29">
        <v>598000</v>
      </c>
      <c r="D84" s="32" t="s">
        <v>7</v>
      </c>
      <c r="F84" s="21">
        <v>3375</v>
      </c>
      <c r="G84" s="31">
        <v>4164</v>
      </c>
      <c r="H84" s="31">
        <v>197</v>
      </c>
      <c r="I84" s="31"/>
      <c r="J84" s="28"/>
      <c r="K84" s="28"/>
      <c r="L84" s="31"/>
      <c r="M84" s="31"/>
      <c r="N84" s="31"/>
      <c r="O84" s="31"/>
      <c r="P84" s="25">
        <v>598</v>
      </c>
    </row>
    <row r="85" spans="1:17" s="25" customFormat="1" ht="11.25">
      <c r="A85" s="17">
        <v>77</v>
      </c>
      <c r="B85" s="23">
        <f t="shared" si="1"/>
        <v>598</v>
      </c>
      <c r="C85" s="29"/>
      <c r="D85" s="32"/>
      <c r="E85" s="25" t="s">
        <v>217</v>
      </c>
      <c r="F85" s="21">
        <f>SUM(F84)</f>
        <v>3375</v>
      </c>
      <c r="G85" s="21">
        <f>SUM(G84)</f>
        <v>4164</v>
      </c>
      <c r="H85" s="21">
        <f>SUM(H84)</f>
        <v>197</v>
      </c>
      <c r="I85" s="25">
        <v>0</v>
      </c>
      <c r="J85" s="28"/>
      <c r="K85" s="28"/>
      <c r="L85" s="21">
        <f>I85*1.035</f>
        <v>0</v>
      </c>
      <c r="M85" s="71">
        <f>L85-I85</f>
        <v>0</v>
      </c>
      <c r="N85" s="31"/>
      <c r="O85" s="31"/>
      <c r="P85" s="25">
        <v>598</v>
      </c>
      <c r="Q85" s="25">
        <v>0</v>
      </c>
    </row>
    <row r="86" spans="1:16" s="25" customFormat="1" ht="11.25">
      <c r="A86" s="17">
        <v>78</v>
      </c>
      <c r="B86" s="23">
        <f t="shared" si="1"/>
        <v>598</v>
      </c>
      <c r="C86" s="29"/>
      <c r="D86" s="32"/>
      <c r="F86" s="21"/>
      <c r="G86" s="31"/>
      <c r="H86" s="31"/>
      <c r="I86" s="31"/>
      <c r="J86" s="28"/>
      <c r="K86" s="28"/>
      <c r="L86" s="31"/>
      <c r="M86" s="31"/>
      <c r="N86" s="31"/>
      <c r="O86" s="31"/>
      <c r="P86" s="25">
        <v>598</v>
      </c>
    </row>
    <row r="87" spans="1:16" s="25" customFormat="1" ht="11.25">
      <c r="A87" s="17">
        <v>79</v>
      </c>
      <c r="B87" s="23">
        <f t="shared" si="1"/>
        <v>598</v>
      </c>
      <c r="C87" s="29"/>
      <c r="D87" s="32"/>
      <c r="F87" s="21"/>
      <c r="G87" s="21"/>
      <c r="H87" s="21"/>
      <c r="I87" s="21"/>
      <c r="J87" s="28"/>
      <c r="K87" s="28"/>
      <c r="L87" s="21"/>
      <c r="M87" s="21"/>
      <c r="N87" s="31"/>
      <c r="O87" s="31"/>
      <c r="P87" s="25">
        <v>598</v>
      </c>
    </row>
    <row r="88" spans="1:16" s="25" customFormat="1" ht="11.25">
      <c r="A88" s="17">
        <v>80</v>
      </c>
      <c r="B88" s="23">
        <f t="shared" si="1"/>
        <v>885</v>
      </c>
      <c r="C88" s="29">
        <v>885</v>
      </c>
      <c r="D88" s="32"/>
      <c r="F88" s="21"/>
      <c r="G88" s="21"/>
      <c r="H88" s="21"/>
      <c r="I88" s="21"/>
      <c r="J88" s="28"/>
      <c r="K88" s="28"/>
      <c r="L88" s="21"/>
      <c r="M88" s="21"/>
      <c r="N88" s="31"/>
      <c r="O88" s="31"/>
      <c r="P88" s="25">
        <v>885</v>
      </c>
    </row>
    <row r="89" spans="1:16" s="25" customFormat="1" ht="11.25">
      <c r="A89" s="17">
        <v>81</v>
      </c>
      <c r="B89" s="23">
        <f t="shared" si="1"/>
        <v>885</v>
      </c>
      <c r="C89" s="29">
        <v>885000</v>
      </c>
      <c r="D89" s="32"/>
      <c r="F89" s="21"/>
      <c r="G89" s="21">
        <v>21160</v>
      </c>
      <c r="H89" s="21">
        <v>23301</v>
      </c>
      <c r="I89" s="21"/>
      <c r="J89" s="28"/>
      <c r="K89" s="28"/>
      <c r="L89" s="21"/>
      <c r="M89" s="21"/>
      <c r="N89" s="31"/>
      <c r="O89" s="31"/>
      <c r="P89" s="25">
        <v>885</v>
      </c>
    </row>
    <row r="90" spans="1:17" s="25" customFormat="1" ht="11.25">
      <c r="A90" s="17">
        <v>82</v>
      </c>
      <c r="B90" s="23">
        <f t="shared" si="1"/>
        <v>885</v>
      </c>
      <c r="C90" s="29"/>
      <c r="D90" s="32"/>
      <c r="E90" s="25" t="s">
        <v>217</v>
      </c>
      <c r="F90" s="21">
        <f>SUM(F89)</f>
        <v>0</v>
      </c>
      <c r="G90" s="21">
        <f>SUM(G89)</f>
        <v>21160</v>
      </c>
      <c r="H90" s="21">
        <f>SUM(H89)</f>
        <v>23301</v>
      </c>
      <c r="I90" s="21">
        <v>23671</v>
      </c>
      <c r="J90" s="28"/>
      <c r="K90" s="28"/>
      <c r="L90" s="21">
        <f>I90*1.035</f>
        <v>24499</v>
      </c>
      <c r="M90" s="71">
        <f>L90-I90</f>
        <v>828</v>
      </c>
      <c r="N90" s="31"/>
      <c r="O90" s="31"/>
      <c r="P90" s="25">
        <v>885</v>
      </c>
      <c r="Q90" s="25">
        <v>23671</v>
      </c>
    </row>
    <row r="91" spans="1:16" s="25" customFormat="1" ht="11.25">
      <c r="A91" s="17">
        <v>83</v>
      </c>
      <c r="B91" s="23">
        <f t="shared" si="1"/>
        <v>885</v>
      </c>
      <c r="C91" s="29"/>
      <c r="D91" s="32"/>
      <c r="F91" s="21"/>
      <c r="G91" s="21"/>
      <c r="H91" s="21"/>
      <c r="I91" s="21"/>
      <c r="J91" s="28"/>
      <c r="K91" s="28"/>
      <c r="L91" s="21"/>
      <c r="M91" s="21"/>
      <c r="N91" s="31"/>
      <c r="O91" s="31"/>
      <c r="P91" s="25">
        <v>885</v>
      </c>
    </row>
    <row r="92" spans="1:16" s="25" customFormat="1" ht="11.25">
      <c r="A92" s="17">
        <v>84</v>
      </c>
      <c r="B92" s="23">
        <f t="shared" si="1"/>
        <v>887</v>
      </c>
      <c r="C92" s="29">
        <v>887</v>
      </c>
      <c r="D92" s="32"/>
      <c r="F92" s="21"/>
      <c r="G92" s="21"/>
      <c r="H92" s="21"/>
      <c r="I92" s="21"/>
      <c r="J92" s="28"/>
      <c r="K92" s="28"/>
      <c r="L92" s="21"/>
      <c r="M92" s="21"/>
      <c r="N92" s="31"/>
      <c r="O92" s="31"/>
      <c r="P92" s="25">
        <v>887</v>
      </c>
    </row>
    <row r="93" spans="1:16" s="25" customFormat="1" ht="11.25">
      <c r="A93" s="17">
        <v>85</v>
      </c>
      <c r="B93" s="23">
        <f t="shared" si="1"/>
        <v>887</v>
      </c>
      <c r="C93" s="29">
        <v>887000</v>
      </c>
      <c r="D93" s="32"/>
      <c r="F93" s="21">
        <v>11760</v>
      </c>
      <c r="G93" s="21">
        <v>104400</v>
      </c>
      <c r="H93" s="21">
        <v>139431</v>
      </c>
      <c r="I93" s="21"/>
      <c r="J93" s="28"/>
      <c r="K93" s="28"/>
      <c r="L93" s="21"/>
      <c r="M93" s="21"/>
      <c r="N93" s="31"/>
      <c r="O93" s="31"/>
      <c r="P93" s="25">
        <v>887</v>
      </c>
    </row>
    <row r="94" spans="1:17" s="25" customFormat="1" ht="11.25">
      <c r="A94" s="17">
        <v>86</v>
      </c>
      <c r="B94" s="23">
        <f t="shared" si="1"/>
        <v>887</v>
      </c>
      <c r="C94" s="29"/>
      <c r="D94" s="32"/>
      <c r="F94" s="21">
        <f>SUM(F93)</f>
        <v>11760</v>
      </c>
      <c r="G94" s="21">
        <f>SUM(G93)</f>
        <v>104400</v>
      </c>
      <c r="H94" s="21">
        <f>SUM(H93)</f>
        <v>139431</v>
      </c>
      <c r="I94" s="21">
        <v>105000</v>
      </c>
      <c r="J94" s="28"/>
      <c r="K94" s="28"/>
      <c r="L94" s="21">
        <f>I94*1.035</f>
        <v>108675</v>
      </c>
      <c r="M94" s="71">
        <f>L94-I94</f>
        <v>3675</v>
      </c>
      <c r="N94" s="31"/>
      <c r="O94" s="31"/>
      <c r="P94" s="25">
        <v>887</v>
      </c>
      <c r="Q94" s="25">
        <v>105000</v>
      </c>
    </row>
    <row r="95" spans="1:16" s="25" customFormat="1" ht="11.25">
      <c r="A95" s="17">
        <v>87</v>
      </c>
      <c r="B95" s="23">
        <f t="shared" si="1"/>
        <v>887</v>
      </c>
      <c r="C95" s="29"/>
      <c r="D95" s="32"/>
      <c r="F95" s="21"/>
      <c r="G95" s="21"/>
      <c r="H95" s="21"/>
      <c r="I95" s="21"/>
      <c r="J95" s="28"/>
      <c r="K95" s="28"/>
      <c r="L95" s="21"/>
      <c r="M95" s="21"/>
      <c r="N95" s="31"/>
      <c r="O95" s="31"/>
      <c r="P95" s="25">
        <v>887</v>
      </c>
    </row>
    <row r="96" spans="1:16" s="25" customFormat="1" ht="11.25">
      <c r="A96" s="17">
        <v>88</v>
      </c>
      <c r="B96" s="23">
        <f t="shared" si="1"/>
        <v>921</v>
      </c>
      <c r="C96" s="29">
        <v>921</v>
      </c>
      <c r="D96" s="32"/>
      <c r="F96" s="21"/>
      <c r="G96" s="21"/>
      <c r="H96" s="21"/>
      <c r="I96" s="21"/>
      <c r="J96" s="28"/>
      <c r="K96" s="28"/>
      <c r="L96" s="21"/>
      <c r="M96" s="21"/>
      <c r="N96" s="31"/>
      <c r="O96" s="31"/>
      <c r="P96" s="25">
        <v>921</v>
      </c>
    </row>
    <row r="97" spans="1:16" s="25" customFormat="1" ht="11.25">
      <c r="A97" s="17">
        <v>89</v>
      </c>
      <c r="B97" s="23">
        <f t="shared" si="1"/>
        <v>921</v>
      </c>
      <c r="C97" s="29">
        <v>921000</v>
      </c>
      <c r="D97" s="32"/>
      <c r="F97" s="21">
        <v>120</v>
      </c>
      <c r="G97" s="21">
        <v>418</v>
      </c>
      <c r="H97" s="21">
        <v>287</v>
      </c>
      <c r="I97" s="21"/>
      <c r="J97" s="28"/>
      <c r="K97" s="28"/>
      <c r="L97" s="21"/>
      <c r="M97" s="21"/>
      <c r="N97" s="31"/>
      <c r="O97" s="31"/>
      <c r="P97" s="25">
        <v>921</v>
      </c>
    </row>
    <row r="98" spans="1:17" s="25" customFormat="1" ht="11.25">
      <c r="A98" s="17">
        <v>90</v>
      </c>
      <c r="B98" s="23">
        <f t="shared" si="1"/>
        <v>921</v>
      </c>
      <c r="C98" s="29"/>
      <c r="D98" s="32"/>
      <c r="E98" s="25" t="s">
        <v>217</v>
      </c>
      <c r="F98" s="21">
        <f>SUM(F97)</f>
        <v>120</v>
      </c>
      <c r="G98" s="21">
        <f>SUM(G97)</f>
        <v>418</v>
      </c>
      <c r="H98" s="21">
        <f>SUM(H97)</f>
        <v>287</v>
      </c>
      <c r="I98" s="21">
        <v>0</v>
      </c>
      <c r="J98" s="28"/>
      <c r="K98" s="28"/>
      <c r="L98" s="21">
        <f>I98*1.035</f>
        <v>0</v>
      </c>
      <c r="M98" s="71">
        <f>L98-I98</f>
        <v>0</v>
      </c>
      <c r="N98" s="31"/>
      <c r="O98" s="31"/>
      <c r="P98" s="25">
        <v>921</v>
      </c>
      <c r="Q98" s="25">
        <v>0</v>
      </c>
    </row>
    <row r="99" spans="1:16" s="25" customFormat="1" ht="11.25">
      <c r="A99" s="17">
        <v>91</v>
      </c>
      <c r="B99" s="23">
        <f t="shared" si="1"/>
        <v>921</v>
      </c>
      <c r="C99" s="29"/>
      <c r="D99" s="32"/>
      <c r="F99" s="21"/>
      <c r="G99" s="21"/>
      <c r="H99" s="21"/>
      <c r="I99" s="21"/>
      <c r="J99" s="28"/>
      <c r="K99" s="28"/>
      <c r="L99" s="21"/>
      <c r="M99" s="21"/>
      <c r="N99" s="31"/>
      <c r="O99" s="31"/>
      <c r="P99" s="25">
        <v>921</v>
      </c>
    </row>
    <row r="100" spans="1:16" s="25" customFormat="1" ht="11.25">
      <c r="A100" s="17">
        <v>92</v>
      </c>
      <c r="B100" s="23">
        <f t="shared" si="1"/>
        <v>923</v>
      </c>
      <c r="C100" s="29">
        <v>923</v>
      </c>
      <c r="D100" s="32"/>
      <c r="F100" s="21"/>
      <c r="G100" s="21"/>
      <c r="H100" s="21"/>
      <c r="I100" s="21"/>
      <c r="J100" s="28"/>
      <c r="K100" s="28"/>
      <c r="L100" s="21"/>
      <c r="M100" s="21"/>
      <c r="N100" s="31"/>
      <c r="O100" s="31"/>
      <c r="P100" s="25">
        <v>923</v>
      </c>
    </row>
    <row r="101" spans="1:16" s="25" customFormat="1" ht="11.25">
      <c r="A101" s="17">
        <v>93</v>
      </c>
      <c r="B101" s="23">
        <f t="shared" si="1"/>
        <v>923</v>
      </c>
      <c r="C101" s="29">
        <v>923000</v>
      </c>
      <c r="D101" s="32"/>
      <c r="F101" s="21">
        <v>1942</v>
      </c>
      <c r="G101" s="21">
        <v>0</v>
      </c>
      <c r="H101" s="21">
        <v>0</v>
      </c>
      <c r="I101" s="21"/>
      <c r="J101" s="28"/>
      <c r="K101" s="28"/>
      <c r="L101" s="21"/>
      <c r="M101" s="72"/>
      <c r="N101" s="31"/>
      <c r="O101" s="31"/>
      <c r="P101" s="25">
        <v>923</v>
      </c>
    </row>
    <row r="102" spans="1:17" s="25" customFormat="1" ht="11.25">
      <c r="A102" s="17">
        <v>94</v>
      </c>
      <c r="B102" s="23">
        <f t="shared" si="1"/>
        <v>923</v>
      </c>
      <c r="C102" s="29"/>
      <c r="D102" s="32"/>
      <c r="E102" s="25" t="s">
        <v>217</v>
      </c>
      <c r="F102" s="21">
        <f>SUM(F101)</f>
        <v>1942</v>
      </c>
      <c r="G102" s="21">
        <f>SUM(G101)</f>
        <v>0</v>
      </c>
      <c r="H102" s="21">
        <f>SUM(H101)</f>
        <v>0</v>
      </c>
      <c r="I102" s="21">
        <v>0</v>
      </c>
      <c r="J102" s="28"/>
      <c r="K102" s="28"/>
      <c r="L102" s="21">
        <f>I102*1.035</f>
        <v>0</v>
      </c>
      <c r="M102" s="71">
        <f>L102-I102</f>
        <v>0</v>
      </c>
      <c r="N102" s="31"/>
      <c r="O102" s="31"/>
      <c r="P102" s="25">
        <v>923</v>
      </c>
      <c r="Q102" s="25">
        <v>0</v>
      </c>
    </row>
    <row r="103" spans="1:16" s="25" customFormat="1" ht="11.25">
      <c r="A103" s="17">
        <v>95</v>
      </c>
      <c r="B103" s="23">
        <f t="shared" si="1"/>
        <v>923</v>
      </c>
      <c r="C103" s="29"/>
      <c r="D103" s="32"/>
      <c r="F103" s="21"/>
      <c r="G103" s="21"/>
      <c r="H103" s="21"/>
      <c r="I103" s="21"/>
      <c r="J103" s="28"/>
      <c r="K103" s="28"/>
      <c r="L103" s="21"/>
      <c r="M103" s="21"/>
      <c r="N103" s="31"/>
      <c r="O103" s="31"/>
      <c r="P103" s="25">
        <v>923</v>
      </c>
    </row>
    <row r="104" spans="1:16" s="25" customFormat="1" ht="11.25">
      <c r="A104" s="17">
        <v>96</v>
      </c>
      <c r="B104" s="23">
        <f t="shared" si="1"/>
        <v>925</v>
      </c>
      <c r="C104" s="29">
        <v>925100</v>
      </c>
      <c r="D104" s="32"/>
      <c r="F104" s="21"/>
      <c r="G104" s="21"/>
      <c r="H104" s="21"/>
      <c r="I104" s="21"/>
      <c r="J104" s="28"/>
      <c r="K104" s="28"/>
      <c r="L104" s="21"/>
      <c r="M104" s="21"/>
      <c r="N104" s="31"/>
      <c r="O104" s="31"/>
      <c r="P104" s="25">
        <v>925</v>
      </c>
    </row>
    <row r="105" spans="1:16" s="25" customFormat="1" ht="11.25">
      <c r="A105" s="17">
        <v>97</v>
      </c>
      <c r="B105" s="23">
        <f t="shared" si="1"/>
        <v>925</v>
      </c>
      <c r="C105" s="29">
        <v>925100</v>
      </c>
      <c r="D105" s="32"/>
      <c r="F105" s="21"/>
      <c r="G105" s="21">
        <v>1086</v>
      </c>
      <c r="H105" s="21">
        <v>4573</v>
      </c>
      <c r="I105" s="21"/>
      <c r="J105" s="28"/>
      <c r="K105" s="28"/>
      <c r="L105" s="21"/>
      <c r="M105" s="21"/>
      <c r="N105" s="31"/>
      <c r="O105" s="31"/>
      <c r="P105" s="25">
        <v>925</v>
      </c>
    </row>
    <row r="106" spans="1:17" s="25" customFormat="1" ht="11.25">
      <c r="A106" s="17">
        <v>98</v>
      </c>
      <c r="B106" s="23">
        <f t="shared" si="1"/>
        <v>925</v>
      </c>
      <c r="C106" s="29"/>
      <c r="D106" s="32"/>
      <c r="E106" s="25" t="s">
        <v>217</v>
      </c>
      <c r="F106" s="21">
        <f>SUM(F105)</f>
        <v>0</v>
      </c>
      <c r="G106" s="21">
        <f>SUM(G105)</f>
        <v>1086</v>
      </c>
      <c r="H106" s="21">
        <f>SUM(H105)</f>
        <v>4573</v>
      </c>
      <c r="I106" s="21">
        <v>0</v>
      </c>
      <c r="J106" s="28"/>
      <c r="K106" s="28"/>
      <c r="L106" s="21">
        <f>I106*1.035</f>
        <v>0</v>
      </c>
      <c r="M106" s="71">
        <f>L106-I106</f>
        <v>0</v>
      </c>
      <c r="N106" s="31"/>
      <c r="O106" s="31"/>
      <c r="P106" s="25">
        <v>925</v>
      </c>
      <c r="Q106" s="25">
        <v>0</v>
      </c>
    </row>
    <row r="107" spans="1:16" s="25" customFormat="1" ht="11.25">
      <c r="A107" s="17">
        <v>99</v>
      </c>
      <c r="B107" s="23">
        <f t="shared" si="1"/>
        <v>925</v>
      </c>
      <c r="C107" s="29"/>
      <c r="D107" s="32"/>
      <c r="F107" s="21"/>
      <c r="G107" s="21"/>
      <c r="H107" s="21"/>
      <c r="I107" s="21"/>
      <c r="J107" s="28"/>
      <c r="K107" s="28"/>
      <c r="L107" s="21"/>
      <c r="M107" s="21"/>
      <c r="N107" s="31"/>
      <c r="O107" s="31"/>
      <c r="P107" s="25">
        <v>925</v>
      </c>
    </row>
    <row r="108" spans="1:16" s="25" customFormat="1" ht="11.25">
      <c r="A108" s="17">
        <v>100</v>
      </c>
      <c r="B108" s="23">
        <f t="shared" si="1"/>
        <v>926</v>
      </c>
      <c r="C108" s="29">
        <v>926100</v>
      </c>
      <c r="D108" s="32"/>
      <c r="F108" s="21"/>
      <c r="G108" s="21"/>
      <c r="H108" s="21"/>
      <c r="I108" s="31"/>
      <c r="J108" s="28"/>
      <c r="K108" s="28"/>
      <c r="L108" s="21"/>
      <c r="M108" s="21"/>
      <c r="N108" s="31"/>
      <c r="O108" s="31"/>
      <c r="P108" s="25">
        <v>926</v>
      </c>
    </row>
    <row r="109" spans="1:16" s="25" customFormat="1" ht="11.25">
      <c r="A109" s="17">
        <v>101</v>
      </c>
      <c r="B109" s="23">
        <f t="shared" si="1"/>
        <v>926</v>
      </c>
      <c r="C109" s="29">
        <v>926100</v>
      </c>
      <c r="D109" s="32"/>
      <c r="F109" s="21"/>
      <c r="G109" s="21">
        <v>631</v>
      </c>
      <c r="H109" s="21"/>
      <c r="I109" s="31"/>
      <c r="J109" s="28"/>
      <c r="K109" s="28"/>
      <c r="L109" s="21"/>
      <c r="M109" s="21"/>
      <c r="N109" s="31"/>
      <c r="O109" s="31"/>
      <c r="P109" s="25">
        <v>926</v>
      </c>
    </row>
    <row r="110" spans="1:17" s="25" customFormat="1" ht="11.25">
      <c r="A110" s="17">
        <v>102</v>
      </c>
      <c r="B110" s="23">
        <f t="shared" si="1"/>
        <v>926</v>
      </c>
      <c r="C110" s="29"/>
      <c r="D110" s="32"/>
      <c r="E110" s="25" t="s">
        <v>217</v>
      </c>
      <c r="F110" s="21">
        <f>SUM(F109)</f>
        <v>0</v>
      </c>
      <c r="G110" s="21">
        <f>SUM(G109)</f>
        <v>631</v>
      </c>
      <c r="H110" s="21">
        <f>SUM(H109)</f>
        <v>0</v>
      </c>
      <c r="I110" s="31">
        <v>0</v>
      </c>
      <c r="J110" s="28"/>
      <c r="K110" s="28"/>
      <c r="L110" s="21">
        <f>I110*1.035</f>
        <v>0</v>
      </c>
      <c r="M110" s="71">
        <f>L110-I110</f>
        <v>0</v>
      </c>
      <c r="N110" s="31"/>
      <c r="O110" s="31"/>
      <c r="P110" s="25">
        <v>926</v>
      </c>
      <c r="Q110" s="25">
        <v>0</v>
      </c>
    </row>
    <row r="111" spans="1:16" s="25" customFormat="1" ht="11.25">
      <c r="A111" s="17">
        <v>103</v>
      </c>
      <c r="B111" s="23">
        <f t="shared" si="1"/>
        <v>926</v>
      </c>
      <c r="C111" s="29"/>
      <c r="D111" s="32"/>
      <c r="F111" s="21"/>
      <c r="G111" s="21"/>
      <c r="H111" s="21"/>
      <c r="I111" s="31"/>
      <c r="J111" s="28"/>
      <c r="K111" s="28"/>
      <c r="L111" s="21"/>
      <c r="M111" s="21"/>
      <c r="N111" s="31"/>
      <c r="O111" s="31"/>
      <c r="P111" s="25">
        <v>926</v>
      </c>
    </row>
    <row r="112" spans="1:16" s="25" customFormat="1" ht="11.25">
      <c r="A112" s="17">
        <v>104</v>
      </c>
      <c r="B112" s="23">
        <f t="shared" si="1"/>
        <v>930</v>
      </c>
      <c r="C112" s="29">
        <v>930200</v>
      </c>
      <c r="D112" s="32"/>
      <c r="F112" s="21"/>
      <c r="G112" s="21"/>
      <c r="H112" s="21"/>
      <c r="I112" s="31"/>
      <c r="J112" s="28"/>
      <c r="K112" s="28"/>
      <c r="L112" s="21"/>
      <c r="M112" s="21"/>
      <c r="N112" s="31"/>
      <c r="O112" s="31"/>
      <c r="P112" s="25">
        <v>930</v>
      </c>
    </row>
    <row r="113" spans="1:16" s="25" customFormat="1" ht="11.25">
      <c r="A113" s="17">
        <v>105</v>
      </c>
      <c r="B113" s="23">
        <f t="shared" si="1"/>
        <v>930</v>
      </c>
      <c r="C113" s="29">
        <v>930200</v>
      </c>
      <c r="D113" s="32"/>
      <c r="F113" s="21">
        <v>1131</v>
      </c>
      <c r="G113" s="31">
        <v>728</v>
      </c>
      <c r="H113" s="31"/>
      <c r="I113" s="31"/>
      <c r="J113" s="28"/>
      <c r="K113" s="28"/>
      <c r="L113" s="31"/>
      <c r="M113" s="31"/>
      <c r="N113" s="31"/>
      <c r="O113" s="31"/>
      <c r="P113" s="25">
        <v>930</v>
      </c>
    </row>
    <row r="114" spans="1:17" s="25" customFormat="1" ht="11.25">
      <c r="A114" s="17">
        <v>106</v>
      </c>
      <c r="B114" s="23">
        <f t="shared" si="1"/>
        <v>930</v>
      </c>
      <c r="C114" s="29"/>
      <c r="D114" s="32"/>
      <c r="E114" s="25" t="s">
        <v>217</v>
      </c>
      <c r="F114" s="21">
        <f>SUM(F113)</f>
        <v>1131</v>
      </c>
      <c r="G114" s="21">
        <f>SUM(G113)</f>
        <v>728</v>
      </c>
      <c r="H114" s="21">
        <f>SUM(H113)</f>
        <v>0</v>
      </c>
      <c r="I114" s="31">
        <v>0</v>
      </c>
      <c r="J114" s="28"/>
      <c r="K114" s="28"/>
      <c r="L114" s="21">
        <f>I114*1.035</f>
        <v>0</v>
      </c>
      <c r="M114" s="71">
        <f>L114-I114</f>
        <v>0</v>
      </c>
      <c r="N114" s="31"/>
      <c r="O114" s="31"/>
      <c r="P114" s="25">
        <v>930</v>
      </c>
      <c r="Q114" s="25">
        <v>0</v>
      </c>
    </row>
    <row r="115" spans="1:16" s="25" customFormat="1" ht="11.25">
      <c r="A115" s="17">
        <v>107</v>
      </c>
      <c r="B115" s="23">
        <f t="shared" si="1"/>
        <v>930</v>
      </c>
      <c r="C115" s="29"/>
      <c r="D115" s="32"/>
      <c r="F115" s="21"/>
      <c r="G115" s="21"/>
      <c r="H115" s="21"/>
      <c r="I115" s="31"/>
      <c r="J115" s="28"/>
      <c r="K115" s="28"/>
      <c r="L115" s="31"/>
      <c r="M115" s="31"/>
      <c r="N115" s="31"/>
      <c r="O115" s="31"/>
      <c r="P115" s="25">
        <v>930</v>
      </c>
    </row>
    <row r="116" spans="1:17" s="25" customFormat="1" ht="22.5" customHeight="1">
      <c r="A116" s="17">
        <v>108</v>
      </c>
      <c r="B116" s="23">
        <f t="shared" si="1"/>
        <v>930</v>
      </c>
      <c r="C116" s="29"/>
      <c r="D116" s="259" t="s">
        <v>236</v>
      </c>
      <c r="E116" s="260"/>
      <c r="F116" s="21">
        <f>SUM(F12+F20+F24+F28+F36+F40+F44+F52+F56+F68+F72+F77+F81+F85+F90+F94+F98+F102++F106+F110+F114)</f>
        <v>4628771</v>
      </c>
      <c r="G116" s="21">
        <f>SUM(G12+G20+G24+G28+G36+G40+G44+G52+G56+G68+G72+G77+G81+G85+G90+G94+G98+G102++G106+G110+G114)</f>
        <v>5192234</v>
      </c>
      <c r="H116" s="21">
        <f>SUM(H12+H20+H24+H28+H36+H40+H44+H52+H56+H68+H72+H77+H81+H85+H90+H94+H98+H102++H106+H110+H114)</f>
        <v>5192911</v>
      </c>
      <c r="I116" s="21">
        <f>SUM(I12+I20+I24+I28+I36+I40+I44+I52+I56+I68+I72+I77+I81+I85+I90+I94+I98+I102++I106+I110+I114)</f>
        <v>5371263</v>
      </c>
      <c r="J116" s="28"/>
      <c r="K116" s="28"/>
      <c r="L116" s="21">
        <f>SUM(L12+L20+L24+L28+L36+L40+L44+L52+L56+L68+L72+L77+L81+L85+L90+L94+L98+L102++L106+L110+L114)</f>
        <v>7177433</v>
      </c>
      <c r="M116" s="21">
        <f>SUM(M12+M20+M24+M28+M36+M40+M44+M52+M56+M68+M72+M77+M81+M85+M90+M94+M98+M102++M106+M110+M114)</f>
        <v>1806170</v>
      </c>
      <c r="N116" s="31"/>
      <c r="O116" s="31"/>
      <c r="P116" s="25">
        <v>930</v>
      </c>
      <c r="Q116" s="25">
        <v>5371263</v>
      </c>
    </row>
    <row r="117" spans="1:16" s="25" customFormat="1" ht="11.25">
      <c r="A117" s="17">
        <v>109</v>
      </c>
      <c r="B117" s="23">
        <f t="shared" si="1"/>
        <v>930</v>
      </c>
      <c r="C117" s="27"/>
      <c r="F117" s="21"/>
      <c r="G117" s="31"/>
      <c r="H117" s="31"/>
      <c r="I117" s="31"/>
      <c r="J117" s="28"/>
      <c r="K117" s="28"/>
      <c r="L117" s="31"/>
      <c r="M117" s="31"/>
      <c r="N117" s="31"/>
      <c r="O117" s="31"/>
      <c r="P117" s="25">
        <v>930</v>
      </c>
    </row>
    <row r="118" spans="1:15" ht="20.25">
      <c r="A118" s="17">
        <v>110</v>
      </c>
      <c r="B118" s="23" t="e">
        <f t="shared" si="1"/>
        <v>#VALUE!</v>
      </c>
      <c r="C118" s="2" t="s">
        <v>37</v>
      </c>
      <c r="F118" s="21"/>
      <c r="G118" s="31"/>
      <c r="H118" s="31"/>
      <c r="I118" s="31"/>
      <c r="J118" s="33"/>
      <c r="K118" s="33"/>
      <c r="L118" s="31"/>
      <c r="M118" s="31"/>
      <c r="N118" s="31"/>
      <c r="O118" s="31"/>
    </row>
    <row r="119" spans="1:16" s="25" customFormat="1" ht="11.25">
      <c r="A119" s="17">
        <v>111</v>
      </c>
      <c r="B119" s="23">
        <f t="shared" si="1"/>
        <v>560</v>
      </c>
      <c r="C119" s="24" t="s">
        <v>29</v>
      </c>
      <c r="F119" s="21"/>
      <c r="G119" s="31"/>
      <c r="H119" s="31"/>
      <c r="I119" s="31"/>
      <c r="J119" s="28"/>
      <c r="K119" s="28"/>
      <c r="L119" s="31"/>
      <c r="M119" s="31"/>
      <c r="N119" s="31"/>
      <c r="O119" s="31"/>
      <c r="P119" s="25">
        <v>560</v>
      </c>
    </row>
    <row r="120" spans="1:16" s="25" customFormat="1" ht="11.25">
      <c r="A120" s="17">
        <v>112</v>
      </c>
      <c r="B120" s="23">
        <f t="shared" si="1"/>
        <v>560</v>
      </c>
      <c r="C120" s="27">
        <v>560000</v>
      </c>
      <c r="D120" s="25" t="s">
        <v>28</v>
      </c>
      <c r="F120" s="21">
        <v>33849</v>
      </c>
      <c r="G120" s="31">
        <v>43565</v>
      </c>
      <c r="H120" s="31">
        <v>50906</v>
      </c>
      <c r="I120" s="31"/>
      <c r="J120" s="28"/>
      <c r="K120" s="28"/>
      <c r="L120" s="35">
        <v>58688</v>
      </c>
      <c r="M120" s="71">
        <f>L120-I120</f>
        <v>58688</v>
      </c>
      <c r="N120" s="31"/>
      <c r="O120" s="31"/>
      <c r="P120" s="25">
        <v>560</v>
      </c>
    </row>
    <row r="121" spans="1:17" s="25" customFormat="1" ht="33.75">
      <c r="A121" s="17">
        <v>113</v>
      </c>
      <c r="B121" s="23">
        <f t="shared" si="1"/>
        <v>560</v>
      </c>
      <c r="C121" s="27"/>
      <c r="E121" s="25" t="s">
        <v>217</v>
      </c>
      <c r="F121" s="31">
        <f>SUM(F120)</f>
        <v>33849</v>
      </c>
      <c r="G121" s="31">
        <f>SUM(G120)</f>
        <v>43565</v>
      </c>
      <c r="H121" s="31">
        <f>SUM(H120)</f>
        <v>50906</v>
      </c>
      <c r="I121" s="31">
        <v>2379</v>
      </c>
      <c r="J121" s="28"/>
      <c r="K121" s="36" t="s">
        <v>263</v>
      </c>
      <c r="L121" s="31">
        <f>SUM(L120)</f>
        <v>58688</v>
      </c>
      <c r="M121" s="36" t="s">
        <v>176</v>
      </c>
      <c r="N121" s="37">
        <f>SUM(M120:M120)</f>
        <v>58688</v>
      </c>
      <c r="O121" s="31"/>
      <c r="P121" s="25">
        <v>560</v>
      </c>
      <c r="Q121" s="25">
        <v>2379</v>
      </c>
    </row>
    <row r="122" spans="1:16" s="25" customFormat="1" ht="11.25">
      <c r="A122" s="17">
        <v>114</v>
      </c>
      <c r="B122" s="23">
        <f t="shared" si="1"/>
        <v>560</v>
      </c>
      <c r="C122" s="27"/>
      <c r="F122" s="31"/>
      <c r="G122" s="31"/>
      <c r="H122" s="31"/>
      <c r="I122" s="31"/>
      <c r="J122" s="28"/>
      <c r="K122" s="28"/>
      <c r="L122" s="31"/>
      <c r="M122" s="36"/>
      <c r="N122" s="37"/>
      <c r="O122" s="31"/>
      <c r="P122" s="25">
        <v>560</v>
      </c>
    </row>
    <row r="123" spans="1:16" s="25" customFormat="1" ht="11.25">
      <c r="A123" s="17">
        <v>115</v>
      </c>
      <c r="B123" s="23">
        <f t="shared" si="1"/>
        <v>561</v>
      </c>
      <c r="C123" s="24" t="s">
        <v>146</v>
      </c>
      <c r="F123" s="21"/>
      <c r="G123" s="31"/>
      <c r="H123" s="31"/>
      <c r="I123" s="31"/>
      <c r="J123" s="28"/>
      <c r="K123" s="28"/>
      <c r="L123" s="31"/>
      <c r="M123" s="31"/>
      <c r="N123" s="31"/>
      <c r="O123" s="31"/>
      <c r="P123" s="25">
        <v>561</v>
      </c>
    </row>
    <row r="124" spans="1:16" s="25" customFormat="1" ht="11.25">
      <c r="A124" s="17">
        <v>116</v>
      </c>
      <c r="B124" s="23">
        <f t="shared" si="1"/>
        <v>561</v>
      </c>
      <c r="C124" s="27">
        <v>561010</v>
      </c>
      <c r="D124" s="25" t="s">
        <v>147</v>
      </c>
      <c r="F124" s="21"/>
      <c r="G124" s="31"/>
      <c r="H124" s="31">
        <v>0</v>
      </c>
      <c r="I124" s="31"/>
      <c r="J124" s="28"/>
      <c r="K124" s="28"/>
      <c r="L124" s="31">
        <v>0</v>
      </c>
      <c r="M124" s="31"/>
      <c r="N124" s="31"/>
      <c r="O124" s="31"/>
      <c r="P124" s="25">
        <v>561</v>
      </c>
    </row>
    <row r="125" spans="1:16" s="25" customFormat="1" ht="11.25">
      <c r="A125" s="17">
        <v>117</v>
      </c>
      <c r="B125" s="23">
        <f t="shared" si="1"/>
        <v>561</v>
      </c>
      <c r="C125" s="27">
        <v>561020</v>
      </c>
      <c r="D125" s="25" t="s">
        <v>148</v>
      </c>
      <c r="F125" s="21"/>
      <c r="G125" s="31"/>
      <c r="H125" s="31">
        <v>0</v>
      </c>
      <c r="I125" s="31"/>
      <c r="J125" s="28"/>
      <c r="K125" s="28"/>
      <c r="L125" s="31">
        <v>0</v>
      </c>
      <c r="M125" s="71">
        <f>L125-I125</f>
        <v>0</v>
      </c>
      <c r="N125" s="31"/>
      <c r="O125" s="31"/>
      <c r="P125" s="25">
        <v>561</v>
      </c>
    </row>
    <row r="126" spans="1:17" s="25" customFormat="1" ht="33.75">
      <c r="A126" s="17">
        <v>118</v>
      </c>
      <c r="B126" s="23">
        <f t="shared" si="1"/>
        <v>561</v>
      </c>
      <c r="C126" s="27"/>
      <c r="E126" s="25" t="s">
        <v>217</v>
      </c>
      <c r="F126" s="31">
        <f>SUM(F124:F125)</f>
        <v>0</v>
      </c>
      <c r="G126" s="31">
        <f>SUM(G124:G125)</f>
        <v>0</v>
      </c>
      <c r="H126" s="31">
        <f>SUM(H124:H125)</f>
        <v>0</v>
      </c>
      <c r="I126" s="31">
        <v>0</v>
      </c>
      <c r="J126" s="28"/>
      <c r="K126" s="36" t="s">
        <v>264</v>
      </c>
      <c r="L126" s="31">
        <f>SUM(L124:L125)</f>
        <v>0</v>
      </c>
      <c r="M126" s="36" t="s">
        <v>214</v>
      </c>
      <c r="N126" s="37">
        <f>SUM(M125:M125)</f>
        <v>0</v>
      </c>
      <c r="O126" s="31"/>
      <c r="P126" s="25">
        <v>561</v>
      </c>
      <c r="Q126" s="25">
        <v>0</v>
      </c>
    </row>
    <row r="127" spans="1:16" s="25" customFormat="1" ht="11.25">
      <c r="A127" s="17">
        <v>119</v>
      </c>
      <c r="B127" s="23">
        <f t="shared" si="1"/>
        <v>561</v>
      </c>
      <c r="C127" s="27"/>
      <c r="F127" s="21"/>
      <c r="G127" s="31"/>
      <c r="H127" s="31"/>
      <c r="I127" s="31"/>
      <c r="J127" s="28"/>
      <c r="K127" s="28"/>
      <c r="L127" s="31"/>
      <c r="M127" s="36"/>
      <c r="N127" s="31"/>
      <c r="O127" s="31"/>
      <c r="P127" s="25">
        <v>561</v>
      </c>
    </row>
    <row r="128" spans="1:16" s="25" customFormat="1" ht="11.25">
      <c r="A128" s="17">
        <v>120</v>
      </c>
      <c r="B128" s="23">
        <f t="shared" si="1"/>
        <v>56</v>
      </c>
      <c r="C128" s="24" t="s">
        <v>41</v>
      </c>
      <c r="F128" s="21"/>
      <c r="G128" s="31"/>
      <c r="H128" s="31"/>
      <c r="I128" s="31"/>
      <c r="J128" s="28"/>
      <c r="K128" s="28"/>
      <c r="L128" s="31"/>
      <c r="M128" s="31"/>
      <c r="N128" s="31"/>
      <c r="O128" s="31"/>
      <c r="P128" s="25">
        <v>56</v>
      </c>
    </row>
    <row r="129" spans="1:16" s="25" customFormat="1" ht="11.25">
      <c r="A129" s="17">
        <v>121</v>
      </c>
      <c r="B129" s="23">
        <f t="shared" si="1"/>
        <v>562</v>
      </c>
      <c r="C129" s="27">
        <v>562500</v>
      </c>
      <c r="D129" s="25" t="s">
        <v>30</v>
      </c>
      <c r="F129" s="21">
        <v>45573</v>
      </c>
      <c r="G129" s="31">
        <v>59218</v>
      </c>
      <c r="H129" s="31">
        <v>47255</v>
      </c>
      <c r="I129" s="31"/>
      <c r="J129" s="28"/>
      <c r="K129" s="28"/>
      <c r="L129" s="38">
        <v>65675</v>
      </c>
      <c r="M129" s="38">
        <f aca="true" t="shared" si="2" ref="M129:M134">L129-I129</f>
        <v>65675</v>
      </c>
      <c r="N129" s="31"/>
      <c r="O129" s="31"/>
      <c r="P129" s="25">
        <v>562</v>
      </c>
    </row>
    <row r="130" spans="1:16" s="25" customFormat="1" ht="11.25">
      <c r="A130" s="17">
        <v>122</v>
      </c>
      <c r="B130" s="23">
        <f t="shared" si="1"/>
        <v>562</v>
      </c>
      <c r="C130" s="29">
        <v>562510</v>
      </c>
      <c r="D130" s="30" t="s">
        <v>31</v>
      </c>
      <c r="F130" s="21"/>
      <c r="G130" s="31">
        <v>4884</v>
      </c>
      <c r="H130" s="31">
        <v>1657</v>
      </c>
      <c r="I130" s="31"/>
      <c r="J130" s="28"/>
      <c r="K130" s="28"/>
      <c r="L130" s="38">
        <v>5425</v>
      </c>
      <c r="M130" s="38">
        <f t="shared" si="2"/>
        <v>5425</v>
      </c>
      <c r="N130" s="31"/>
      <c r="O130" s="31"/>
      <c r="P130" s="25">
        <v>562</v>
      </c>
    </row>
    <row r="131" spans="1:16" s="39" customFormat="1" ht="11.25">
      <c r="A131" s="17">
        <v>123</v>
      </c>
      <c r="B131" s="23">
        <f t="shared" si="1"/>
        <v>562</v>
      </c>
      <c r="C131" s="29">
        <v>562520</v>
      </c>
      <c r="D131" s="30" t="s">
        <v>32</v>
      </c>
      <c r="F131" s="31"/>
      <c r="G131" s="31">
        <v>42778</v>
      </c>
      <c r="H131" s="40">
        <v>45000</v>
      </c>
      <c r="I131" s="40"/>
      <c r="J131" s="28" t="s">
        <v>167</v>
      </c>
      <c r="K131" s="28"/>
      <c r="L131" s="38">
        <v>153000</v>
      </c>
      <c r="M131" s="38">
        <f t="shared" si="2"/>
        <v>153000</v>
      </c>
      <c r="N131" s="31"/>
      <c r="O131" s="31"/>
      <c r="P131" s="39">
        <v>562</v>
      </c>
    </row>
    <row r="132" spans="1:16" s="25" customFormat="1" ht="11.25">
      <c r="A132" s="17">
        <v>124</v>
      </c>
      <c r="B132" s="23">
        <f t="shared" si="1"/>
        <v>562</v>
      </c>
      <c r="C132" s="29">
        <v>562530</v>
      </c>
      <c r="D132" s="30" t="s">
        <v>33</v>
      </c>
      <c r="F132" s="21">
        <v>13041</v>
      </c>
      <c r="G132" s="31">
        <v>10191</v>
      </c>
      <c r="H132" s="31">
        <v>23163</v>
      </c>
      <c r="I132" s="31"/>
      <c r="J132" s="28" t="s">
        <v>103</v>
      </c>
      <c r="K132" s="28"/>
      <c r="L132" s="38">
        <v>23974</v>
      </c>
      <c r="M132" s="38">
        <f t="shared" si="2"/>
        <v>23974</v>
      </c>
      <c r="N132" s="31"/>
      <c r="O132" s="31"/>
      <c r="P132" s="25">
        <v>562</v>
      </c>
    </row>
    <row r="133" spans="1:16" s="25" customFormat="1" ht="11.25">
      <c r="A133" s="17">
        <v>125</v>
      </c>
      <c r="B133" s="23">
        <f t="shared" si="1"/>
        <v>562</v>
      </c>
      <c r="C133" s="29">
        <v>562540</v>
      </c>
      <c r="D133" s="30" t="s">
        <v>34</v>
      </c>
      <c r="F133" s="21">
        <v>413</v>
      </c>
      <c r="G133" s="31">
        <v>14584</v>
      </c>
      <c r="H133" s="31">
        <v>5281</v>
      </c>
      <c r="I133" s="31"/>
      <c r="J133" s="28"/>
      <c r="K133" s="28"/>
      <c r="L133" s="38">
        <v>15625</v>
      </c>
      <c r="M133" s="38">
        <f t="shared" si="2"/>
        <v>15625</v>
      </c>
      <c r="N133" s="31"/>
      <c r="O133" s="31"/>
      <c r="P133" s="25">
        <v>562</v>
      </c>
    </row>
    <row r="134" spans="1:16" s="25" customFormat="1" ht="11.25">
      <c r="A134" s="17">
        <v>126</v>
      </c>
      <c r="B134" s="23">
        <f t="shared" si="1"/>
        <v>562</v>
      </c>
      <c r="C134" s="29">
        <v>562550</v>
      </c>
      <c r="D134" s="30" t="s">
        <v>35</v>
      </c>
      <c r="F134" s="21">
        <v>24137</v>
      </c>
      <c r="G134" s="31">
        <v>13927</v>
      </c>
      <c r="H134" s="31">
        <v>3651</v>
      </c>
      <c r="I134" s="31"/>
      <c r="J134" s="28"/>
      <c r="K134" s="28"/>
      <c r="L134" s="38">
        <v>15000</v>
      </c>
      <c r="M134" s="38">
        <f t="shared" si="2"/>
        <v>15000</v>
      </c>
      <c r="N134" s="31"/>
      <c r="O134" s="31"/>
      <c r="P134" s="25">
        <v>562</v>
      </c>
    </row>
    <row r="135" spans="1:17" s="25" customFormat="1" ht="33.75">
      <c r="A135" s="17">
        <v>127</v>
      </c>
      <c r="B135" s="23">
        <f t="shared" si="1"/>
        <v>562</v>
      </c>
      <c r="C135" s="27"/>
      <c r="E135" s="25" t="s">
        <v>217</v>
      </c>
      <c r="F135" s="31">
        <f>SUM(F129:F134)</f>
        <v>83164</v>
      </c>
      <c r="G135" s="31">
        <f>SUM(G129:G134)</f>
        <v>145582</v>
      </c>
      <c r="H135" s="31">
        <f>SUM(H129:H134)</f>
        <v>126007</v>
      </c>
      <c r="I135" s="31">
        <v>16749</v>
      </c>
      <c r="K135" s="36" t="s">
        <v>265</v>
      </c>
      <c r="L135" s="41">
        <f>SUM(L129:L134)</f>
        <v>278699</v>
      </c>
      <c r="M135" s="36" t="s">
        <v>174</v>
      </c>
      <c r="N135" s="37">
        <f>SUM(M129:M134)</f>
        <v>278699</v>
      </c>
      <c r="O135" s="31"/>
      <c r="P135" s="25">
        <v>562</v>
      </c>
      <c r="Q135" s="25">
        <v>16749</v>
      </c>
    </row>
    <row r="136" spans="1:16" s="25" customFormat="1" ht="11.25">
      <c r="A136" s="17">
        <v>128</v>
      </c>
      <c r="B136" s="23">
        <f t="shared" si="1"/>
        <v>562</v>
      </c>
      <c r="C136" s="27"/>
      <c r="F136" s="21"/>
      <c r="G136" s="31"/>
      <c r="H136" s="31"/>
      <c r="I136" s="31"/>
      <c r="L136" s="41"/>
      <c r="M136" s="36"/>
      <c r="N136" s="37"/>
      <c r="O136" s="31"/>
      <c r="P136" s="25">
        <v>562</v>
      </c>
    </row>
    <row r="137" spans="1:16" s="25" customFormat="1" ht="11.25">
      <c r="A137" s="17">
        <v>129</v>
      </c>
      <c r="B137" s="23">
        <f t="shared" si="1"/>
        <v>563</v>
      </c>
      <c r="C137" s="24" t="s">
        <v>40</v>
      </c>
      <c r="F137" s="21"/>
      <c r="G137" s="31"/>
      <c r="H137" s="31"/>
      <c r="I137" s="31"/>
      <c r="J137" s="28"/>
      <c r="K137" s="28"/>
      <c r="L137" s="31"/>
      <c r="M137" s="15"/>
      <c r="N137" s="31"/>
      <c r="O137" s="31"/>
      <c r="P137" s="25">
        <v>563</v>
      </c>
    </row>
    <row r="138" spans="1:16" s="25" customFormat="1" ht="11.25">
      <c r="A138" s="17">
        <v>130</v>
      </c>
      <c r="B138" s="23">
        <f aca="true" t="shared" si="3" ref="B138:B201">IF(C138="",B137,VALUE(LEFT(C138,3)))</f>
        <v>563</v>
      </c>
      <c r="C138" s="29">
        <v>563500</v>
      </c>
      <c r="D138" s="30" t="s">
        <v>36</v>
      </c>
      <c r="F138" s="21">
        <v>2324</v>
      </c>
      <c r="G138" s="31">
        <v>2502</v>
      </c>
      <c r="H138" s="31">
        <v>503</v>
      </c>
      <c r="I138" s="31"/>
      <c r="J138" s="28"/>
      <c r="K138" s="28"/>
      <c r="L138" s="35">
        <v>2750</v>
      </c>
      <c r="M138" s="35">
        <f>L138-I138</f>
        <v>2750</v>
      </c>
      <c r="N138" s="31"/>
      <c r="O138" s="31"/>
      <c r="P138" s="25">
        <v>563</v>
      </c>
    </row>
    <row r="139" spans="1:16" s="25" customFormat="1" ht="11.25">
      <c r="A139" s="17">
        <v>131</v>
      </c>
      <c r="B139" s="23">
        <f t="shared" si="3"/>
        <v>563</v>
      </c>
      <c r="C139" s="29">
        <v>563510</v>
      </c>
      <c r="D139" s="30" t="s">
        <v>149</v>
      </c>
      <c r="F139" s="21"/>
      <c r="G139" s="31"/>
      <c r="H139" s="31"/>
      <c r="I139" s="31"/>
      <c r="J139" s="28"/>
      <c r="K139" s="28"/>
      <c r="L139" s="35"/>
      <c r="M139" s="35"/>
      <c r="N139" s="31"/>
      <c r="O139" s="31"/>
      <c r="P139" s="25">
        <v>563</v>
      </c>
    </row>
    <row r="140" spans="1:16" s="25" customFormat="1" ht="11.25">
      <c r="A140" s="17">
        <v>132</v>
      </c>
      <c r="B140" s="23">
        <f t="shared" si="3"/>
        <v>563</v>
      </c>
      <c r="C140" s="29">
        <v>563520</v>
      </c>
      <c r="D140" s="30" t="s">
        <v>150</v>
      </c>
      <c r="F140" s="21"/>
      <c r="G140" s="31"/>
      <c r="H140" s="31"/>
      <c r="I140" s="31"/>
      <c r="J140" s="28"/>
      <c r="K140" s="28"/>
      <c r="L140" s="35"/>
      <c r="M140" s="35"/>
      <c r="N140" s="31"/>
      <c r="O140" s="31"/>
      <c r="P140" s="25">
        <v>563</v>
      </c>
    </row>
    <row r="141" spans="1:17" s="25" customFormat="1" ht="33.75">
      <c r="A141" s="17">
        <v>133</v>
      </c>
      <c r="B141" s="23">
        <f t="shared" si="3"/>
        <v>563</v>
      </c>
      <c r="C141" s="27"/>
      <c r="E141" s="25" t="s">
        <v>217</v>
      </c>
      <c r="F141" s="31">
        <f>SUM(F138:F140)</f>
        <v>2324</v>
      </c>
      <c r="G141" s="31">
        <f>SUM(G138:G140)</f>
        <v>2502</v>
      </c>
      <c r="H141" s="31">
        <f>SUM(H138:H140)</f>
        <v>503</v>
      </c>
      <c r="I141" s="31">
        <v>0</v>
      </c>
      <c r="J141" s="28"/>
      <c r="K141" s="36" t="s">
        <v>266</v>
      </c>
      <c r="L141" s="31">
        <f>SUM(L138:L140)</f>
        <v>2750</v>
      </c>
      <c r="M141" s="36" t="s">
        <v>175</v>
      </c>
      <c r="N141" s="37">
        <f>SUM(M137:M140)</f>
        <v>2750</v>
      </c>
      <c r="O141" s="31"/>
      <c r="P141" s="25">
        <v>563</v>
      </c>
      <c r="Q141" s="25">
        <v>0</v>
      </c>
    </row>
    <row r="142" spans="1:16" s="25" customFormat="1" ht="11.25">
      <c r="A142" s="17">
        <v>134</v>
      </c>
      <c r="B142" s="23">
        <f t="shared" si="3"/>
        <v>563</v>
      </c>
      <c r="C142" s="27"/>
      <c r="F142" s="21"/>
      <c r="G142" s="31"/>
      <c r="H142" s="31"/>
      <c r="I142" s="31"/>
      <c r="J142" s="28"/>
      <c r="K142" s="28"/>
      <c r="L142" s="31"/>
      <c r="M142" s="36"/>
      <c r="N142" s="37"/>
      <c r="O142" s="31"/>
      <c r="P142" s="25">
        <v>563</v>
      </c>
    </row>
    <row r="143" spans="1:16" s="25" customFormat="1" ht="11.25">
      <c r="A143" s="17">
        <v>135</v>
      </c>
      <c r="B143" s="23">
        <f t="shared" si="3"/>
        <v>566</v>
      </c>
      <c r="C143" s="24" t="s">
        <v>8</v>
      </c>
      <c r="F143" s="21"/>
      <c r="G143" s="31"/>
      <c r="H143" s="31"/>
      <c r="I143" s="31"/>
      <c r="J143" s="28"/>
      <c r="K143" s="28"/>
      <c r="L143" s="31"/>
      <c r="M143" s="31"/>
      <c r="N143" s="31"/>
      <c r="O143" s="31"/>
      <c r="P143" s="25">
        <v>566</v>
      </c>
    </row>
    <row r="144" spans="1:16" s="25" customFormat="1" ht="11.25">
      <c r="A144" s="17">
        <v>136</v>
      </c>
      <c r="B144" s="23">
        <f t="shared" si="3"/>
        <v>566</v>
      </c>
      <c r="C144" s="27">
        <v>566000</v>
      </c>
      <c r="D144" s="25" t="s">
        <v>1</v>
      </c>
      <c r="F144" s="21">
        <v>0</v>
      </c>
      <c r="G144" s="31">
        <v>0</v>
      </c>
      <c r="H144" s="31">
        <v>0</v>
      </c>
      <c r="I144" s="31"/>
      <c r="J144" s="28"/>
      <c r="K144" s="28"/>
      <c r="L144" s="35">
        <f>SUM(F144:J144)</f>
        <v>0</v>
      </c>
      <c r="M144" s="35">
        <f>L144-I144</f>
        <v>0</v>
      </c>
      <c r="N144" s="31"/>
      <c r="O144" s="31"/>
      <c r="P144" s="25">
        <v>566</v>
      </c>
    </row>
    <row r="145" spans="1:17" s="25" customFormat="1" ht="33.75">
      <c r="A145" s="17">
        <v>137</v>
      </c>
      <c r="B145" s="23">
        <f t="shared" si="3"/>
        <v>566</v>
      </c>
      <c r="C145" s="27"/>
      <c r="E145" s="25" t="s">
        <v>217</v>
      </c>
      <c r="F145" s="31">
        <f>SUM(F144)</f>
        <v>0</v>
      </c>
      <c r="G145" s="31">
        <f>SUM(G144)</f>
        <v>0</v>
      </c>
      <c r="H145" s="31">
        <f>SUM(H144)</f>
        <v>0</v>
      </c>
      <c r="I145" s="31">
        <v>0</v>
      </c>
      <c r="J145" s="28"/>
      <c r="K145" s="36" t="s">
        <v>267</v>
      </c>
      <c r="L145" s="31">
        <f>SUM(L144:L144)</f>
        <v>0</v>
      </c>
      <c r="M145" s="36" t="s">
        <v>177</v>
      </c>
      <c r="N145" s="37">
        <f>SUM(M144:M144)</f>
        <v>0</v>
      </c>
      <c r="O145" s="31"/>
      <c r="P145" s="25">
        <v>566</v>
      </c>
      <c r="Q145" s="25">
        <v>0</v>
      </c>
    </row>
    <row r="146" spans="1:16" s="25" customFormat="1" ht="11.25">
      <c r="A146" s="17">
        <v>138</v>
      </c>
      <c r="B146" s="23">
        <f t="shared" si="3"/>
        <v>566</v>
      </c>
      <c r="C146" s="27"/>
      <c r="F146" s="21"/>
      <c r="G146" s="31"/>
      <c r="H146" s="31"/>
      <c r="I146" s="31"/>
      <c r="J146" s="28"/>
      <c r="K146" s="28"/>
      <c r="L146" s="31"/>
      <c r="M146" s="36"/>
      <c r="N146" s="37"/>
      <c r="O146" s="31"/>
      <c r="P146" s="25">
        <v>566</v>
      </c>
    </row>
    <row r="147" spans="1:16" s="25" customFormat="1" ht="11.25">
      <c r="A147" s="17">
        <v>139</v>
      </c>
      <c r="B147" s="23">
        <f t="shared" si="3"/>
        <v>567</v>
      </c>
      <c r="C147" s="24" t="s">
        <v>170</v>
      </c>
      <c r="F147" s="21"/>
      <c r="G147" s="31"/>
      <c r="H147" s="31"/>
      <c r="I147" s="31"/>
      <c r="J147" s="28"/>
      <c r="K147" s="28"/>
      <c r="L147" s="31"/>
      <c r="M147" s="31"/>
      <c r="N147" s="31"/>
      <c r="O147" s="31"/>
      <c r="P147" s="25">
        <v>567</v>
      </c>
    </row>
    <row r="148" spans="1:16" s="25" customFormat="1" ht="11.25">
      <c r="A148" s="17">
        <v>140</v>
      </c>
      <c r="B148" s="23">
        <f t="shared" si="3"/>
        <v>567</v>
      </c>
      <c r="C148" s="27">
        <v>567000</v>
      </c>
      <c r="D148" s="25" t="s">
        <v>122</v>
      </c>
      <c r="F148" s="21"/>
      <c r="G148" s="31"/>
      <c r="H148" s="31">
        <v>0</v>
      </c>
      <c r="I148" s="31"/>
      <c r="J148" s="28"/>
      <c r="K148" s="28"/>
      <c r="L148" s="35">
        <f>SUM(L144:L147)</f>
        <v>0</v>
      </c>
      <c r="M148" s="35"/>
      <c r="N148" s="31"/>
      <c r="O148" s="31"/>
      <c r="P148" s="25">
        <v>567</v>
      </c>
    </row>
    <row r="149" spans="1:17" s="25" customFormat="1" ht="33.75">
      <c r="A149" s="17">
        <v>141</v>
      </c>
      <c r="B149" s="23">
        <f t="shared" si="3"/>
        <v>567</v>
      </c>
      <c r="C149" s="27"/>
      <c r="E149" s="25" t="s">
        <v>217</v>
      </c>
      <c r="F149" s="31">
        <f>SUM(F148)</f>
        <v>0</v>
      </c>
      <c r="G149" s="31">
        <f>SUM(G148)</f>
        <v>0</v>
      </c>
      <c r="H149" s="31">
        <f>SUM(H148)</f>
        <v>0</v>
      </c>
      <c r="I149" s="31">
        <v>0</v>
      </c>
      <c r="J149" s="28"/>
      <c r="K149" s="36" t="s">
        <v>268</v>
      </c>
      <c r="L149" s="31">
        <f>SUM(L148:L148)</f>
        <v>0</v>
      </c>
      <c r="M149" s="36" t="s">
        <v>178</v>
      </c>
      <c r="N149" s="37">
        <f>SUM(M148:M148)</f>
        <v>0</v>
      </c>
      <c r="O149" s="31"/>
      <c r="P149" s="25">
        <v>567</v>
      </c>
      <c r="Q149" s="25">
        <v>0</v>
      </c>
    </row>
    <row r="150" spans="1:16" s="25" customFormat="1" ht="11.25">
      <c r="A150" s="17">
        <v>142</v>
      </c>
      <c r="B150" s="23">
        <f t="shared" si="3"/>
        <v>567</v>
      </c>
      <c r="C150" s="27"/>
      <c r="F150" s="21"/>
      <c r="G150" s="31"/>
      <c r="H150" s="31"/>
      <c r="I150" s="31"/>
      <c r="J150" s="28"/>
      <c r="K150" s="28"/>
      <c r="L150" s="31"/>
      <c r="M150" s="36"/>
      <c r="N150" s="37"/>
      <c r="O150" s="31"/>
      <c r="P150" s="25">
        <v>567</v>
      </c>
    </row>
    <row r="151" spans="1:16" s="25" customFormat="1" ht="11.25">
      <c r="A151" s="17">
        <v>143</v>
      </c>
      <c r="B151" s="23">
        <f t="shared" si="3"/>
        <v>568</v>
      </c>
      <c r="C151" s="24" t="s">
        <v>39</v>
      </c>
      <c r="F151" s="21"/>
      <c r="G151" s="31"/>
      <c r="H151" s="31"/>
      <c r="I151" s="31"/>
      <c r="J151" s="28"/>
      <c r="K151" s="28"/>
      <c r="L151" s="31"/>
      <c r="M151" s="31"/>
      <c r="N151" s="31"/>
      <c r="O151" s="31"/>
      <c r="P151" s="25">
        <v>568</v>
      </c>
    </row>
    <row r="152" spans="1:16" s="25" customFormat="1" ht="11.25">
      <c r="A152" s="17">
        <v>144</v>
      </c>
      <c r="B152" s="23">
        <f t="shared" si="3"/>
        <v>568</v>
      </c>
      <c r="C152" s="29">
        <v>568000</v>
      </c>
      <c r="D152" s="30" t="s">
        <v>38</v>
      </c>
      <c r="F152" s="21">
        <v>67450</v>
      </c>
      <c r="G152" s="31">
        <v>67892</v>
      </c>
      <c r="H152" s="31">
        <v>66046</v>
      </c>
      <c r="I152" s="31"/>
      <c r="J152" s="28"/>
      <c r="K152" s="28"/>
      <c r="L152" s="31">
        <v>146358</v>
      </c>
      <c r="M152" s="31">
        <f>L152-I152</f>
        <v>146358</v>
      </c>
      <c r="N152" s="31"/>
      <c r="O152" s="31"/>
      <c r="P152" s="25">
        <v>568</v>
      </c>
    </row>
    <row r="153" spans="1:17" s="25" customFormat="1" ht="33.75">
      <c r="A153" s="17">
        <v>145</v>
      </c>
      <c r="B153" s="23">
        <f t="shared" si="3"/>
        <v>568</v>
      </c>
      <c r="C153" s="29"/>
      <c r="D153" s="30"/>
      <c r="E153" s="25" t="s">
        <v>217</v>
      </c>
      <c r="F153" s="31">
        <f>SUM(F152)</f>
        <v>67450</v>
      </c>
      <c r="G153" s="31">
        <f>SUM(G152)</f>
        <v>67892</v>
      </c>
      <c r="H153" s="31">
        <f>SUM(H152)</f>
        <v>66046</v>
      </c>
      <c r="I153" s="31">
        <v>44038</v>
      </c>
      <c r="J153" s="28"/>
      <c r="K153" s="36" t="s">
        <v>269</v>
      </c>
      <c r="L153" s="31">
        <f>SUM(L152)</f>
        <v>146358</v>
      </c>
      <c r="M153" s="36" t="s">
        <v>179</v>
      </c>
      <c r="N153" s="37">
        <f>SUM(M152:M152)</f>
        <v>146358</v>
      </c>
      <c r="O153" s="31"/>
      <c r="P153" s="25">
        <v>568</v>
      </c>
      <c r="Q153" s="25">
        <v>44038</v>
      </c>
    </row>
    <row r="154" spans="1:16" s="25" customFormat="1" ht="11.25">
      <c r="A154" s="17">
        <v>146</v>
      </c>
      <c r="B154" s="23">
        <f t="shared" si="3"/>
        <v>568</v>
      </c>
      <c r="C154" s="29"/>
      <c r="D154" s="30"/>
      <c r="F154" s="21"/>
      <c r="G154" s="31"/>
      <c r="H154" s="31"/>
      <c r="I154" s="31"/>
      <c r="J154" s="28"/>
      <c r="K154" s="28"/>
      <c r="L154" s="31"/>
      <c r="M154" s="36"/>
      <c r="N154" s="37"/>
      <c r="O154" s="31"/>
      <c r="P154" s="25">
        <v>568</v>
      </c>
    </row>
    <row r="155" spans="1:16" s="25" customFormat="1" ht="11.25">
      <c r="A155" s="17">
        <v>147</v>
      </c>
      <c r="B155" s="23">
        <f t="shared" si="3"/>
        <v>569</v>
      </c>
      <c r="C155" s="24" t="s">
        <v>42</v>
      </c>
      <c r="D155" s="30"/>
      <c r="F155" s="21"/>
      <c r="G155" s="31"/>
      <c r="H155" s="31"/>
      <c r="I155" s="31"/>
      <c r="J155" s="28"/>
      <c r="K155" s="28"/>
      <c r="L155" s="31"/>
      <c r="M155" s="31"/>
      <c r="N155" s="31"/>
      <c r="O155" s="31"/>
      <c r="P155" s="25">
        <v>569</v>
      </c>
    </row>
    <row r="156" spans="1:16" s="25" customFormat="1" ht="11.25">
      <c r="A156" s="17">
        <v>148</v>
      </c>
      <c r="B156" s="23">
        <f t="shared" si="3"/>
        <v>569</v>
      </c>
      <c r="C156" s="29">
        <v>569510</v>
      </c>
      <c r="D156" s="30" t="s">
        <v>43</v>
      </c>
      <c r="F156" s="21">
        <v>6796</v>
      </c>
      <c r="G156" s="31">
        <v>21196</v>
      </c>
      <c r="H156" s="31">
        <v>5061</v>
      </c>
      <c r="I156" s="31"/>
      <c r="J156" s="28"/>
      <c r="K156" s="28"/>
      <c r="L156" s="38">
        <v>24500</v>
      </c>
      <c r="M156" s="38">
        <f>L156-I156</f>
        <v>24500</v>
      </c>
      <c r="N156" s="31"/>
      <c r="O156" s="31"/>
      <c r="P156" s="25">
        <v>569</v>
      </c>
    </row>
    <row r="157" spans="1:16" s="25" customFormat="1" ht="11.25">
      <c r="A157" s="17">
        <v>149</v>
      </c>
      <c r="B157" s="23">
        <f t="shared" si="3"/>
        <v>569</v>
      </c>
      <c r="C157" s="29">
        <v>569520</v>
      </c>
      <c r="D157" s="30" t="s">
        <v>44</v>
      </c>
      <c r="F157" s="21">
        <v>8204</v>
      </c>
      <c r="G157" s="31">
        <v>12147</v>
      </c>
      <c r="H157" s="31">
        <v>10452</v>
      </c>
      <c r="I157" s="31"/>
      <c r="J157" s="28"/>
      <c r="K157" s="28"/>
      <c r="L157" s="38">
        <v>13000</v>
      </c>
      <c r="M157" s="38">
        <f>L157-I157</f>
        <v>13000</v>
      </c>
      <c r="N157" s="31"/>
      <c r="O157" s="31"/>
      <c r="P157" s="25">
        <v>569</v>
      </c>
    </row>
    <row r="158" spans="1:16" s="25" customFormat="1" ht="11.25">
      <c r="A158" s="17">
        <v>150</v>
      </c>
      <c r="B158" s="23">
        <f t="shared" si="3"/>
        <v>569</v>
      </c>
      <c r="C158" s="27">
        <v>569530</v>
      </c>
      <c r="D158" s="30" t="s">
        <v>45</v>
      </c>
      <c r="F158" s="21">
        <v>46294</v>
      </c>
      <c r="G158" s="31">
        <v>53465</v>
      </c>
      <c r="H158" s="31">
        <v>81189</v>
      </c>
      <c r="I158" s="31"/>
      <c r="J158" s="28" t="s">
        <v>103</v>
      </c>
      <c r="K158" s="28"/>
      <c r="L158" s="38">
        <v>84030</v>
      </c>
      <c r="M158" s="38">
        <f>L158-I158</f>
        <v>84030</v>
      </c>
      <c r="N158" s="31"/>
      <c r="O158" s="31"/>
      <c r="P158" s="25">
        <v>569</v>
      </c>
    </row>
    <row r="159" spans="1:16" s="39" customFormat="1" ht="11.25">
      <c r="A159" s="17">
        <v>151</v>
      </c>
      <c r="B159" s="23">
        <f t="shared" si="3"/>
        <v>569</v>
      </c>
      <c r="C159" s="29">
        <v>569540</v>
      </c>
      <c r="D159" s="30" t="s">
        <v>46</v>
      </c>
      <c r="F159" s="31">
        <v>40181</v>
      </c>
      <c r="G159" s="31">
        <v>28225</v>
      </c>
      <c r="H159" s="31">
        <v>48159</v>
      </c>
      <c r="I159" s="31"/>
      <c r="J159" s="28" t="s">
        <v>103</v>
      </c>
      <c r="K159" s="28"/>
      <c r="L159" s="38">
        <f>52395*1.035</f>
        <v>54229</v>
      </c>
      <c r="M159" s="38">
        <f>L159-I159</f>
        <v>54229</v>
      </c>
      <c r="N159" s="31"/>
      <c r="O159" s="31"/>
      <c r="P159" s="39">
        <v>569</v>
      </c>
    </row>
    <row r="160" spans="1:17" s="25" customFormat="1" ht="33.75">
      <c r="A160" s="17">
        <v>152</v>
      </c>
      <c r="B160" s="23">
        <f t="shared" si="3"/>
        <v>569</v>
      </c>
      <c r="C160" s="24"/>
      <c r="D160" s="30"/>
      <c r="E160" s="25" t="s">
        <v>217</v>
      </c>
      <c r="F160" s="31">
        <f>SUM(F156:F159)</f>
        <v>101475</v>
      </c>
      <c r="G160" s="31">
        <f>SUM(G156:G159)</f>
        <v>115033</v>
      </c>
      <c r="H160" s="31">
        <f>SUM(H156:H159)</f>
        <v>144861</v>
      </c>
      <c r="I160" s="31">
        <v>176704</v>
      </c>
      <c r="J160" s="28"/>
      <c r="K160" s="36" t="s">
        <v>270</v>
      </c>
      <c r="L160" s="31">
        <f>SUM(L156:L159)</f>
        <v>175759</v>
      </c>
      <c r="M160" s="36" t="s">
        <v>180</v>
      </c>
      <c r="N160" s="37">
        <f>SUM(M156:M159)</f>
        <v>175759</v>
      </c>
      <c r="O160" s="31"/>
      <c r="P160" s="25">
        <v>569</v>
      </c>
      <c r="Q160" s="25">
        <v>176704</v>
      </c>
    </row>
    <row r="161" spans="1:16" s="25" customFormat="1" ht="11.25">
      <c r="A161" s="17">
        <v>153</v>
      </c>
      <c r="B161" s="23">
        <f t="shared" si="3"/>
        <v>569</v>
      </c>
      <c r="C161" s="24"/>
      <c r="D161" s="30"/>
      <c r="F161" s="21"/>
      <c r="G161" s="31"/>
      <c r="H161" s="31"/>
      <c r="I161" s="31"/>
      <c r="J161" s="28"/>
      <c r="K161" s="28"/>
      <c r="L161" s="31"/>
      <c r="M161" s="36"/>
      <c r="N161" s="37"/>
      <c r="O161" s="31"/>
      <c r="P161" s="25">
        <v>569</v>
      </c>
    </row>
    <row r="162" spans="1:16" s="25" customFormat="1" ht="11.25">
      <c r="A162" s="17">
        <v>154</v>
      </c>
      <c r="B162" s="23">
        <f t="shared" si="3"/>
        <v>570</v>
      </c>
      <c r="C162" s="24" t="s">
        <v>47</v>
      </c>
      <c r="D162" s="30"/>
      <c r="F162" s="21"/>
      <c r="G162" s="31"/>
      <c r="H162" s="31"/>
      <c r="I162" s="31"/>
      <c r="J162" s="28"/>
      <c r="K162" s="28"/>
      <c r="L162" s="31"/>
      <c r="M162" s="31"/>
      <c r="N162" s="31"/>
      <c r="O162" s="31"/>
      <c r="P162" s="25">
        <v>570</v>
      </c>
    </row>
    <row r="163" spans="1:16" s="39" customFormat="1" ht="11.25">
      <c r="A163" s="17">
        <v>155</v>
      </c>
      <c r="B163" s="23">
        <f t="shared" si="3"/>
        <v>570</v>
      </c>
      <c r="C163" s="29">
        <v>570500</v>
      </c>
      <c r="D163" s="30" t="s">
        <v>32</v>
      </c>
      <c r="F163" s="31">
        <v>152440</v>
      </c>
      <c r="G163" s="42">
        <v>208716</v>
      </c>
      <c r="H163" s="42">
        <v>130287</v>
      </c>
      <c r="I163" s="42"/>
      <c r="J163" s="28"/>
      <c r="K163" s="28"/>
      <c r="L163" s="38">
        <v>153000</v>
      </c>
      <c r="M163" s="38">
        <f aca="true" t="shared" si="4" ref="M163:M169">L163-I163</f>
        <v>153000</v>
      </c>
      <c r="N163" s="31"/>
      <c r="O163" s="31"/>
      <c r="P163" s="39">
        <v>570</v>
      </c>
    </row>
    <row r="164" spans="1:16" s="39" customFormat="1" ht="11.25">
      <c r="A164" s="17">
        <v>156</v>
      </c>
      <c r="B164" s="23">
        <f t="shared" si="3"/>
        <v>570</v>
      </c>
      <c r="C164" s="29">
        <v>570510</v>
      </c>
      <c r="D164" s="30" t="s">
        <v>74</v>
      </c>
      <c r="F164" s="31">
        <v>11180</v>
      </c>
      <c r="G164" s="42">
        <v>21940</v>
      </c>
      <c r="H164" s="42">
        <v>27506</v>
      </c>
      <c r="I164" s="42"/>
      <c r="J164" s="28"/>
      <c r="K164" s="28"/>
      <c r="L164" s="38">
        <v>40000</v>
      </c>
      <c r="M164" s="38">
        <f t="shared" si="4"/>
        <v>40000</v>
      </c>
      <c r="N164" s="31"/>
      <c r="O164" s="31"/>
      <c r="P164" s="39">
        <v>570</v>
      </c>
    </row>
    <row r="165" spans="1:16" s="39" customFormat="1" ht="11.25">
      <c r="A165" s="17">
        <v>157</v>
      </c>
      <c r="B165" s="23">
        <f t="shared" si="3"/>
        <v>570</v>
      </c>
      <c r="C165" s="29">
        <v>570520</v>
      </c>
      <c r="D165" s="30" t="s">
        <v>48</v>
      </c>
      <c r="E165" s="25"/>
      <c r="F165" s="21">
        <v>44139</v>
      </c>
      <c r="G165" s="42">
        <v>22386</v>
      </c>
      <c r="H165" s="42">
        <v>45554</v>
      </c>
      <c r="I165" s="42"/>
      <c r="J165" s="28"/>
      <c r="K165" s="28"/>
      <c r="L165" s="38">
        <v>104000</v>
      </c>
      <c r="M165" s="38">
        <f t="shared" si="4"/>
        <v>104000</v>
      </c>
      <c r="N165" s="31"/>
      <c r="O165" s="31"/>
      <c r="P165" s="39">
        <v>570</v>
      </c>
    </row>
    <row r="166" spans="1:16" s="39" customFormat="1" ht="11.25">
      <c r="A166" s="17">
        <v>158</v>
      </c>
      <c r="B166" s="23">
        <f t="shared" si="3"/>
        <v>570</v>
      </c>
      <c r="C166" s="29">
        <v>570530</v>
      </c>
      <c r="D166" s="30" t="s">
        <v>49</v>
      </c>
      <c r="F166" s="31">
        <v>10951</v>
      </c>
      <c r="G166" s="42">
        <v>13866</v>
      </c>
      <c r="H166" s="42">
        <v>162868</v>
      </c>
      <c r="I166" s="42"/>
      <c r="J166" s="28"/>
      <c r="K166" s="28"/>
      <c r="L166" s="38">
        <v>75000</v>
      </c>
      <c r="M166" s="38">
        <f t="shared" si="4"/>
        <v>75000</v>
      </c>
      <c r="N166" s="31"/>
      <c r="O166" s="31"/>
      <c r="P166" s="39">
        <v>570</v>
      </c>
    </row>
    <row r="167" spans="1:16" s="25" customFormat="1" ht="11.25">
      <c r="A167" s="17">
        <v>159</v>
      </c>
      <c r="B167" s="23">
        <f t="shared" si="3"/>
        <v>570</v>
      </c>
      <c r="C167" s="29">
        <v>570540</v>
      </c>
      <c r="D167" s="30" t="s">
        <v>31</v>
      </c>
      <c r="F167" s="31">
        <v>56507</v>
      </c>
      <c r="G167" s="42">
        <v>24962</v>
      </c>
      <c r="H167" s="42">
        <v>14901</v>
      </c>
      <c r="I167" s="42"/>
      <c r="J167" s="28"/>
      <c r="K167" s="28"/>
      <c r="L167" s="38">
        <v>27683</v>
      </c>
      <c r="M167" s="38">
        <f t="shared" si="4"/>
        <v>27683</v>
      </c>
      <c r="N167" s="31"/>
      <c r="O167" s="31"/>
      <c r="P167" s="25">
        <v>570</v>
      </c>
    </row>
    <row r="168" spans="1:16" s="25" customFormat="1" ht="11.25">
      <c r="A168" s="17">
        <v>160</v>
      </c>
      <c r="B168" s="23">
        <f t="shared" si="3"/>
        <v>570</v>
      </c>
      <c r="C168" s="29">
        <v>570550</v>
      </c>
      <c r="D168" s="30" t="s">
        <v>44</v>
      </c>
      <c r="F168" s="31">
        <v>58140</v>
      </c>
      <c r="G168" s="42">
        <v>57833</v>
      </c>
      <c r="H168" s="42">
        <v>105174</v>
      </c>
      <c r="I168" s="42"/>
      <c r="J168" s="28" t="s">
        <v>103</v>
      </c>
      <c r="K168" s="28"/>
      <c r="L168" s="38">
        <v>108854</v>
      </c>
      <c r="M168" s="38">
        <f t="shared" si="4"/>
        <v>108854</v>
      </c>
      <c r="N168" s="31"/>
      <c r="O168" s="31"/>
      <c r="P168" s="25">
        <v>570</v>
      </c>
    </row>
    <row r="169" spans="1:16" s="25" customFormat="1" ht="11.25">
      <c r="A169" s="17">
        <v>161</v>
      </c>
      <c r="B169" s="23">
        <f t="shared" si="3"/>
        <v>570</v>
      </c>
      <c r="C169" s="29">
        <v>570560</v>
      </c>
      <c r="D169" s="30" t="s">
        <v>44</v>
      </c>
      <c r="F169" s="21"/>
      <c r="G169" s="42">
        <v>1790</v>
      </c>
      <c r="H169" s="42"/>
      <c r="I169" s="42"/>
      <c r="J169" s="28"/>
      <c r="K169" s="28"/>
      <c r="L169" s="38">
        <v>0</v>
      </c>
      <c r="M169" s="38">
        <f t="shared" si="4"/>
        <v>0</v>
      </c>
      <c r="N169" s="31"/>
      <c r="O169" s="31"/>
      <c r="P169" s="25">
        <v>570</v>
      </c>
    </row>
    <row r="170" spans="1:17" s="25" customFormat="1" ht="33.75">
      <c r="A170" s="17">
        <v>162</v>
      </c>
      <c r="B170" s="23">
        <f t="shared" si="3"/>
        <v>570</v>
      </c>
      <c r="C170" s="24"/>
      <c r="D170" s="30"/>
      <c r="E170" s="25" t="s">
        <v>217</v>
      </c>
      <c r="F170" s="31">
        <f>SUM(F163:F169)</f>
        <v>333357</v>
      </c>
      <c r="G170" s="31">
        <f>SUM(G163:G169)</f>
        <v>351493</v>
      </c>
      <c r="H170" s="31">
        <f>SUM(H163:H169)</f>
        <v>486290</v>
      </c>
      <c r="I170" s="31">
        <v>384764</v>
      </c>
      <c r="J170" s="28"/>
      <c r="K170" s="36" t="s">
        <v>271</v>
      </c>
      <c r="L170" s="31">
        <f>SUM(L163:L169)</f>
        <v>508537</v>
      </c>
      <c r="M170" s="36" t="s">
        <v>181</v>
      </c>
      <c r="N170" s="37">
        <f>SUM(M163:M169)</f>
        <v>508537</v>
      </c>
      <c r="O170" s="31"/>
      <c r="P170" s="25">
        <v>570</v>
      </c>
      <c r="Q170" s="25">
        <v>384764</v>
      </c>
    </row>
    <row r="171" spans="1:16" s="25" customFormat="1" ht="11.25">
      <c r="A171" s="17">
        <v>163</v>
      </c>
      <c r="B171" s="23">
        <f t="shared" si="3"/>
        <v>570</v>
      </c>
      <c r="C171" s="24"/>
      <c r="D171" s="30"/>
      <c r="F171" s="21"/>
      <c r="G171" s="31"/>
      <c r="H171" s="31"/>
      <c r="I171" s="31"/>
      <c r="J171" s="28"/>
      <c r="K171" s="28"/>
      <c r="L171" s="31"/>
      <c r="M171" s="36"/>
      <c r="N171" s="37"/>
      <c r="O171" s="31"/>
      <c r="P171" s="25">
        <v>570</v>
      </c>
    </row>
    <row r="172" spans="1:16" s="25" customFormat="1" ht="11.25">
      <c r="A172" s="17">
        <v>164</v>
      </c>
      <c r="B172" s="23">
        <f t="shared" si="3"/>
        <v>571</v>
      </c>
      <c r="C172" s="24" t="s">
        <v>68</v>
      </c>
      <c r="D172" s="30"/>
      <c r="F172" s="21"/>
      <c r="G172" s="31"/>
      <c r="H172" s="31"/>
      <c r="I172" s="31"/>
      <c r="J172" s="28"/>
      <c r="K172" s="28"/>
      <c r="L172" s="31"/>
      <c r="M172" s="31"/>
      <c r="N172" s="31"/>
      <c r="O172" s="31"/>
      <c r="P172" s="25">
        <v>571</v>
      </c>
    </row>
    <row r="173" spans="1:16" s="25" customFormat="1" ht="11.25">
      <c r="A173" s="17">
        <v>165</v>
      </c>
      <c r="B173" s="23">
        <f t="shared" si="3"/>
        <v>571</v>
      </c>
      <c r="C173" s="27">
        <v>571010</v>
      </c>
      <c r="D173" s="30" t="s">
        <v>151</v>
      </c>
      <c r="F173" s="21"/>
      <c r="G173" s="31"/>
      <c r="H173" s="31"/>
      <c r="I173" s="31"/>
      <c r="J173" s="28"/>
      <c r="K173" s="28"/>
      <c r="L173" s="35"/>
      <c r="M173" s="35"/>
      <c r="N173" s="31"/>
      <c r="O173" s="31"/>
      <c r="P173" s="25">
        <v>571</v>
      </c>
    </row>
    <row r="174" spans="1:16" s="25" customFormat="1" ht="11.25">
      <c r="A174" s="17">
        <v>166</v>
      </c>
      <c r="B174" s="23">
        <f t="shared" si="3"/>
        <v>571</v>
      </c>
      <c r="C174" s="27">
        <v>571510</v>
      </c>
      <c r="D174" s="30" t="s">
        <v>152</v>
      </c>
      <c r="F174" s="21"/>
      <c r="G174" s="31"/>
      <c r="H174" s="31"/>
      <c r="I174" s="31"/>
      <c r="J174" s="28"/>
      <c r="K174" s="28"/>
      <c r="L174" s="35"/>
      <c r="M174" s="35"/>
      <c r="N174" s="31"/>
      <c r="O174" s="31"/>
      <c r="P174" s="25">
        <v>571</v>
      </c>
    </row>
    <row r="175" spans="1:16" s="25" customFormat="1" ht="11.25">
      <c r="A175" s="17">
        <v>167</v>
      </c>
      <c r="B175" s="23">
        <f t="shared" si="3"/>
        <v>571</v>
      </c>
      <c r="C175" s="27">
        <v>571520</v>
      </c>
      <c r="D175" s="30" t="s">
        <v>0</v>
      </c>
      <c r="F175" s="21">
        <v>3479</v>
      </c>
      <c r="G175" s="31"/>
      <c r="H175" s="31">
        <v>1550</v>
      </c>
      <c r="I175" s="31"/>
      <c r="J175" s="28"/>
      <c r="K175" s="28"/>
      <c r="L175" s="35"/>
      <c r="M175" s="35">
        <f aca="true" t="shared" si="5" ref="M175:M180">L175-I175</f>
        <v>0</v>
      </c>
      <c r="N175" s="31"/>
      <c r="O175" s="31"/>
      <c r="P175" s="25">
        <v>571</v>
      </c>
    </row>
    <row r="176" spans="1:16" s="25" customFormat="1" ht="11.25">
      <c r="A176" s="17">
        <v>168</v>
      </c>
      <c r="B176" s="23">
        <f t="shared" si="3"/>
        <v>571</v>
      </c>
      <c r="C176" s="27">
        <v>571200</v>
      </c>
      <c r="D176" s="30" t="s">
        <v>14</v>
      </c>
      <c r="F176" s="21"/>
      <c r="G176" s="31"/>
      <c r="H176" s="31"/>
      <c r="I176" s="31"/>
      <c r="J176" s="28" t="s">
        <v>166</v>
      </c>
      <c r="K176" s="28"/>
      <c r="L176" s="35">
        <v>250000</v>
      </c>
      <c r="M176" s="35">
        <f t="shared" si="5"/>
        <v>250000</v>
      </c>
      <c r="N176" s="31"/>
      <c r="O176" s="31"/>
      <c r="P176" s="25">
        <v>571</v>
      </c>
    </row>
    <row r="177" spans="1:16" s="25" customFormat="1" ht="11.25">
      <c r="A177" s="17">
        <v>169</v>
      </c>
      <c r="B177" s="23">
        <f t="shared" si="3"/>
        <v>571</v>
      </c>
      <c r="C177" s="27">
        <v>571300</v>
      </c>
      <c r="D177" s="30" t="s">
        <v>15</v>
      </c>
      <c r="F177" s="21"/>
      <c r="G177" s="31"/>
      <c r="H177" s="31">
        <v>0</v>
      </c>
      <c r="I177" s="31"/>
      <c r="J177" s="28" t="s">
        <v>201</v>
      </c>
      <c r="K177" s="28"/>
      <c r="L177" s="68">
        <v>340000</v>
      </c>
      <c r="M177" s="68">
        <f t="shared" si="5"/>
        <v>340000</v>
      </c>
      <c r="N177" s="31"/>
      <c r="O177" s="31"/>
      <c r="P177" s="25">
        <v>571</v>
      </c>
    </row>
    <row r="178" spans="1:16" s="39" customFormat="1" ht="11.25">
      <c r="A178" s="17">
        <v>170</v>
      </c>
      <c r="B178" s="23">
        <f t="shared" si="3"/>
        <v>571</v>
      </c>
      <c r="C178" s="29">
        <v>571610</v>
      </c>
      <c r="D178" s="39" t="s">
        <v>60</v>
      </c>
      <c r="F178" s="31">
        <v>9643</v>
      </c>
      <c r="G178" s="31">
        <v>566</v>
      </c>
      <c r="H178" s="31">
        <v>0</v>
      </c>
      <c r="I178" s="31"/>
      <c r="J178" s="28" t="s">
        <v>111</v>
      </c>
      <c r="K178" s="28"/>
      <c r="L178" s="35">
        <v>283000</v>
      </c>
      <c r="M178" s="35">
        <f t="shared" si="5"/>
        <v>283000</v>
      </c>
      <c r="N178" s="31"/>
      <c r="O178" s="31"/>
      <c r="P178" s="39">
        <v>571</v>
      </c>
    </row>
    <row r="179" spans="1:16" s="39" customFormat="1" ht="11.25">
      <c r="A179" s="17">
        <v>171</v>
      </c>
      <c r="B179" s="23">
        <f t="shared" si="3"/>
        <v>571</v>
      </c>
      <c r="C179" s="29">
        <v>571620</v>
      </c>
      <c r="D179" s="30" t="s">
        <v>69</v>
      </c>
      <c r="F179" s="31"/>
      <c r="G179" s="31"/>
      <c r="H179" s="31"/>
      <c r="I179" s="31"/>
      <c r="J179" s="28" t="s">
        <v>202</v>
      </c>
      <c r="K179" s="28"/>
      <c r="L179" s="35">
        <v>400000</v>
      </c>
      <c r="M179" s="35">
        <f t="shared" si="5"/>
        <v>400000</v>
      </c>
      <c r="N179" s="31"/>
      <c r="O179" s="31"/>
      <c r="P179" s="39">
        <v>571</v>
      </c>
    </row>
    <row r="180" spans="1:16" s="25" customFormat="1" ht="11.25">
      <c r="A180" s="17">
        <v>172</v>
      </c>
      <c r="B180" s="23">
        <f t="shared" si="3"/>
        <v>571</v>
      </c>
      <c r="C180" s="27">
        <v>571620</v>
      </c>
      <c r="D180" s="30" t="s">
        <v>69</v>
      </c>
      <c r="F180" s="21">
        <v>0</v>
      </c>
      <c r="G180" s="31">
        <v>0</v>
      </c>
      <c r="H180" s="31">
        <v>0</v>
      </c>
      <c r="I180" s="31"/>
      <c r="J180" s="28" t="s">
        <v>237</v>
      </c>
      <c r="K180" s="28"/>
      <c r="L180" s="35">
        <v>150000</v>
      </c>
      <c r="M180" s="35">
        <f t="shared" si="5"/>
        <v>150000</v>
      </c>
      <c r="N180" s="31"/>
      <c r="O180" s="31"/>
      <c r="P180" s="25">
        <v>571</v>
      </c>
    </row>
    <row r="181" spans="1:16" s="25" customFormat="1" ht="22.5">
      <c r="A181" s="17"/>
      <c r="B181" s="23">
        <f t="shared" si="3"/>
        <v>571</v>
      </c>
      <c r="C181" s="27"/>
      <c r="D181" s="30"/>
      <c r="E181" s="70" t="s">
        <v>246</v>
      </c>
      <c r="F181" s="21"/>
      <c r="G181" s="31"/>
      <c r="H181" s="31">
        <f>SUM(H173+H174+H175+H176+H177+H179+H180)</f>
        <v>1550</v>
      </c>
      <c r="I181" s="31"/>
      <c r="J181" s="28"/>
      <c r="K181" s="28"/>
      <c r="L181" s="31">
        <f>SUM(L173+L174+L175+L176+L177+L179+L180)</f>
        <v>1140000</v>
      </c>
      <c r="M181" s="31">
        <f>SUM(M173+M174+M175+M176+M177+M179+M180)</f>
        <v>1140000</v>
      </c>
      <c r="N181" s="31"/>
      <c r="O181" s="31"/>
      <c r="P181" s="25">
        <v>571</v>
      </c>
    </row>
    <row r="182" spans="1:17" s="25" customFormat="1" ht="56.25">
      <c r="A182" s="17">
        <v>173</v>
      </c>
      <c r="B182" s="23">
        <f t="shared" si="3"/>
        <v>571</v>
      </c>
      <c r="C182" s="27"/>
      <c r="D182" s="30"/>
      <c r="E182" s="25" t="s">
        <v>247</v>
      </c>
      <c r="F182" s="31">
        <f>SUM(F173:F180)</f>
        <v>13122</v>
      </c>
      <c r="G182" s="31">
        <f>SUM(G173:G180)</f>
        <v>566</v>
      </c>
      <c r="H182" s="31">
        <f>SUM(H178)</f>
        <v>0</v>
      </c>
      <c r="I182" s="31">
        <v>356329</v>
      </c>
      <c r="J182" s="28" t="s">
        <v>274</v>
      </c>
      <c r="K182" s="36" t="s">
        <v>272</v>
      </c>
      <c r="L182" s="41">
        <f>SUM(L173+L174+L175+L176+L178+L179+L180)</f>
        <v>1083000</v>
      </c>
      <c r="M182" s="36" t="s">
        <v>248</v>
      </c>
      <c r="N182" s="37">
        <f>SUM(M173+M174+M175+M176+M179+M180)</f>
        <v>800000</v>
      </c>
      <c r="O182" s="31"/>
      <c r="P182" s="25">
        <v>571</v>
      </c>
      <c r="Q182" s="25">
        <v>356329</v>
      </c>
    </row>
    <row r="183" spans="1:16" s="25" customFormat="1" ht="56.25">
      <c r="A183" s="17"/>
      <c r="B183" s="23">
        <f t="shared" si="3"/>
        <v>571</v>
      </c>
      <c r="C183" s="27"/>
      <c r="D183" s="30"/>
      <c r="F183" s="31"/>
      <c r="G183" s="31"/>
      <c r="H183" s="31"/>
      <c r="I183" s="31"/>
      <c r="J183" s="28"/>
      <c r="K183" s="36" t="s">
        <v>273</v>
      </c>
      <c r="L183" s="31">
        <f>SUM(L178)</f>
        <v>283000</v>
      </c>
      <c r="M183" s="36" t="s">
        <v>249</v>
      </c>
      <c r="N183" s="37">
        <f>SUM(M178)</f>
        <v>283000</v>
      </c>
      <c r="O183" s="31"/>
      <c r="P183" s="25">
        <v>571</v>
      </c>
    </row>
    <row r="184" spans="1:16" s="25" customFormat="1" ht="11.25">
      <c r="A184" s="17">
        <v>174</v>
      </c>
      <c r="B184" s="23">
        <f t="shared" si="3"/>
        <v>571</v>
      </c>
      <c r="C184" s="27"/>
      <c r="D184" s="30"/>
      <c r="F184" s="21"/>
      <c r="G184" s="31"/>
      <c r="H184" s="31"/>
      <c r="I184" s="31"/>
      <c r="J184" s="28"/>
      <c r="K184" s="28"/>
      <c r="L184" s="31"/>
      <c r="M184" s="36"/>
      <c r="N184" s="37"/>
      <c r="O184" s="31"/>
      <c r="P184" s="25">
        <v>571</v>
      </c>
    </row>
    <row r="185" spans="1:16" s="25" customFormat="1" ht="11.25">
      <c r="A185" s="17">
        <v>175</v>
      </c>
      <c r="B185" s="23">
        <f t="shared" si="3"/>
        <v>572</v>
      </c>
      <c r="C185" s="24" t="s">
        <v>153</v>
      </c>
      <c r="D185" s="30"/>
      <c r="F185" s="21"/>
      <c r="G185" s="31"/>
      <c r="H185" s="31"/>
      <c r="I185" s="31"/>
      <c r="J185" s="28"/>
      <c r="K185" s="28"/>
      <c r="L185" s="31"/>
      <c r="M185" s="31"/>
      <c r="N185" s="31"/>
      <c r="O185" s="31"/>
      <c r="P185" s="25">
        <v>572</v>
      </c>
    </row>
    <row r="186" spans="1:16" s="25" customFormat="1" ht="11.25">
      <c r="A186" s="17">
        <v>176</v>
      </c>
      <c r="B186" s="23">
        <f t="shared" si="3"/>
        <v>572</v>
      </c>
      <c r="C186" s="27">
        <v>572000</v>
      </c>
      <c r="D186" s="30" t="s">
        <v>154</v>
      </c>
      <c r="F186" s="21"/>
      <c r="G186" s="31"/>
      <c r="H186" s="31">
        <v>0</v>
      </c>
      <c r="I186" s="31"/>
      <c r="J186" s="28"/>
      <c r="K186" s="28"/>
      <c r="L186" s="31">
        <v>0</v>
      </c>
      <c r="M186" s="31"/>
      <c r="N186" s="31"/>
      <c r="O186" s="31"/>
      <c r="P186" s="25">
        <v>572</v>
      </c>
    </row>
    <row r="187" spans="1:17" s="25" customFormat="1" ht="33.75">
      <c r="A187" s="17">
        <v>177</v>
      </c>
      <c r="B187" s="23">
        <f t="shared" si="3"/>
        <v>572</v>
      </c>
      <c r="C187" s="27"/>
      <c r="D187" s="30"/>
      <c r="E187" s="25" t="s">
        <v>217</v>
      </c>
      <c r="F187" s="31">
        <f>SUM(F186)</f>
        <v>0</v>
      </c>
      <c r="G187" s="31">
        <f>SUM(G186)</f>
        <v>0</v>
      </c>
      <c r="H187" s="31">
        <f>SUM(H186)</f>
        <v>0</v>
      </c>
      <c r="I187" s="31">
        <v>0</v>
      </c>
      <c r="J187" s="28"/>
      <c r="K187" s="36" t="s">
        <v>275</v>
      </c>
      <c r="L187" s="31">
        <f>SUM(L186)</f>
        <v>0</v>
      </c>
      <c r="M187" s="36" t="s">
        <v>183</v>
      </c>
      <c r="N187" s="37">
        <f>SUM(M186:M186)</f>
        <v>0</v>
      </c>
      <c r="O187" s="31"/>
      <c r="P187" s="25">
        <v>572</v>
      </c>
      <c r="Q187" s="25">
        <v>0</v>
      </c>
    </row>
    <row r="188" spans="1:16" s="25" customFormat="1" ht="11.25">
      <c r="A188" s="17">
        <v>178</v>
      </c>
      <c r="B188" s="23">
        <f t="shared" si="3"/>
        <v>572</v>
      </c>
      <c r="C188" s="27"/>
      <c r="D188" s="30"/>
      <c r="F188" s="21"/>
      <c r="G188" s="31"/>
      <c r="H188" s="31"/>
      <c r="I188" s="31"/>
      <c r="J188" s="28"/>
      <c r="K188" s="28"/>
      <c r="L188" s="31"/>
      <c r="M188" s="36"/>
      <c r="N188" s="37"/>
      <c r="O188" s="31"/>
      <c r="P188" s="25">
        <v>572</v>
      </c>
    </row>
    <row r="189" spans="1:16" s="25" customFormat="1" ht="11.25">
      <c r="A189" s="17">
        <v>179</v>
      </c>
      <c r="B189" s="23">
        <f t="shared" si="3"/>
        <v>573</v>
      </c>
      <c r="C189" s="24" t="s">
        <v>9</v>
      </c>
      <c r="D189" s="30"/>
      <c r="F189" s="21"/>
      <c r="G189" s="31"/>
      <c r="H189" s="31"/>
      <c r="I189" s="31"/>
      <c r="J189" s="28"/>
      <c r="K189" s="28"/>
      <c r="L189" s="31"/>
      <c r="M189" s="31"/>
      <c r="N189" s="31"/>
      <c r="O189" s="31"/>
      <c r="P189" s="25">
        <v>573</v>
      </c>
    </row>
    <row r="190" spans="1:16" s="25" customFormat="1" ht="11.25">
      <c r="A190" s="17">
        <v>180</v>
      </c>
      <c r="B190" s="23">
        <f t="shared" si="3"/>
        <v>573</v>
      </c>
      <c r="C190" s="27">
        <v>573000</v>
      </c>
      <c r="D190" s="30" t="s">
        <v>10</v>
      </c>
      <c r="F190" s="21">
        <v>311</v>
      </c>
      <c r="G190" s="31"/>
      <c r="H190" s="31">
        <v>0</v>
      </c>
      <c r="I190" s="31"/>
      <c r="J190" s="28"/>
      <c r="K190" s="28"/>
      <c r="L190" s="35">
        <v>0</v>
      </c>
      <c r="M190" s="35">
        <f>L190-I190</f>
        <v>0</v>
      </c>
      <c r="N190" s="31"/>
      <c r="O190" s="31"/>
      <c r="P190" s="25">
        <v>573</v>
      </c>
    </row>
    <row r="191" spans="1:17" s="25" customFormat="1" ht="33.75">
      <c r="A191" s="17">
        <v>181</v>
      </c>
      <c r="B191" s="23">
        <f t="shared" si="3"/>
        <v>573</v>
      </c>
      <c r="C191" s="24"/>
      <c r="D191" s="30"/>
      <c r="E191" s="25" t="s">
        <v>217</v>
      </c>
      <c r="F191" s="31">
        <f>SUM(F190)</f>
        <v>311</v>
      </c>
      <c r="G191" s="31">
        <f>SUM(G190)</f>
        <v>0</v>
      </c>
      <c r="H191" s="31">
        <f>SUM(H190)</f>
        <v>0</v>
      </c>
      <c r="I191" s="31">
        <v>0</v>
      </c>
      <c r="J191" s="28"/>
      <c r="K191" s="36" t="s">
        <v>276</v>
      </c>
      <c r="L191" s="31">
        <f>SUM(L190:L190)</f>
        <v>0</v>
      </c>
      <c r="M191" s="36" t="s">
        <v>182</v>
      </c>
      <c r="N191" s="37">
        <f>SUM(M190:M190)</f>
        <v>0</v>
      </c>
      <c r="O191" s="31"/>
      <c r="P191" s="25">
        <v>573</v>
      </c>
      <c r="Q191" s="25">
        <v>0</v>
      </c>
    </row>
    <row r="192" spans="1:16" s="25" customFormat="1" ht="11.25">
      <c r="A192" s="17">
        <v>182</v>
      </c>
      <c r="B192" s="23">
        <f t="shared" si="3"/>
        <v>573</v>
      </c>
      <c r="C192" s="24"/>
      <c r="D192" s="30"/>
      <c r="F192" s="21"/>
      <c r="G192" s="31"/>
      <c r="H192" s="31"/>
      <c r="I192" s="31"/>
      <c r="J192" s="28"/>
      <c r="K192" s="28"/>
      <c r="L192" s="31"/>
      <c r="M192" s="36"/>
      <c r="N192" s="37"/>
      <c r="O192" s="31"/>
      <c r="P192" s="25">
        <v>573</v>
      </c>
    </row>
    <row r="193" spans="1:16" s="25" customFormat="1" ht="11.25">
      <c r="A193" s="17">
        <v>183</v>
      </c>
      <c r="B193" s="23">
        <f t="shared" si="3"/>
        <v>580</v>
      </c>
      <c r="C193" s="24" t="s">
        <v>12</v>
      </c>
      <c r="D193" s="30"/>
      <c r="F193" s="21"/>
      <c r="G193" s="31"/>
      <c r="H193" s="31"/>
      <c r="I193" s="31"/>
      <c r="J193" s="28"/>
      <c r="K193" s="28"/>
      <c r="L193" s="31"/>
      <c r="M193" s="31"/>
      <c r="N193" s="31"/>
      <c r="O193" s="31"/>
      <c r="P193" s="25">
        <v>580</v>
      </c>
    </row>
    <row r="194" spans="1:16" s="25" customFormat="1" ht="11.25">
      <c r="A194" s="17">
        <v>184</v>
      </c>
      <c r="B194" s="23">
        <f t="shared" si="3"/>
        <v>580</v>
      </c>
      <c r="C194" s="27">
        <v>580000</v>
      </c>
      <c r="D194" s="32" t="s">
        <v>11</v>
      </c>
      <c r="F194" s="21">
        <v>8250</v>
      </c>
      <c r="G194" s="31"/>
      <c r="H194" s="31">
        <v>0</v>
      </c>
      <c r="I194" s="31"/>
      <c r="J194" s="28"/>
      <c r="K194" s="28"/>
      <c r="L194" s="31">
        <v>0</v>
      </c>
      <c r="M194" s="31">
        <f>L194-H194</f>
        <v>0</v>
      </c>
      <c r="N194" s="31"/>
      <c r="O194" s="31"/>
      <c r="P194" s="25">
        <v>580</v>
      </c>
    </row>
    <row r="195" spans="1:17" s="25" customFormat="1" ht="33.75">
      <c r="A195" s="17">
        <v>185</v>
      </c>
      <c r="B195" s="23">
        <f t="shared" si="3"/>
        <v>580</v>
      </c>
      <c r="C195" s="24"/>
      <c r="D195" s="30"/>
      <c r="E195" s="25" t="s">
        <v>217</v>
      </c>
      <c r="F195" s="31">
        <f>SUM(F194)</f>
        <v>8250</v>
      </c>
      <c r="G195" s="31">
        <f>SUM(G194)</f>
        <v>0</v>
      </c>
      <c r="H195" s="31">
        <f>SUM(H194)</f>
        <v>0</v>
      </c>
      <c r="I195" s="31">
        <v>0</v>
      </c>
      <c r="J195" s="28"/>
      <c r="K195" s="36" t="s">
        <v>277</v>
      </c>
      <c r="L195" s="31">
        <f>SUM(L194)</f>
        <v>0</v>
      </c>
      <c r="M195" s="36" t="s">
        <v>184</v>
      </c>
      <c r="N195" s="37">
        <f>SUM(M194:M194)</f>
        <v>0</v>
      </c>
      <c r="O195" s="31"/>
      <c r="P195" s="25">
        <v>580</v>
      </c>
      <c r="Q195" s="25">
        <v>0</v>
      </c>
    </row>
    <row r="196" spans="1:16" s="25" customFormat="1" ht="11.25">
      <c r="A196" s="17">
        <v>186</v>
      </c>
      <c r="B196" s="23">
        <f t="shared" si="3"/>
        <v>580</v>
      </c>
      <c r="C196" s="24"/>
      <c r="D196" s="30"/>
      <c r="F196" s="21"/>
      <c r="G196" s="31"/>
      <c r="H196" s="31"/>
      <c r="I196" s="31"/>
      <c r="J196" s="28"/>
      <c r="K196" s="28"/>
      <c r="L196" s="31"/>
      <c r="M196" s="36"/>
      <c r="N196" s="37"/>
      <c r="O196" s="31"/>
      <c r="P196" s="25">
        <v>580</v>
      </c>
    </row>
    <row r="197" spans="1:16" s="25" customFormat="1" ht="11.25">
      <c r="A197" s="17">
        <v>187</v>
      </c>
      <c r="B197" s="23">
        <f t="shared" si="3"/>
        <v>582</v>
      </c>
      <c r="C197" s="24" t="s">
        <v>50</v>
      </c>
      <c r="D197" s="30"/>
      <c r="F197" s="21"/>
      <c r="G197" s="31"/>
      <c r="H197" s="31"/>
      <c r="I197" s="31"/>
      <c r="J197" s="28"/>
      <c r="K197" s="28"/>
      <c r="L197" s="31"/>
      <c r="M197" s="31"/>
      <c r="N197" s="31"/>
      <c r="O197" s="31"/>
      <c r="P197" s="25">
        <v>582</v>
      </c>
    </row>
    <row r="198" spans="1:16" s="25" customFormat="1" ht="11.25">
      <c r="A198" s="17">
        <v>188</v>
      </c>
      <c r="B198" s="23">
        <f t="shared" si="3"/>
        <v>582</v>
      </c>
      <c r="C198" s="29">
        <v>582500</v>
      </c>
      <c r="D198" s="30" t="s">
        <v>51</v>
      </c>
      <c r="F198" s="21">
        <v>81229</v>
      </c>
      <c r="G198" s="31">
        <v>83152</v>
      </c>
      <c r="H198" s="31">
        <v>109457</v>
      </c>
      <c r="I198" s="31"/>
      <c r="J198" s="28" t="s">
        <v>103</v>
      </c>
      <c r="K198" s="28"/>
      <c r="L198" s="38">
        <v>113288</v>
      </c>
      <c r="M198" s="38">
        <f aca="true" t="shared" si="6" ref="M198:M203">L198-I198</f>
        <v>113288</v>
      </c>
      <c r="N198" s="31"/>
      <c r="O198" s="31"/>
      <c r="P198" s="25">
        <v>582</v>
      </c>
    </row>
    <row r="199" spans="1:16" s="25" customFormat="1" ht="11.25">
      <c r="A199" s="17">
        <v>189</v>
      </c>
      <c r="B199" s="23">
        <f t="shared" si="3"/>
        <v>582</v>
      </c>
      <c r="C199" s="29">
        <v>582510</v>
      </c>
      <c r="D199" s="30" t="s">
        <v>31</v>
      </c>
      <c r="F199" s="21">
        <v>810</v>
      </c>
      <c r="G199" s="31">
        <v>8756</v>
      </c>
      <c r="H199" s="31">
        <v>219</v>
      </c>
      <c r="I199" s="31"/>
      <c r="J199" s="28"/>
      <c r="K199" s="28"/>
      <c r="L199" s="38">
        <v>9710</v>
      </c>
      <c r="M199" s="38">
        <f t="shared" si="6"/>
        <v>9710</v>
      </c>
      <c r="N199" s="31"/>
      <c r="O199" s="31"/>
      <c r="P199" s="25">
        <v>582</v>
      </c>
    </row>
    <row r="200" spans="1:16" s="25" customFormat="1" ht="11.25">
      <c r="A200" s="17">
        <v>190</v>
      </c>
      <c r="B200" s="23">
        <f t="shared" si="3"/>
        <v>582</v>
      </c>
      <c r="C200" s="29">
        <v>582520</v>
      </c>
      <c r="D200" s="30" t="s">
        <v>52</v>
      </c>
      <c r="F200" s="21">
        <v>7585</v>
      </c>
      <c r="G200" s="31">
        <v>3467</v>
      </c>
      <c r="H200" s="31">
        <v>1675</v>
      </c>
      <c r="I200" s="31"/>
      <c r="J200" s="28"/>
      <c r="K200" s="28"/>
      <c r="L200" s="38">
        <v>6000</v>
      </c>
      <c r="M200" s="38">
        <f t="shared" si="6"/>
        <v>6000</v>
      </c>
      <c r="N200" s="31"/>
      <c r="O200" s="31"/>
      <c r="P200" s="25">
        <v>582</v>
      </c>
    </row>
    <row r="201" spans="1:16" s="25" customFormat="1" ht="11.25">
      <c r="A201" s="17">
        <v>191</v>
      </c>
      <c r="B201" s="23">
        <f t="shared" si="3"/>
        <v>582</v>
      </c>
      <c r="C201" s="29">
        <v>582530</v>
      </c>
      <c r="D201" s="30" t="s">
        <v>33</v>
      </c>
      <c r="F201" s="21">
        <v>14960</v>
      </c>
      <c r="G201" s="31">
        <v>20956</v>
      </c>
      <c r="H201" s="31">
        <v>18308</v>
      </c>
      <c r="I201" s="31"/>
      <c r="J201" s="28"/>
      <c r="K201" s="28"/>
      <c r="L201" s="38">
        <v>23240</v>
      </c>
      <c r="M201" s="38">
        <f t="shared" si="6"/>
        <v>23240</v>
      </c>
      <c r="N201" s="31"/>
      <c r="O201" s="31"/>
      <c r="P201" s="25">
        <v>582</v>
      </c>
    </row>
    <row r="202" spans="1:16" s="25" customFormat="1" ht="11.25">
      <c r="A202" s="17">
        <v>192</v>
      </c>
      <c r="B202" s="23">
        <f aca="true" t="shared" si="7" ref="B202:B265">IF(C202="",B201,VALUE(LEFT(C202,3)))</f>
        <v>582</v>
      </c>
      <c r="C202" s="29">
        <v>582540</v>
      </c>
      <c r="D202" s="30" t="s">
        <v>53</v>
      </c>
      <c r="F202" s="21">
        <v>165</v>
      </c>
      <c r="G202" s="31">
        <v>3106</v>
      </c>
      <c r="H202" s="31">
        <v>3783</v>
      </c>
      <c r="I202" s="31"/>
      <c r="J202" s="28"/>
      <c r="K202" s="28"/>
      <c r="L202" s="38">
        <v>3445</v>
      </c>
      <c r="M202" s="38">
        <f t="shared" si="6"/>
        <v>3445</v>
      </c>
      <c r="N202" s="31"/>
      <c r="O202" s="31"/>
      <c r="P202" s="25">
        <v>582</v>
      </c>
    </row>
    <row r="203" spans="1:16" s="25" customFormat="1" ht="11.25">
      <c r="A203" s="17">
        <v>193</v>
      </c>
      <c r="B203" s="23">
        <f t="shared" si="7"/>
        <v>582</v>
      </c>
      <c r="C203" s="29">
        <v>582550</v>
      </c>
      <c r="D203" s="30" t="s">
        <v>54</v>
      </c>
      <c r="F203" s="21">
        <v>5142</v>
      </c>
      <c r="G203" s="31">
        <v>4431</v>
      </c>
      <c r="H203" s="31">
        <v>188</v>
      </c>
      <c r="I203" s="31"/>
      <c r="J203" s="28"/>
      <c r="K203" s="28"/>
      <c r="L203" s="38">
        <v>4914</v>
      </c>
      <c r="M203" s="38">
        <f t="shared" si="6"/>
        <v>4914</v>
      </c>
      <c r="N203" s="31"/>
      <c r="O203" s="31"/>
      <c r="P203" s="25">
        <v>582</v>
      </c>
    </row>
    <row r="204" spans="1:17" s="25" customFormat="1" ht="33.75">
      <c r="A204" s="17">
        <v>194</v>
      </c>
      <c r="B204" s="23">
        <f t="shared" si="7"/>
        <v>582</v>
      </c>
      <c r="C204" s="24"/>
      <c r="D204" s="30"/>
      <c r="E204" s="25" t="s">
        <v>217</v>
      </c>
      <c r="F204" s="31">
        <f>SUM(F198:F203)</f>
        <v>109891</v>
      </c>
      <c r="G204" s="31">
        <f>SUM(G198:G203)</f>
        <v>123868</v>
      </c>
      <c r="H204" s="31">
        <f>SUM(H198:H203)</f>
        <v>133630</v>
      </c>
      <c r="I204" s="31">
        <v>11700</v>
      </c>
      <c r="J204" s="28"/>
      <c r="K204" s="36" t="s">
        <v>278</v>
      </c>
      <c r="L204" s="41">
        <f>SUM(L198:L203)</f>
        <v>160597</v>
      </c>
      <c r="M204" s="36" t="s">
        <v>185</v>
      </c>
      <c r="N204" s="37">
        <f>SUM(M198:M203)</f>
        <v>160597</v>
      </c>
      <c r="O204" s="31"/>
      <c r="P204" s="25">
        <v>582</v>
      </c>
      <c r="Q204" s="25">
        <v>11700</v>
      </c>
    </row>
    <row r="205" spans="1:16" s="25" customFormat="1" ht="11.25">
      <c r="A205" s="17">
        <v>195</v>
      </c>
      <c r="B205" s="23">
        <f t="shared" si="7"/>
        <v>582</v>
      </c>
      <c r="C205" s="24"/>
      <c r="D205" s="30"/>
      <c r="F205" s="21"/>
      <c r="G205" s="31"/>
      <c r="H205" s="31"/>
      <c r="I205" s="31"/>
      <c r="J205" s="28"/>
      <c r="K205" s="28"/>
      <c r="L205" s="41"/>
      <c r="M205" s="36"/>
      <c r="N205" s="37"/>
      <c r="O205" s="31"/>
      <c r="P205" s="25">
        <v>582</v>
      </c>
    </row>
    <row r="206" spans="1:16" s="25" customFormat="1" ht="11.25">
      <c r="A206" s="17">
        <v>196</v>
      </c>
      <c r="B206" s="23">
        <f t="shared" si="7"/>
        <v>583</v>
      </c>
      <c r="C206" s="24" t="s">
        <v>61</v>
      </c>
      <c r="D206" s="30"/>
      <c r="F206" s="21"/>
      <c r="G206" s="31"/>
      <c r="H206" s="31"/>
      <c r="I206" s="31"/>
      <c r="J206" s="28"/>
      <c r="K206" s="28"/>
      <c r="L206" s="31"/>
      <c r="M206" s="31"/>
      <c r="N206" s="31"/>
      <c r="O206" s="31"/>
      <c r="P206" s="25">
        <v>583</v>
      </c>
    </row>
    <row r="207" spans="1:16" s="39" customFormat="1" ht="11.25">
      <c r="A207" s="17">
        <v>197</v>
      </c>
      <c r="B207" s="23">
        <f t="shared" si="7"/>
        <v>583</v>
      </c>
      <c r="C207" s="29">
        <v>583500</v>
      </c>
      <c r="D207" s="39" t="s">
        <v>62</v>
      </c>
      <c r="F207" s="31">
        <v>237</v>
      </c>
      <c r="G207" s="31">
        <v>0</v>
      </c>
      <c r="H207" s="31"/>
      <c r="I207" s="31"/>
      <c r="J207" s="28"/>
      <c r="K207" s="28"/>
      <c r="L207" s="43">
        <v>26700</v>
      </c>
      <c r="M207" s="43">
        <f>L207-I207</f>
        <v>26700</v>
      </c>
      <c r="N207" s="31"/>
      <c r="O207" s="31"/>
      <c r="P207" s="39">
        <v>583</v>
      </c>
    </row>
    <row r="208" spans="1:16" s="39" customFormat="1" ht="11.25">
      <c r="A208" s="17">
        <v>198</v>
      </c>
      <c r="B208" s="23">
        <f t="shared" si="7"/>
        <v>583</v>
      </c>
      <c r="C208" s="29">
        <v>583510</v>
      </c>
      <c r="D208" s="30" t="s">
        <v>155</v>
      </c>
      <c r="F208" s="31">
        <v>462</v>
      </c>
      <c r="G208" s="31">
        <v>329</v>
      </c>
      <c r="H208" s="31">
        <v>906</v>
      </c>
      <c r="I208" s="31"/>
      <c r="J208" s="28"/>
      <c r="K208" s="28"/>
      <c r="L208" s="43">
        <v>1000</v>
      </c>
      <c r="M208" s="43">
        <f>L208-I208</f>
        <v>1000</v>
      </c>
      <c r="N208" s="31"/>
      <c r="O208" s="31"/>
      <c r="P208" s="39">
        <v>583</v>
      </c>
    </row>
    <row r="209" spans="1:16" s="39" customFormat="1" ht="11.25">
      <c r="A209" s="17">
        <v>199</v>
      </c>
      <c r="B209" s="23">
        <f t="shared" si="7"/>
        <v>583</v>
      </c>
      <c r="C209" s="29">
        <v>583520</v>
      </c>
      <c r="D209" s="39" t="s">
        <v>114</v>
      </c>
      <c r="F209" s="31"/>
      <c r="G209" s="31"/>
      <c r="H209" s="31"/>
      <c r="I209" s="31"/>
      <c r="J209" s="28"/>
      <c r="K209" s="28"/>
      <c r="L209" s="43"/>
      <c r="M209" s="43"/>
      <c r="N209" s="31"/>
      <c r="O209" s="31"/>
      <c r="P209" s="39">
        <v>583</v>
      </c>
    </row>
    <row r="210" spans="1:16" s="39" customFormat="1" ht="11.25">
      <c r="A210" s="17">
        <v>200</v>
      </c>
      <c r="B210" s="23">
        <f t="shared" si="7"/>
        <v>583</v>
      </c>
      <c r="C210" s="29">
        <v>583530</v>
      </c>
      <c r="D210" s="30" t="s">
        <v>59</v>
      </c>
      <c r="F210" s="31">
        <v>73312</v>
      </c>
      <c r="G210" s="31">
        <v>43453</v>
      </c>
      <c r="H210" s="31">
        <v>217586</v>
      </c>
      <c r="I210" s="31"/>
      <c r="J210" s="28" t="s">
        <v>111</v>
      </c>
      <c r="K210" s="28"/>
      <c r="L210" s="43">
        <v>434811</v>
      </c>
      <c r="M210" s="43">
        <f>L210-I210</f>
        <v>434811</v>
      </c>
      <c r="N210" s="31"/>
      <c r="O210" s="31"/>
      <c r="P210" s="39">
        <v>583</v>
      </c>
    </row>
    <row r="211" spans="1:16" s="39" customFormat="1" ht="11.25">
      <c r="A211" s="17">
        <v>201</v>
      </c>
      <c r="B211" s="23">
        <f t="shared" si="7"/>
        <v>583</v>
      </c>
      <c r="C211" s="29">
        <v>583538</v>
      </c>
      <c r="D211" s="30" t="s">
        <v>156</v>
      </c>
      <c r="F211" s="31">
        <v>15098</v>
      </c>
      <c r="G211" s="31">
        <v>0</v>
      </c>
      <c r="H211" s="31">
        <v>14760</v>
      </c>
      <c r="I211" s="31"/>
      <c r="J211" s="28"/>
      <c r="K211" s="28"/>
      <c r="L211" s="43"/>
      <c r="M211" s="43">
        <f>L211-I211</f>
        <v>0</v>
      </c>
      <c r="N211" s="31"/>
      <c r="O211" s="31"/>
      <c r="P211" s="39">
        <v>583</v>
      </c>
    </row>
    <row r="212" spans="1:17" s="25" customFormat="1" ht="56.25">
      <c r="A212" s="17">
        <v>202</v>
      </c>
      <c r="B212" s="23">
        <f t="shared" si="7"/>
        <v>583</v>
      </c>
      <c r="C212" s="24"/>
      <c r="D212" s="30"/>
      <c r="E212" s="70" t="s">
        <v>250</v>
      </c>
      <c r="F212" s="31">
        <f>SUM(F207:F211)</f>
        <v>89109</v>
      </c>
      <c r="G212" s="31">
        <f>SUM(G207:G211)</f>
        <v>43782</v>
      </c>
      <c r="H212" s="31">
        <f>SUM(H207+H208+H209)</f>
        <v>906</v>
      </c>
      <c r="I212" s="31">
        <v>356328</v>
      </c>
      <c r="J212" s="28"/>
      <c r="K212" s="36" t="s">
        <v>280</v>
      </c>
      <c r="L212" s="31">
        <f>SUM(L207+L208+L209)</f>
        <v>27700</v>
      </c>
      <c r="M212" s="36" t="s">
        <v>279</v>
      </c>
      <c r="N212" s="37">
        <f>SUM(M207+M208+M209)</f>
        <v>27700</v>
      </c>
      <c r="O212" s="31"/>
      <c r="P212" s="25">
        <v>583</v>
      </c>
      <c r="Q212" s="25">
        <v>356328</v>
      </c>
    </row>
    <row r="213" spans="1:16" s="25" customFormat="1" ht="51.75" customHeight="1">
      <c r="A213" s="17"/>
      <c r="B213" s="23">
        <f t="shared" si="7"/>
        <v>583</v>
      </c>
      <c r="C213" s="24"/>
      <c r="D213" s="30"/>
      <c r="E213" s="70" t="s">
        <v>251</v>
      </c>
      <c r="F213" s="31"/>
      <c r="G213" s="31"/>
      <c r="H213" s="31">
        <f>SUM(H210+H211)</f>
        <v>232346</v>
      </c>
      <c r="I213" s="31"/>
      <c r="J213" s="28"/>
      <c r="K213" s="36" t="s">
        <v>281</v>
      </c>
      <c r="L213" s="31">
        <f>SUM(L210+L211)</f>
        <v>434811</v>
      </c>
      <c r="M213" s="36" t="s">
        <v>252</v>
      </c>
      <c r="N213" s="37">
        <f>SUM(M211+M210)</f>
        <v>434811</v>
      </c>
      <c r="O213" s="31"/>
      <c r="P213" s="25">
        <v>583</v>
      </c>
    </row>
    <row r="214" spans="1:16" s="25" customFormat="1" ht="11.25">
      <c r="A214" s="17">
        <v>203</v>
      </c>
      <c r="B214" s="23">
        <f t="shared" si="7"/>
        <v>583</v>
      </c>
      <c r="C214" s="24"/>
      <c r="D214" s="30"/>
      <c r="F214" s="21"/>
      <c r="G214" s="31"/>
      <c r="H214" s="31"/>
      <c r="I214" s="31"/>
      <c r="J214" s="28"/>
      <c r="K214" s="28"/>
      <c r="L214" s="41"/>
      <c r="M214" s="36"/>
      <c r="N214" s="37"/>
      <c r="O214" s="31"/>
      <c r="P214" s="25">
        <v>583</v>
      </c>
    </row>
    <row r="215" spans="1:16" s="25" customFormat="1" ht="11.25">
      <c r="A215" s="17">
        <v>204</v>
      </c>
      <c r="B215" s="23">
        <f t="shared" si="7"/>
        <v>584</v>
      </c>
      <c r="C215" s="24" t="s">
        <v>63</v>
      </c>
      <c r="D215" s="30"/>
      <c r="F215" s="21"/>
      <c r="G215" s="31"/>
      <c r="H215" s="31"/>
      <c r="I215" s="31"/>
      <c r="J215" s="28"/>
      <c r="K215" s="28"/>
      <c r="N215" s="31"/>
      <c r="O215" s="31"/>
      <c r="P215" s="25">
        <v>584</v>
      </c>
    </row>
    <row r="216" spans="1:16" s="25" customFormat="1" ht="11.25">
      <c r="A216" s="17">
        <v>205</v>
      </c>
      <c r="B216" s="23">
        <f t="shared" si="7"/>
        <v>584</v>
      </c>
      <c r="C216" s="27">
        <v>584010</v>
      </c>
      <c r="D216" s="30" t="s">
        <v>115</v>
      </c>
      <c r="F216" s="21"/>
      <c r="G216" s="31"/>
      <c r="H216" s="31"/>
      <c r="I216" s="31"/>
      <c r="J216" s="28"/>
      <c r="K216" s="28"/>
      <c r="L216" s="43"/>
      <c r="M216" s="43">
        <f>L216-I216</f>
        <v>0</v>
      </c>
      <c r="N216" s="31"/>
      <c r="O216" s="31"/>
      <c r="P216" s="25">
        <v>584</v>
      </c>
    </row>
    <row r="217" spans="1:16" s="25" customFormat="1" ht="11.25">
      <c r="A217" s="17">
        <v>206</v>
      </c>
      <c r="B217" s="23">
        <f t="shared" si="7"/>
        <v>584</v>
      </c>
      <c r="C217" s="27">
        <v>584010</v>
      </c>
      <c r="D217" s="30" t="s">
        <v>172</v>
      </c>
      <c r="F217" s="21"/>
      <c r="G217" s="31"/>
      <c r="H217" s="31">
        <v>22380</v>
      </c>
      <c r="I217" s="31"/>
      <c r="J217" s="28" t="s">
        <v>212</v>
      </c>
      <c r="K217" s="28"/>
      <c r="L217" s="43">
        <v>108000</v>
      </c>
      <c r="M217" s="43">
        <f>L217-I217</f>
        <v>108000</v>
      </c>
      <c r="N217" s="31"/>
      <c r="O217" s="31"/>
      <c r="P217" s="25">
        <v>584</v>
      </c>
    </row>
    <row r="218" spans="1:16" s="25" customFormat="1" ht="11.25">
      <c r="A218" s="17">
        <v>207</v>
      </c>
      <c r="B218" s="23">
        <f t="shared" si="7"/>
        <v>584</v>
      </c>
      <c r="C218" s="27">
        <v>584030</v>
      </c>
      <c r="D218" s="30" t="s">
        <v>116</v>
      </c>
      <c r="F218" s="21"/>
      <c r="G218" s="31"/>
      <c r="H218" s="31"/>
      <c r="I218" s="31"/>
      <c r="J218" s="28"/>
      <c r="K218" s="28"/>
      <c r="L218" s="43"/>
      <c r="M218" s="43">
        <f>L218-I218</f>
        <v>0</v>
      </c>
      <c r="N218" s="31"/>
      <c r="O218" s="31"/>
      <c r="P218" s="25">
        <v>584</v>
      </c>
    </row>
    <row r="219" spans="1:16" s="25" customFormat="1" ht="11.25">
      <c r="A219" s="17">
        <v>208</v>
      </c>
      <c r="B219" s="23">
        <f t="shared" si="7"/>
        <v>584</v>
      </c>
      <c r="C219" s="29">
        <v>584500</v>
      </c>
      <c r="D219" s="25" t="s">
        <v>64</v>
      </c>
      <c r="F219" s="21"/>
      <c r="G219" s="31"/>
      <c r="H219" s="31"/>
      <c r="I219" s="31"/>
      <c r="J219" s="28"/>
      <c r="K219" s="28"/>
      <c r="L219" s="43"/>
      <c r="M219" s="43">
        <f>L219-I219</f>
        <v>0</v>
      </c>
      <c r="N219" s="31"/>
      <c r="O219" s="31"/>
      <c r="P219" s="25">
        <v>584</v>
      </c>
    </row>
    <row r="220" spans="1:16" s="25" customFormat="1" ht="11.25">
      <c r="A220" s="17">
        <v>209</v>
      </c>
      <c r="B220" s="23">
        <f t="shared" si="7"/>
        <v>584</v>
      </c>
      <c r="C220" s="29">
        <v>584510</v>
      </c>
      <c r="D220" s="25" t="s">
        <v>65</v>
      </c>
      <c r="F220" s="21"/>
      <c r="G220" s="31">
        <v>178</v>
      </c>
      <c r="H220" s="31"/>
      <c r="I220" s="31"/>
      <c r="J220" s="28"/>
      <c r="K220" s="28"/>
      <c r="L220" s="43"/>
      <c r="M220" s="43">
        <f>L220-I220</f>
        <v>0</v>
      </c>
      <c r="N220" s="31"/>
      <c r="O220" s="31"/>
      <c r="P220" s="25">
        <v>584</v>
      </c>
    </row>
    <row r="221" spans="1:17" s="25" customFormat="1" ht="33.75">
      <c r="A221" s="17">
        <v>210</v>
      </c>
      <c r="B221" s="23">
        <f t="shared" si="7"/>
        <v>584</v>
      </c>
      <c r="C221" s="24"/>
      <c r="D221" s="30"/>
      <c r="E221" s="25" t="s">
        <v>217</v>
      </c>
      <c r="F221" s="31">
        <f>SUM(F216:F220)</f>
        <v>0</v>
      </c>
      <c r="G221" s="31">
        <f>SUM(G216:G220)</f>
        <v>178</v>
      </c>
      <c r="H221" s="31">
        <f>SUM(H216:H220)</f>
        <v>22380</v>
      </c>
      <c r="I221" s="31">
        <v>0</v>
      </c>
      <c r="J221" s="28"/>
      <c r="K221" s="36" t="s">
        <v>282</v>
      </c>
      <c r="L221" s="41">
        <f>SUM(L216:L220)</f>
        <v>108000</v>
      </c>
      <c r="M221" s="36" t="s">
        <v>186</v>
      </c>
      <c r="N221" s="37">
        <f>SUM(M216:M220)</f>
        <v>108000</v>
      </c>
      <c r="O221" s="31"/>
      <c r="P221" s="25">
        <v>584</v>
      </c>
      <c r="Q221" s="25">
        <v>0</v>
      </c>
    </row>
    <row r="222" spans="1:16" s="25" customFormat="1" ht="11.25">
      <c r="A222" s="17">
        <v>211</v>
      </c>
      <c r="B222" s="23">
        <f t="shared" si="7"/>
        <v>584</v>
      </c>
      <c r="C222" s="24"/>
      <c r="D222" s="30"/>
      <c r="F222" s="21"/>
      <c r="G222" s="31"/>
      <c r="H222" s="31"/>
      <c r="I222" s="31"/>
      <c r="J222" s="28"/>
      <c r="K222" s="28"/>
      <c r="L222" s="41"/>
      <c r="M222" s="36"/>
      <c r="N222" s="37"/>
      <c r="O222" s="31"/>
      <c r="P222" s="25">
        <v>584</v>
      </c>
    </row>
    <row r="223" spans="1:16" s="25" customFormat="1" ht="11.25">
      <c r="A223" s="17">
        <v>212</v>
      </c>
      <c r="B223" s="23">
        <f t="shared" si="7"/>
        <v>585</v>
      </c>
      <c r="C223" s="24" t="s">
        <v>117</v>
      </c>
      <c r="D223" s="30"/>
      <c r="F223" s="21"/>
      <c r="G223" s="31"/>
      <c r="H223" s="31"/>
      <c r="I223" s="31"/>
      <c r="J223" s="28"/>
      <c r="K223" s="28"/>
      <c r="L223" s="31"/>
      <c r="M223" s="31"/>
      <c r="N223" s="31"/>
      <c r="O223" s="31"/>
      <c r="P223" s="25">
        <v>585</v>
      </c>
    </row>
    <row r="224" spans="1:16" s="25" customFormat="1" ht="11.25">
      <c r="A224" s="17">
        <v>213</v>
      </c>
      <c r="B224" s="23">
        <f t="shared" si="7"/>
        <v>585</v>
      </c>
      <c r="C224" s="27">
        <v>585010</v>
      </c>
      <c r="D224" s="30" t="s">
        <v>118</v>
      </c>
      <c r="F224" s="21">
        <v>1606</v>
      </c>
      <c r="G224" s="31"/>
      <c r="H224" s="31">
        <v>0</v>
      </c>
      <c r="I224" s="31"/>
      <c r="J224" s="28"/>
      <c r="K224" s="28"/>
      <c r="L224" s="43">
        <v>0</v>
      </c>
      <c r="M224" s="43"/>
      <c r="N224" s="31"/>
      <c r="O224" s="31"/>
      <c r="P224" s="25">
        <v>585</v>
      </c>
    </row>
    <row r="225" spans="1:16" s="25" customFormat="1" ht="11.25">
      <c r="A225" s="17">
        <v>214</v>
      </c>
      <c r="B225" s="23">
        <f t="shared" si="7"/>
        <v>585</v>
      </c>
      <c r="C225" s="27">
        <v>585020</v>
      </c>
      <c r="D225" s="30" t="s">
        <v>119</v>
      </c>
      <c r="F225" s="21"/>
      <c r="G225" s="31"/>
      <c r="H225" s="31">
        <v>0</v>
      </c>
      <c r="I225" s="31"/>
      <c r="J225" s="28"/>
      <c r="K225" s="28"/>
      <c r="L225" s="43">
        <f>SUM(F225:J225)</f>
        <v>0</v>
      </c>
      <c r="M225" s="43"/>
      <c r="N225" s="31"/>
      <c r="O225" s="31"/>
      <c r="P225" s="25">
        <v>585</v>
      </c>
    </row>
    <row r="226" spans="1:17" s="25" customFormat="1" ht="33.75">
      <c r="A226" s="17">
        <v>215</v>
      </c>
      <c r="B226" s="23">
        <f t="shared" si="7"/>
        <v>585</v>
      </c>
      <c r="C226" s="24"/>
      <c r="D226" s="30"/>
      <c r="E226" s="25" t="s">
        <v>217</v>
      </c>
      <c r="F226" s="31">
        <f>SUM(F224:F225)</f>
        <v>1606</v>
      </c>
      <c r="G226" s="31">
        <f>SUM(G224:G225)</f>
        <v>0</v>
      </c>
      <c r="H226" s="31">
        <f>SUM(H224:H225)</f>
        <v>0</v>
      </c>
      <c r="I226" s="31">
        <v>0</v>
      </c>
      <c r="J226" s="28"/>
      <c r="K226" s="36" t="s">
        <v>283</v>
      </c>
      <c r="L226" s="31">
        <f>SUM(L224:L225)</f>
        <v>0</v>
      </c>
      <c r="M226" s="36" t="s">
        <v>187</v>
      </c>
      <c r="N226" s="37">
        <f>SUM(M224:M225)</f>
        <v>0</v>
      </c>
      <c r="O226" s="31"/>
      <c r="P226" s="25">
        <v>585</v>
      </c>
      <c r="Q226" s="25">
        <v>0</v>
      </c>
    </row>
    <row r="227" spans="1:16" s="25" customFormat="1" ht="11.25">
      <c r="A227" s="17">
        <v>216</v>
      </c>
      <c r="B227" s="23">
        <f t="shared" si="7"/>
        <v>585</v>
      </c>
      <c r="C227" s="24"/>
      <c r="D227" s="30"/>
      <c r="F227" s="21"/>
      <c r="G227" s="31"/>
      <c r="H227" s="31"/>
      <c r="I227" s="31"/>
      <c r="J227" s="28"/>
      <c r="K227" s="28"/>
      <c r="L227" s="31"/>
      <c r="M227" s="36"/>
      <c r="N227" s="37"/>
      <c r="O227" s="31"/>
      <c r="P227" s="25">
        <v>585</v>
      </c>
    </row>
    <row r="228" spans="1:16" s="25" customFormat="1" ht="11.25">
      <c r="A228" s="17">
        <v>217</v>
      </c>
      <c r="B228" s="23">
        <f t="shared" si="7"/>
        <v>586</v>
      </c>
      <c r="C228" s="24" t="s">
        <v>55</v>
      </c>
      <c r="D228" s="30"/>
      <c r="F228" s="21"/>
      <c r="G228" s="31"/>
      <c r="H228" s="31"/>
      <c r="I228" s="31"/>
      <c r="J228" s="28"/>
      <c r="K228" s="28"/>
      <c r="L228" s="15"/>
      <c r="M228" s="31"/>
      <c r="N228" s="31"/>
      <c r="O228" s="31"/>
      <c r="P228" s="25">
        <v>586</v>
      </c>
    </row>
    <row r="229" spans="1:16" s="25" customFormat="1" ht="11.25">
      <c r="A229" s="17">
        <v>218</v>
      </c>
      <c r="B229" s="23">
        <f t="shared" si="7"/>
        <v>586</v>
      </c>
      <c r="C229" s="27">
        <v>586000</v>
      </c>
      <c r="D229" s="30" t="s">
        <v>56</v>
      </c>
      <c r="F229" s="21">
        <v>0</v>
      </c>
      <c r="G229" s="31">
        <v>0</v>
      </c>
      <c r="H229" s="31">
        <v>0</v>
      </c>
      <c r="I229" s="31"/>
      <c r="J229" s="28"/>
      <c r="K229" s="28"/>
      <c r="L229" s="43">
        <v>3543</v>
      </c>
      <c r="M229" s="43">
        <f>L229-I229</f>
        <v>3543</v>
      </c>
      <c r="N229" s="31"/>
      <c r="O229" s="31"/>
      <c r="P229" s="25">
        <v>586</v>
      </c>
    </row>
    <row r="230" spans="1:17" s="25" customFormat="1" ht="33.75">
      <c r="A230" s="17">
        <v>219</v>
      </c>
      <c r="B230" s="23">
        <f t="shared" si="7"/>
        <v>586</v>
      </c>
      <c r="C230" s="24"/>
      <c r="D230" s="30"/>
      <c r="E230" s="25" t="s">
        <v>217</v>
      </c>
      <c r="F230" s="31">
        <f>SUM(F229)</f>
        <v>0</v>
      </c>
      <c r="G230" s="31">
        <f>SUM(G229)</f>
        <v>0</v>
      </c>
      <c r="H230" s="31">
        <f>SUM(H229)</f>
        <v>0</v>
      </c>
      <c r="I230" s="31">
        <v>3423</v>
      </c>
      <c r="J230" s="28"/>
      <c r="K230" s="36" t="s">
        <v>284</v>
      </c>
      <c r="L230" s="31">
        <f>SUM(L229)</f>
        <v>3543</v>
      </c>
      <c r="M230" s="36" t="s">
        <v>215</v>
      </c>
      <c r="N230" s="37">
        <f>SUM(M229:M229)</f>
        <v>3543</v>
      </c>
      <c r="O230" s="31"/>
      <c r="P230" s="25">
        <v>586</v>
      </c>
      <c r="Q230" s="25">
        <v>3423</v>
      </c>
    </row>
    <row r="231" spans="1:16" s="25" customFormat="1" ht="11.25">
      <c r="A231" s="17">
        <v>220</v>
      </c>
      <c r="B231" s="23">
        <f t="shared" si="7"/>
        <v>586</v>
      </c>
      <c r="C231" s="24"/>
      <c r="D231" s="30"/>
      <c r="F231" s="21"/>
      <c r="G231" s="31"/>
      <c r="H231" s="31"/>
      <c r="I231" s="31"/>
      <c r="J231" s="28"/>
      <c r="K231" s="28"/>
      <c r="L231" s="31"/>
      <c r="M231" s="36"/>
      <c r="N231" s="37"/>
      <c r="O231" s="31"/>
      <c r="P231" s="25">
        <v>586</v>
      </c>
    </row>
    <row r="232" spans="1:16" s="25" customFormat="1" ht="11.25">
      <c r="A232" s="17">
        <v>221</v>
      </c>
      <c r="B232" s="23">
        <f t="shared" si="7"/>
        <v>587</v>
      </c>
      <c r="C232" s="24" t="s">
        <v>120</v>
      </c>
      <c r="D232" s="30"/>
      <c r="F232" s="21"/>
      <c r="G232" s="31"/>
      <c r="H232" s="31"/>
      <c r="I232" s="31"/>
      <c r="J232" s="28"/>
      <c r="K232" s="28"/>
      <c r="L232" s="31"/>
      <c r="M232" s="31"/>
      <c r="N232" s="31"/>
      <c r="O232" s="31"/>
      <c r="P232" s="25">
        <v>587</v>
      </c>
    </row>
    <row r="233" spans="1:16" s="25" customFormat="1" ht="11.25">
      <c r="A233" s="17">
        <v>222</v>
      </c>
      <c r="B233" s="23">
        <f t="shared" si="7"/>
        <v>587</v>
      </c>
      <c r="C233" s="27">
        <v>587000</v>
      </c>
      <c r="D233" s="30" t="s">
        <v>121</v>
      </c>
      <c r="F233" s="21"/>
      <c r="G233" s="31"/>
      <c r="H233" s="31">
        <v>0</v>
      </c>
      <c r="I233" s="31"/>
      <c r="J233" s="28"/>
      <c r="K233" s="28"/>
      <c r="L233" s="31">
        <v>0</v>
      </c>
      <c r="M233" s="31"/>
      <c r="N233" s="31"/>
      <c r="O233" s="31"/>
      <c r="P233" s="25">
        <v>587</v>
      </c>
    </row>
    <row r="234" spans="1:17" s="25" customFormat="1" ht="33.75">
      <c r="A234" s="17">
        <v>223</v>
      </c>
      <c r="B234" s="23">
        <f t="shared" si="7"/>
        <v>587</v>
      </c>
      <c r="C234" s="24"/>
      <c r="D234" s="30"/>
      <c r="E234" s="25" t="s">
        <v>217</v>
      </c>
      <c r="F234" s="31">
        <f>SUM(F233)</f>
        <v>0</v>
      </c>
      <c r="G234" s="31">
        <f>SUM(G233)</f>
        <v>0</v>
      </c>
      <c r="H234" s="31">
        <f>SUM(H233)</f>
        <v>0</v>
      </c>
      <c r="I234" s="31">
        <v>0</v>
      </c>
      <c r="J234" s="28"/>
      <c r="K234" s="36" t="s">
        <v>285</v>
      </c>
      <c r="L234" s="31">
        <f>SUM(L233)</f>
        <v>0</v>
      </c>
      <c r="M234" s="36" t="s">
        <v>188</v>
      </c>
      <c r="N234" s="37">
        <f>SUM(M233:M233)</f>
        <v>0</v>
      </c>
      <c r="O234" s="31"/>
      <c r="P234" s="25">
        <v>587</v>
      </c>
      <c r="Q234" s="25">
        <v>0</v>
      </c>
    </row>
    <row r="235" spans="1:16" s="25" customFormat="1" ht="11.25">
      <c r="A235" s="17">
        <v>224</v>
      </c>
      <c r="B235" s="23">
        <f t="shared" si="7"/>
        <v>587</v>
      </c>
      <c r="C235" s="24"/>
      <c r="D235" s="30"/>
      <c r="F235" s="21"/>
      <c r="G235" s="31"/>
      <c r="H235" s="31"/>
      <c r="I235" s="31"/>
      <c r="J235" s="28"/>
      <c r="K235" s="28"/>
      <c r="L235" s="31"/>
      <c r="M235" s="36"/>
      <c r="N235" s="37"/>
      <c r="O235" s="31"/>
      <c r="P235" s="25">
        <v>587</v>
      </c>
    </row>
    <row r="236" spans="1:16" s="25" customFormat="1" ht="11.25">
      <c r="A236" s="17">
        <v>225</v>
      </c>
      <c r="B236" s="23">
        <f t="shared" si="7"/>
        <v>588</v>
      </c>
      <c r="C236" s="24" t="s">
        <v>57</v>
      </c>
      <c r="D236" s="30"/>
      <c r="F236" s="21"/>
      <c r="G236" s="31"/>
      <c r="H236" s="31"/>
      <c r="I236" s="31"/>
      <c r="J236" s="28"/>
      <c r="K236" s="28"/>
      <c r="L236" s="31"/>
      <c r="M236" s="31"/>
      <c r="N236" s="31"/>
      <c r="O236" s="31"/>
      <c r="P236" s="25">
        <v>588</v>
      </c>
    </row>
    <row r="237" spans="1:16" s="25" customFormat="1" ht="11.25">
      <c r="A237" s="17">
        <v>226</v>
      </c>
      <c r="B237" s="23">
        <f t="shared" si="7"/>
        <v>588</v>
      </c>
      <c r="C237" s="27">
        <v>588000</v>
      </c>
      <c r="D237" s="30" t="s">
        <v>58</v>
      </c>
      <c r="F237" s="21">
        <v>111</v>
      </c>
      <c r="G237" s="31">
        <v>87</v>
      </c>
      <c r="H237" s="31">
        <v>187</v>
      </c>
      <c r="I237" s="31"/>
      <c r="J237" s="28"/>
      <c r="K237" s="28"/>
      <c r="L237" s="44">
        <v>0</v>
      </c>
      <c r="M237" s="43">
        <f>L237-I237</f>
        <v>0</v>
      </c>
      <c r="N237" s="31"/>
      <c r="O237" s="31"/>
      <c r="P237" s="25">
        <v>588</v>
      </c>
    </row>
    <row r="238" spans="1:17" s="25" customFormat="1" ht="33.75">
      <c r="A238" s="17">
        <v>227</v>
      </c>
      <c r="B238" s="23">
        <f t="shared" si="7"/>
        <v>588</v>
      </c>
      <c r="C238" s="24"/>
      <c r="D238" s="30"/>
      <c r="E238" s="25" t="s">
        <v>217</v>
      </c>
      <c r="F238" s="31">
        <f>SUM(F237)</f>
        <v>111</v>
      </c>
      <c r="G238" s="31">
        <f>SUM(G237)</f>
        <v>87</v>
      </c>
      <c r="H238" s="31">
        <f>SUM(H237)</f>
        <v>187</v>
      </c>
      <c r="I238" s="31">
        <v>0</v>
      </c>
      <c r="J238" s="28"/>
      <c r="K238" s="36" t="s">
        <v>286</v>
      </c>
      <c r="L238" s="31">
        <f>SUM(L237)</f>
        <v>0</v>
      </c>
      <c r="M238" s="36" t="s">
        <v>189</v>
      </c>
      <c r="N238" s="37">
        <f>SUM(M237:M237)</f>
        <v>0</v>
      </c>
      <c r="O238" s="31"/>
      <c r="P238" s="25">
        <v>588</v>
      </c>
      <c r="Q238" s="25">
        <v>0</v>
      </c>
    </row>
    <row r="239" spans="1:16" s="25" customFormat="1" ht="11.25">
      <c r="A239" s="17">
        <v>228</v>
      </c>
      <c r="B239" s="23">
        <f t="shared" si="7"/>
        <v>588</v>
      </c>
      <c r="C239" s="24"/>
      <c r="D239" s="30"/>
      <c r="F239" s="21"/>
      <c r="G239" s="31"/>
      <c r="H239" s="31"/>
      <c r="I239" s="31"/>
      <c r="J239" s="28"/>
      <c r="K239" s="28"/>
      <c r="L239" s="31"/>
      <c r="M239" s="36"/>
      <c r="N239" s="37"/>
      <c r="O239" s="31"/>
      <c r="P239" s="25">
        <v>588</v>
      </c>
    </row>
    <row r="240" spans="1:16" s="25" customFormat="1" ht="11.25">
      <c r="A240" s="17">
        <v>229</v>
      </c>
      <c r="B240" s="23">
        <f t="shared" si="7"/>
        <v>589</v>
      </c>
      <c r="C240" s="24" t="s">
        <v>191</v>
      </c>
      <c r="D240" s="30"/>
      <c r="F240" s="21"/>
      <c r="G240" s="31"/>
      <c r="H240" s="31"/>
      <c r="I240" s="31"/>
      <c r="J240" s="28"/>
      <c r="K240" s="28"/>
      <c r="L240" s="31"/>
      <c r="M240" s="31"/>
      <c r="N240" s="31"/>
      <c r="O240" s="31"/>
      <c r="P240" s="25">
        <v>589</v>
      </c>
    </row>
    <row r="241" spans="1:16" s="25" customFormat="1" ht="11.25">
      <c r="A241" s="17">
        <v>230</v>
      </c>
      <c r="B241" s="23">
        <f t="shared" si="7"/>
        <v>589</v>
      </c>
      <c r="C241" s="27">
        <v>589000</v>
      </c>
      <c r="D241" s="30" t="s">
        <v>122</v>
      </c>
      <c r="F241" s="21"/>
      <c r="G241" s="31"/>
      <c r="H241" s="31">
        <v>0</v>
      </c>
      <c r="I241" s="31"/>
      <c r="J241" s="28"/>
      <c r="K241" s="28"/>
      <c r="L241" s="31">
        <v>0</v>
      </c>
      <c r="M241" s="31"/>
      <c r="N241" s="31"/>
      <c r="O241" s="31"/>
      <c r="P241" s="25">
        <v>589</v>
      </c>
    </row>
    <row r="242" spans="1:17" s="25" customFormat="1" ht="33.75">
      <c r="A242" s="17">
        <v>231</v>
      </c>
      <c r="B242" s="23">
        <f t="shared" si="7"/>
        <v>589</v>
      </c>
      <c r="C242" s="24"/>
      <c r="D242" s="30"/>
      <c r="E242" s="25" t="s">
        <v>217</v>
      </c>
      <c r="F242" s="31">
        <f>SUM(F241)</f>
        <v>0</v>
      </c>
      <c r="G242" s="31">
        <f>SUM(G241)</f>
        <v>0</v>
      </c>
      <c r="H242" s="31">
        <f>SUM(H241)</f>
        <v>0</v>
      </c>
      <c r="I242" s="31">
        <v>0</v>
      </c>
      <c r="J242" s="28"/>
      <c r="K242" s="36" t="s">
        <v>287</v>
      </c>
      <c r="L242" s="31">
        <f>SUM(L241)</f>
        <v>0</v>
      </c>
      <c r="M242" s="36" t="s">
        <v>190</v>
      </c>
      <c r="N242" s="37">
        <f>SUM(M241:M241)</f>
        <v>0</v>
      </c>
      <c r="O242" s="31"/>
      <c r="P242" s="25">
        <v>589</v>
      </c>
      <c r="Q242" s="25">
        <v>0</v>
      </c>
    </row>
    <row r="243" spans="1:16" s="25" customFormat="1" ht="11.25">
      <c r="A243" s="17">
        <v>232</v>
      </c>
      <c r="B243" s="23">
        <f t="shared" si="7"/>
        <v>589</v>
      </c>
      <c r="C243" s="24"/>
      <c r="D243" s="30"/>
      <c r="F243" s="21"/>
      <c r="G243" s="31"/>
      <c r="H243" s="31"/>
      <c r="I243" s="31"/>
      <c r="J243" s="28"/>
      <c r="K243" s="28"/>
      <c r="L243" s="31"/>
      <c r="M243" s="36"/>
      <c r="N243" s="37"/>
      <c r="O243" s="31"/>
      <c r="P243" s="25">
        <v>589</v>
      </c>
    </row>
    <row r="244" spans="1:16" s="25" customFormat="1" ht="11.25">
      <c r="A244" s="17">
        <v>233</v>
      </c>
      <c r="B244" s="23">
        <f t="shared" si="7"/>
        <v>590</v>
      </c>
      <c r="C244" s="24" t="s">
        <v>66</v>
      </c>
      <c r="D244" s="30"/>
      <c r="F244" s="21"/>
      <c r="G244" s="31"/>
      <c r="H244" s="31"/>
      <c r="I244" s="31"/>
      <c r="J244" s="28"/>
      <c r="K244" s="28"/>
      <c r="L244" s="31"/>
      <c r="M244" s="31"/>
      <c r="N244" s="31"/>
      <c r="O244" s="31"/>
      <c r="P244" s="25">
        <v>590</v>
      </c>
    </row>
    <row r="245" spans="1:16" s="25" customFormat="1" ht="11.25">
      <c r="A245" s="17">
        <v>234</v>
      </c>
      <c r="B245" s="23">
        <f t="shared" si="7"/>
        <v>590</v>
      </c>
      <c r="C245" s="29">
        <v>590000</v>
      </c>
      <c r="D245" s="30" t="s">
        <v>38</v>
      </c>
      <c r="F245" s="21">
        <v>76600</v>
      </c>
      <c r="G245" s="31">
        <v>76858</v>
      </c>
      <c r="H245" s="31">
        <v>79025</v>
      </c>
      <c r="I245" s="31"/>
      <c r="J245" s="28"/>
      <c r="K245" s="28"/>
      <c r="L245" s="31">
        <v>159791</v>
      </c>
      <c r="M245" s="31">
        <f>L245-H245</f>
        <v>80766</v>
      </c>
      <c r="N245" s="31"/>
      <c r="O245" s="31"/>
      <c r="P245" s="25">
        <v>590</v>
      </c>
    </row>
    <row r="246" spans="1:17" s="25" customFormat="1" ht="33.75">
      <c r="A246" s="17">
        <v>235</v>
      </c>
      <c r="B246" s="23">
        <f t="shared" si="7"/>
        <v>590</v>
      </c>
      <c r="C246" s="24"/>
      <c r="D246" s="30"/>
      <c r="E246" s="25" t="s">
        <v>217</v>
      </c>
      <c r="F246" s="31">
        <f>SUM(F245)</f>
        <v>76600</v>
      </c>
      <c r="G246" s="31">
        <f>SUM(G245)</f>
        <v>76858</v>
      </c>
      <c r="H246" s="31">
        <f>SUM(H245)</f>
        <v>79025</v>
      </c>
      <c r="I246" s="31">
        <v>287374</v>
      </c>
      <c r="J246" s="28"/>
      <c r="K246" s="36" t="s">
        <v>288</v>
      </c>
      <c r="L246" s="31">
        <f>SUM(L245)</f>
        <v>159791</v>
      </c>
      <c r="M246" s="36" t="s">
        <v>192</v>
      </c>
      <c r="N246" s="37">
        <f>SUM(M245:M245)</f>
        <v>80766</v>
      </c>
      <c r="O246" s="31"/>
      <c r="P246" s="25">
        <v>590</v>
      </c>
      <c r="Q246" s="25">
        <v>287374</v>
      </c>
    </row>
    <row r="247" spans="1:16" s="25" customFormat="1" ht="11.25">
      <c r="A247" s="17">
        <v>236</v>
      </c>
      <c r="B247" s="23">
        <f t="shared" si="7"/>
        <v>590</v>
      </c>
      <c r="C247" s="24"/>
      <c r="D247" s="30"/>
      <c r="F247" s="21"/>
      <c r="G247" s="31"/>
      <c r="H247" s="31"/>
      <c r="I247" s="31"/>
      <c r="J247" s="28"/>
      <c r="K247" s="28"/>
      <c r="L247" s="31"/>
      <c r="M247" s="36"/>
      <c r="N247" s="37"/>
      <c r="O247" s="31"/>
      <c r="P247" s="25">
        <v>590</v>
      </c>
    </row>
    <row r="248" spans="1:16" s="25" customFormat="1" ht="11.25">
      <c r="A248" s="17">
        <v>237</v>
      </c>
      <c r="B248" s="23">
        <f t="shared" si="7"/>
        <v>591</v>
      </c>
      <c r="C248" s="24" t="s">
        <v>70</v>
      </c>
      <c r="D248" s="30"/>
      <c r="F248" s="21"/>
      <c r="G248" s="31"/>
      <c r="H248" s="31"/>
      <c r="I248" s="31"/>
      <c r="J248" s="28"/>
      <c r="K248" s="28"/>
      <c r="L248" s="31"/>
      <c r="M248" s="31"/>
      <c r="N248" s="31"/>
      <c r="O248" s="31"/>
      <c r="P248" s="25">
        <v>591</v>
      </c>
    </row>
    <row r="249" spans="1:16" s="25" customFormat="1" ht="11.25">
      <c r="A249" s="17">
        <v>238</v>
      </c>
      <c r="B249" s="23">
        <f t="shared" si="7"/>
        <v>591</v>
      </c>
      <c r="C249" s="29">
        <v>591510</v>
      </c>
      <c r="D249" s="30" t="s">
        <v>71</v>
      </c>
      <c r="F249" s="21">
        <v>30878</v>
      </c>
      <c r="G249" s="31">
        <v>60454</v>
      </c>
      <c r="H249" s="31">
        <v>42086</v>
      </c>
      <c r="I249" s="31"/>
      <c r="J249" s="28"/>
      <c r="K249" s="28"/>
      <c r="L249" s="38">
        <v>49000</v>
      </c>
      <c r="M249" s="38">
        <f>L249-I249</f>
        <v>49000</v>
      </c>
      <c r="N249" s="31"/>
      <c r="O249" s="31"/>
      <c r="P249" s="25">
        <v>591</v>
      </c>
    </row>
    <row r="250" spans="1:16" s="25" customFormat="1" ht="11.25">
      <c r="A250" s="17">
        <v>239</v>
      </c>
      <c r="B250" s="23">
        <f t="shared" si="7"/>
        <v>591</v>
      </c>
      <c r="C250" s="27">
        <v>591520</v>
      </c>
      <c r="D250" s="30" t="s">
        <v>72</v>
      </c>
      <c r="F250" s="21">
        <v>16393</v>
      </c>
      <c r="G250" s="31">
        <v>34173</v>
      </c>
      <c r="H250" s="31">
        <v>23604</v>
      </c>
      <c r="I250" s="31"/>
      <c r="J250" s="28" t="s">
        <v>103</v>
      </c>
      <c r="K250" s="28"/>
      <c r="L250" s="38">
        <v>24430</v>
      </c>
      <c r="M250" s="38">
        <f>L250-I250</f>
        <v>24430</v>
      </c>
      <c r="N250" s="31"/>
      <c r="O250" s="31"/>
      <c r="P250" s="25">
        <v>591</v>
      </c>
    </row>
    <row r="251" spans="1:16" s="25" customFormat="1" ht="11.25">
      <c r="A251" s="17">
        <v>240</v>
      </c>
      <c r="B251" s="23">
        <f t="shared" si="7"/>
        <v>591</v>
      </c>
      <c r="C251" s="29">
        <v>591530</v>
      </c>
      <c r="D251" s="30" t="s">
        <v>46</v>
      </c>
      <c r="F251" s="21">
        <v>40455</v>
      </c>
      <c r="G251" s="31">
        <v>76504</v>
      </c>
      <c r="H251" s="31">
        <v>120808</v>
      </c>
      <c r="I251" s="31"/>
      <c r="J251" s="28" t="s">
        <v>103</v>
      </c>
      <c r="K251" s="28"/>
      <c r="L251" s="38">
        <v>125036</v>
      </c>
      <c r="M251" s="38">
        <f>L251-I251</f>
        <v>125036</v>
      </c>
      <c r="N251" s="31"/>
      <c r="O251" s="31"/>
      <c r="P251" s="25">
        <v>591</v>
      </c>
    </row>
    <row r="252" spans="1:17" s="25" customFormat="1" ht="33.75">
      <c r="A252" s="17">
        <v>241</v>
      </c>
      <c r="B252" s="23">
        <f t="shared" si="7"/>
        <v>591</v>
      </c>
      <c r="C252" s="24"/>
      <c r="D252" s="30"/>
      <c r="E252" s="25" t="s">
        <v>217</v>
      </c>
      <c r="F252" s="31">
        <f>SUM(F249:F251)</f>
        <v>87726</v>
      </c>
      <c r="G252" s="31">
        <f>SUM(G249:G251)</f>
        <v>171131</v>
      </c>
      <c r="H252" s="31">
        <f>SUM(H249:H251)</f>
        <v>186498</v>
      </c>
      <c r="I252" s="31">
        <v>57874</v>
      </c>
      <c r="J252" s="28"/>
      <c r="K252" s="36" t="s">
        <v>289</v>
      </c>
      <c r="L252" s="31">
        <f>SUM(L249:L251)</f>
        <v>198466</v>
      </c>
      <c r="M252" s="36" t="s">
        <v>193</v>
      </c>
      <c r="N252" s="37">
        <f>SUM(M249:M251)</f>
        <v>198466</v>
      </c>
      <c r="O252" s="31"/>
      <c r="P252" s="25">
        <v>591</v>
      </c>
      <c r="Q252" s="25">
        <v>57874</v>
      </c>
    </row>
    <row r="253" spans="1:16" s="25" customFormat="1" ht="11.25">
      <c r="A253" s="17">
        <v>242</v>
      </c>
      <c r="B253" s="23">
        <f t="shared" si="7"/>
        <v>591</v>
      </c>
      <c r="C253" s="24"/>
      <c r="D253" s="30"/>
      <c r="F253" s="21"/>
      <c r="G253" s="31"/>
      <c r="H253" s="31"/>
      <c r="I253" s="31"/>
      <c r="J253" s="28"/>
      <c r="K253" s="28"/>
      <c r="L253" s="31"/>
      <c r="M253" s="36"/>
      <c r="N253" s="37"/>
      <c r="O253" s="31"/>
      <c r="P253" s="25">
        <v>591</v>
      </c>
    </row>
    <row r="254" spans="1:16" s="39" customFormat="1" ht="11.25">
      <c r="A254" s="17">
        <v>243</v>
      </c>
      <c r="B254" s="23">
        <f t="shared" si="7"/>
        <v>592</v>
      </c>
      <c r="C254" s="45" t="s">
        <v>67</v>
      </c>
      <c r="D254" s="30"/>
      <c r="F254" s="31"/>
      <c r="G254" s="31"/>
      <c r="H254" s="31"/>
      <c r="I254" s="31"/>
      <c r="J254" s="28"/>
      <c r="K254" s="28"/>
      <c r="L254" s="31"/>
      <c r="M254" s="31"/>
      <c r="N254" s="31"/>
      <c r="O254" s="31"/>
      <c r="P254" s="39">
        <v>592</v>
      </c>
    </row>
    <row r="255" spans="1:16" s="25" customFormat="1" ht="11.25">
      <c r="A255" s="17">
        <v>244</v>
      </c>
      <c r="B255" s="23">
        <f t="shared" si="7"/>
        <v>592</v>
      </c>
      <c r="C255" s="29">
        <v>592500</v>
      </c>
      <c r="D255" s="30" t="s">
        <v>73</v>
      </c>
      <c r="F255" s="31">
        <v>80774</v>
      </c>
      <c r="G255" s="31">
        <v>102919</v>
      </c>
      <c r="H255" s="31">
        <v>144669</v>
      </c>
      <c r="I255" s="31"/>
      <c r="J255" s="28"/>
      <c r="K255" s="28"/>
      <c r="L255" s="38">
        <v>194000</v>
      </c>
      <c r="M255" s="38">
        <f aca="true" t="shared" si="8" ref="M255:M262">L255-I255</f>
        <v>194000</v>
      </c>
      <c r="N255" s="31"/>
      <c r="O255" s="31"/>
      <c r="P255" s="25">
        <v>592</v>
      </c>
    </row>
    <row r="256" spans="1:16" s="39" customFormat="1" ht="11.25">
      <c r="A256" s="17">
        <v>245</v>
      </c>
      <c r="B256" s="23">
        <f t="shared" si="7"/>
        <v>592</v>
      </c>
      <c r="C256" s="29">
        <v>592510</v>
      </c>
      <c r="D256" s="30" t="s">
        <v>74</v>
      </c>
      <c r="F256" s="31">
        <v>3213</v>
      </c>
      <c r="G256" s="31">
        <v>10902</v>
      </c>
      <c r="H256" s="31">
        <v>1844</v>
      </c>
      <c r="I256" s="31"/>
      <c r="J256" s="28"/>
      <c r="K256" s="28"/>
      <c r="L256" s="38">
        <v>3600</v>
      </c>
      <c r="M256" s="38">
        <f t="shared" si="8"/>
        <v>3600</v>
      </c>
      <c r="N256" s="31"/>
      <c r="O256" s="31"/>
      <c r="P256" s="39">
        <v>592</v>
      </c>
    </row>
    <row r="257" spans="1:16" s="39" customFormat="1" ht="11.25">
      <c r="A257" s="17">
        <v>246</v>
      </c>
      <c r="B257" s="23">
        <f t="shared" si="7"/>
        <v>592</v>
      </c>
      <c r="C257" s="29">
        <v>592520</v>
      </c>
      <c r="D257" s="30" t="s">
        <v>75</v>
      </c>
      <c r="F257" s="31">
        <v>24432</v>
      </c>
      <c r="G257" s="31">
        <v>12929</v>
      </c>
      <c r="H257" s="31">
        <v>25860</v>
      </c>
      <c r="I257" s="31"/>
      <c r="J257" s="28" t="s">
        <v>103</v>
      </c>
      <c r="K257" s="28"/>
      <c r="L257" s="38">
        <v>26765</v>
      </c>
      <c r="M257" s="38">
        <f t="shared" si="8"/>
        <v>26765</v>
      </c>
      <c r="N257" s="31"/>
      <c r="O257" s="31"/>
      <c r="P257" s="39">
        <v>592</v>
      </c>
    </row>
    <row r="258" spans="1:16" s="25" customFormat="1" ht="11.25">
      <c r="A258" s="17">
        <v>247</v>
      </c>
      <c r="B258" s="23">
        <f t="shared" si="7"/>
        <v>592</v>
      </c>
      <c r="C258" s="29">
        <v>592530</v>
      </c>
      <c r="D258" s="30" t="s">
        <v>76</v>
      </c>
      <c r="F258" s="31">
        <v>1308</v>
      </c>
      <c r="G258" s="31">
        <v>2508</v>
      </c>
      <c r="H258" s="31">
        <v>4684</v>
      </c>
      <c r="I258" s="31"/>
      <c r="J258" s="28" t="s">
        <v>103</v>
      </c>
      <c r="K258" s="28"/>
      <c r="L258" s="38">
        <v>4848</v>
      </c>
      <c r="M258" s="38">
        <f t="shared" si="8"/>
        <v>4848</v>
      </c>
      <c r="N258" s="31"/>
      <c r="O258" s="31"/>
      <c r="P258" s="25">
        <v>592</v>
      </c>
    </row>
    <row r="259" spans="1:16" s="39" customFormat="1" ht="11.25">
      <c r="A259" s="17">
        <v>248</v>
      </c>
      <c r="B259" s="23">
        <f t="shared" si="7"/>
        <v>592</v>
      </c>
      <c r="C259" s="29">
        <v>592540</v>
      </c>
      <c r="D259" s="30" t="s">
        <v>105</v>
      </c>
      <c r="F259" s="31">
        <v>23603</v>
      </c>
      <c r="G259" s="31">
        <v>36194</v>
      </c>
      <c r="H259" s="31">
        <v>68461</v>
      </c>
      <c r="I259" s="31"/>
      <c r="J259" s="28"/>
      <c r="K259" s="28"/>
      <c r="L259" s="38">
        <v>75000</v>
      </c>
      <c r="M259" s="38">
        <f t="shared" si="8"/>
        <v>75000</v>
      </c>
      <c r="N259" s="31"/>
      <c r="O259" s="31"/>
      <c r="P259" s="39">
        <v>592</v>
      </c>
    </row>
    <row r="260" spans="1:16" s="25" customFormat="1" ht="11.25">
      <c r="A260" s="17">
        <v>249</v>
      </c>
      <c r="B260" s="23">
        <f t="shared" si="7"/>
        <v>592</v>
      </c>
      <c r="C260" s="29">
        <v>592550</v>
      </c>
      <c r="D260" s="30" t="s">
        <v>77</v>
      </c>
      <c r="F260" s="31">
        <v>660</v>
      </c>
      <c r="G260" s="31">
        <v>1675</v>
      </c>
      <c r="H260" s="31">
        <v>90</v>
      </c>
      <c r="I260" s="31"/>
      <c r="J260" s="28"/>
      <c r="K260" s="28"/>
      <c r="L260" s="38">
        <v>1675</v>
      </c>
      <c r="M260" s="38">
        <f t="shared" si="8"/>
        <v>1675</v>
      </c>
      <c r="N260" s="31"/>
      <c r="O260" s="31"/>
      <c r="P260" s="25">
        <v>592</v>
      </c>
    </row>
    <row r="261" spans="1:16" s="25" customFormat="1" ht="11.25">
      <c r="A261" s="17">
        <v>250</v>
      </c>
      <c r="B261" s="23">
        <f t="shared" si="7"/>
        <v>592</v>
      </c>
      <c r="C261" s="29">
        <v>592560</v>
      </c>
      <c r="D261" s="30" t="s">
        <v>78</v>
      </c>
      <c r="F261" s="31">
        <v>14761</v>
      </c>
      <c r="G261" s="31">
        <v>10172</v>
      </c>
      <c r="H261" s="31">
        <v>3664</v>
      </c>
      <c r="I261" s="31"/>
      <c r="J261" s="28"/>
      <c r="K261" s="28"/>
      <c r="L261" s="38">
        <f>G261*(1.035)^2</f>
        <v>10897</v>
      </c>
      <c r="M261" s="38">
        <f t="shared" si="8"/>
        <v>10897</v>
      </c>
      <c r="N261" s="31"/>
      <c r="O261" s="31"/>
      <c r="P261" s="25">
        <v>592</v>
      </c>
    </row>
    <row r="262" spans="1:16" s="25" customFormat="1" ht="11.25">
      <c r="A262" s="17">
        <v>251</v>
      </c>
      <c r="B262" s="23">
        <f t="shared" si="7"/>
        <v>592</v>
      </c>
      <c r="C262" s="29">
        <v>592570</v>
      </c>
      <c r="D262" s="30" t="s">
        <v>78</v>
      </c>
      <c r="F262" s="31">
        <v>61400</v>
      </c>
      <c r="G262" s="31">
        <v>77913</v>
      </c>
      <c r="H262" s="31">
        <v>115574</v>
      </c>
      <c r="I262" s="31"/>
      <c r="J262" s="28"/>
      <c r="K262" s="28"/>
      <c r="L262" s="38">
        <f>G262*(1.035)^2</f>
        <v>83462</v>
      </c>
      <c r="M262" s="38">
        <f t="shared" si="8"/>
        <v>83462</v>
      </c>
      <c r="N262" s="31"/>
      <c r="O262" s="31"/>
      <c r="P262" s="25">
        <v>592</v>
      </c>
    </row>
    <row r="263" spans="1:17" s="25" customFormat="1" ht="33.75">
      <c r="A263" s="17">
        <v>252</v>
      </c>
      <c r="B263" s="23">
        <f t="shared" si="7"/>
        <v>592</v>
      </c>
      <c r="C263" s="24"/>
      <c r="D263" s="30"/>
      <c r="E263" s="25" t="s">
        <v>217</v>
      </c>
      <c r="F263" s="31">
        <f>SUM(F255:F262)</f>
        <v>210151</v>
      </c>
      <c r="G263" s="31">
        <f>SUM(G255:G262)</f>
        <v>255212</v>
      </c>
      <c r="H263" s="31">
        <f>SUM(H255:H262)</f>
        <v>364846</v>
      </c>
      <c r="I263" s="31">
        <v>266718</v>
      </c>
      <c r="J263" s="28"/>
      <c r="K263" s="36" t="s">
        <v>290</v>
      </c>
      <c r="L263" s="31">
        <f>SUM(L255:L262)</f>
        <v>400247</v>
      </c>
      <c r="M263" s="36" t="s">
        <v>194</v>
      </c>
      <c r="N263" s="37">
        <f>SUM(M255:M262)</f>
        <v>400247</v>
      </c>
      <c r="O263" s="31"/>
      <c r="P263" s="25">
        <v>592</v>
      </c>
      <c r="Q263" s="25">
        <v>266718</v>
      </c>
    </row>
    <row r="264" spans="1:16" s="25" customFormat="1" ht="11.25">
      <c r="A264" s="17">
        <v>253</v>
      </c>
      <c r="B264" s="23">
        <f t="shared" si="7"/>
        <v>592</v>
      </c>
      <c r="C264" s="24"/>
      <c r="D264" s="30"/>
      <c r="F264" s="21"/>
      <c r="G264" s="31"/>
      <c r="H264" s="31"/>
      <c r="I264" s="31"/>
      <c r="J264" s="28"/>
      <c r="K264" s="28"/>
      <c r="L264" s="31"/>
      <c r="M264" s="36"/>
      <c r="N264" s="37"/>
      <c r="O264" s="31"/>
      <c r="P264" s="25">
        <v>592</v>
      </c>
    </row>
    <row r="265" spans="1:16" s="25" customFormat="1" ht="11.25">
      <c r="A265" s="17">
        <v>254</v>
      </c>
      <c r="B265" s="23">
        <f t="shared" si="7"/>
        <v>593</v>
      </c>
      <c r="C265" s="24" t="s">
        <v>123</v>
      </c>
      <c r="D265" s="30"/>
      <c r="F265" s="21"/>
      <c r="G265" s="31"/>
      <c r="H265" s="31"/>
      <c r="I265" s="31"/>
      <c r="J265" s="28"/>
      <c r="K265" s="28"/>
      <c r="L265" s="31"/>
      <c r="M265" s="31"/>
      <c r="N265" s="31"/>
      <c r="O265" s="31"/>
      <c r="P265" s="25">
        <v>593</v>
      </c>
    </row>
    <row r="266" spans="1:16" s="25" customFormat="1" ht="11.25">
      <c r="A266" s="17">
        <v>255</v>
      </c>
      <c r="B266" s="23">
        <f aca="true" t="shared" si="9" ref="B266:B308">IF(C266="",B265,VALUE(LEFT(C266,3)))</f>
        <v>593</v>
      </c>
      <c r="C266" s="27">
        <v>593010</v>
      </c>
      <c r="D266" s="30" t="s">
        <v>124</v>
      </c>
      <c r="F266" s="21">
        <v>18360</v>
      </c>
      <c r="G266" s="31"/>
      <c r="H266" s="31"/>
      <c r="I266" s="31"/>
      <c r="J266" s="28"/>
      <c r="K266" s="28"/>
      <c r="L266" s="43">
        <v>0</v>
      </c>
      <c r="M266" s="43"/>
      <c r="N266" s="31"/>
      <c r="O266" s="31"/>
      <c r="P266" s="25">
        <v>593</v>
      </c>
    </row>
    <row r="267" spans="1:16" s="25" customFormat="1" ht="11.25">
      <c r="A267" s="17">
        <v>256</v>
      </c>
      <c r="B267" s="23">
        <f t="shared" si="9"/>
        <v>593</v>
      </c>
      <c r="C267" s="27">
        <v>593020</v>
      </c>
      <c r="D267" s="30" t="s">
        <v>125</v>
      </c>
      <c r="F267" s="21"/>
      <c r="G267" s="31"/>
      <c r="H267" s="31"/>
      <c r="I267" s="31"/>
      <c r="J267" s="28"/>
      <c r="K267" s="28"/>
      <c r="L267" s="43">
        <v>0</v>
      </c>
      <c r="M267" s="43"/>
      <c r="N267" s="31"/>
      <c r="O267" s="31"/>
      <c r="P267" s="25">
        <v>593</v>
      </c>
    </row>
    <row r="268" spans="1:16" s="25" customFormat="1" ht="11.25">
      <c r="A268" s="17">
        <v>257</v>
      </c>
      <c r="B268" s="23">
        <f t="shared" si="9"/>
        <v>593</v>
      </c>
      <c r="C268" s="27">
        <v>593500</v>
      </c>
      <c r="D268" s="30" t="s">
        <v>126</v>
      </c>
      <c r="F268" s="21">
        <v>399</v>
      </c>
      <c r="G268" s="31"/>
      <c r="H268" s="31"/>
      <c r="I268" s="31"/>
      <c r="J268" s="28"/>
      <c r="K268" s="28"/>
      <c r="L268" s="43">
        <v>0</v>
      </c>
      <c r="M268" s="43"/>
      <c r="N268" s="31"/>
      <c r="O268" s="31"/>
      <c r="P268" s="25">
        <v>593</v>
      </c>
    </row>
    <row r="269" spans="1:16" s="25" customFormat="1" ht="11.25">
      <c r="A269" s="17">
        <v>258</v>
      </c>
      <c r="B269" s="23">
        <f t="shared" si="9"/>
        <v>593</v>
      </c>
      <c r="C269" s="27">
        <v>593510</v>
      </c>
      <c r="D269" s="30" t="s">
        <v>128</v>
      </c>
      <c r="F269" s="21">
        <v>1397</v>
      </c>
      <c r="G269" s="31"/>
      <c r="H269" s="31"/>
      <c r="I269" s="31"/>
      <c r="J269" s="28"/>
      <c r="K269" s="28"/>
      <c r="L269" s="43">
        <v>0</v>
      </c>
      <c r="M269" s="43"/>
      <c r="N269" s="31"/>
      <c r="O269" s="31"/>
      <c r="P269" s="25">
        <v>593</v>
      </c>
    </row>
    <row r="270" spans="1:16" s="25" customFormat="1" ht="11.25">
      <c r="A270" s="17">
        <v>259</v>
      </c>
      <c r="B270" s="23">
        <f t="shared" si="9"/>
        <v>593</v>
      </c>
      <c r="C270" s="27">
        <v>593520</v>
      </c>
      <c r="D270" s="30" t="s">
        <v>127</v>
      </c>
      <c r="F270" s="21"/>
      <c r="G270" s="31"/>
      <c r="H270" s="31">
        <v>1756</v>
      </c>
      <c r="I270" s="31"/>
      <c r="J270" s="28"/>
      <c r="K270" s="28"/>
      <c r="L270" s="43">
        <v>0</v>
      </c>
      <c r="M270" s="43"/>
      <c r="N270" s="31"/>
      <c r="O270" s="31"/>
      <c r="P270" s="25">
        <v>593</v>
      </c>
    </row>
    <row r="271" spans="1:17" s="25" customFormat="1" ht="33.75">
      <c r="A271" s="17">
        <v>260</v>
      </c>
      <c r="B271" s="23">
        <f t="shared" si="9"/>
        <v>593</v>
      </c>
      <c r="C271" s="27"/>
      <c r="D271" s="30"/>
      <c r="E271" s="25" t="s">
        <v>217</v>
      </c>
      <c r="F271" s="31">
        <f>SUM(F266:F270)</f>
        <v>20156</v>
      </c>
      <c r="G271" s="31">
        <f>SUM(G266:G270)</f>
        <v>0</v>
      </c>
      <c r="H271" s="31">
        <f>SUM(H266:H270)</f>
        <v>1756</v>
      </c>
      <c r="I271" s="31">
        <v>0</v>
      </c>
      <c r="J271" s="28"/>
      <c r="K271" s="36" t="s">
        <v>291</v>
      </c>
      <c r="L271" s="31">
        <f>SUM(L266:L270)</f>
        <v>0</v>
      </c>
      <c r="M271" s="36" t="s">
        <v>195</v>
      </c>
      <c r="N271" s="37">
        <f>SUM(M266:M270)</f>
        <v>0</v>
      </c>
      <c r="O271" s="31"/>
      <c r="P271" s="25">
        <v>593</v>
      </c>
      <c r="Q271" s="25">
        <v>0</v>
      </c>
    </row>
    <row r="272" spans="1:16" s="25" customFormat="1" ht="11.25">
      <c r="A272" s="17">
        <v>261</v>
      </c>
      <c r="B272" s="23">
        <f t="shared" si="9"/>
        <v>593</v>
      </c>
      <c r="C272" s="27"/>
      <c r="D272" s="30"/>
      <c r="F272" s="21"/>
      <c r="G272" s="31"/>
      <c r="H272" s="31"/>
      <c r="I272" s="31"/>
      <c r="J272" s="28"/>
      <c r="K272" s="28"/>
      <c r="L272" s="31"/>
      <c r="M272" s="36"/>
      <c r="N272" s="37"/>
      <c r="O272" s="31"/>
      <c r="P272" s="25">
        <v>593</v>
      </c>
    </row>
    <row r="273" spans="1:16" s="25" customFormat="1" ht="11.25">
      <c r="A273" s="17">
        <v>262</v>
      </c>
      <c r="B273" s="23">
        <f t="shared" si="9"/>
        <v>594</v>
      </c>
      <c r="C273" s="24" t="s">
        <v>129</v>
      </c>
      <c r="D273" s="30"/>
      <c r="F273" s="21"/>
      <c r="G273" s="31"/>
      <c r="H273" s="31"/>
      <c r="I273" s="31"/>
      <c r="J273" s="28"/>
      <c r="K273" s="28"/>
      <c r="L273" s="46"/>
      <c r="M273" s="46"/>
      <c r="N273" s="31"/>
      <c r="O273" s="31"/>
      <c r="P273" s="25">
        <v>594</v>
      </c>
    </row>
    <row r="274" spans="1:16" s="25" customFormat="1" ht="11.25">
      <c r="A274" s="17">
        <v>263</v>
      </c>
      <c r="B274" s="23">
        <f t="shared" si="9"/>
        <v>594</v>
      </c>
      <c r="C274" s="27">
        <v>594500</v>
      </c>
      <c r="D274" s="30" t="s">
        <v>130</v>
      </c>
      <c r="F274" s="21">
        <v>1304</v>
      </c>
      <c r="G274" s="31"/>
      <c r="H274" s="31"/>
      <c r="I274" s="31"/>
      <c r="J274" s="28"/>
      <c r="K274" s="28"/>
      <c r="L274" s="43">
        <v>21253</v>
      </c>
      <c r="M274" s="43"/>
      <c r="N274" s="31"/>
      <c r="O274" s="31"/>
      <c r="P274" s="25">
        <v>594</v>
      </c>
    </row>
    <row r="275" spans="1:17" s="25" customFormat="1" ht="33.75">
      <c r="A275" s="17">
        <v>264</v>
      </c>
      <c r="B275" s="23">
        <f t="shared" si="9"/>
        <v>594</v>
      </c>
      <c r="C275" s="24"/>
      <c r="D275" s="30"/>
      <c r="E275" s="25" t="s">
        <v>217</v>
      </c>
      <c r="F275" s="21">
        <f>SUM(F274)</f>
        <v>1304</v>
      </c>
      <c r="G275" s="21">
        <f>SUM(G274)</f>
        <v>0</v>
      </c>
      <c r="H275" s="21">
        <f>SUM(H274)</f>
        <v>0</v>
      </c>
      <c r="I275" s="31">
        <v>20534</v>
      </c>
      <c r="J275" s="28"/>
      <c r="K275" s="36" t="s">
        <v>292</v>
      </c>
      <c r="L275" s="31">
        <f>SUM(L274)</f>
        <v>21253</v>
      </c>
      <c r="M275" s="36" t="s">
        <v>196</v>
      </c>
      <c r="N275" s="37">
        <f>SUM(M269:M274)</f>
        <v>0</v>
      </c>
      <c r="O275" s="31"/>
      <c r="P275" s="25">
        <v>594</v>
      </c>
      <c r="Q275" s="25">
        <v>20534</v>
      </c>
    </row>
    <row r="276" spans="1:16" s="25" customFormat="1" ht="11.25">
      <c r="A276" s="17">
        <v>265</v>
      </c>
      <c r="B276" s="23">
        <f t="shared" si="9"/>
        <v>594</v>
      </c>
      <c r="C276" s="24"/>
      <c r="D276" s="30"/>
      <c r="F276" s="21"/>
      <c r="G276" s="31"/>
      <c r="H276" s="31"/>
      <c r="I276" s="31"/>
      <c r="J276" s="28"/>
      <c r="K276" s="28"/>
      <c r="L276" s="31"/>
      <c r="M276" s="36"/>
      <c r="N276" s="37"/>
      <c r="O276" s="31"/>
      <c r="P276" s="25">
        <v>594</v>
      </c>
    </row>
    <row r="277" spans="1:16" s="25" customFormat="1" ht="11.25">
      <c r="A277" s="17">
        <v>266</v>
      </c>
      <c r="B277" s="23">
        <f t="shared" si="9"/>
        <v>594</v>
      </c>
      <c r="C277" s="24" t="s">
        <v>131</v>
      </c>
      <c r="D277" s="30"/>
      <c r="F277" s="21"/>
      <c r="G277" s="31"/>
      <c r="H277" s="31"/>
      <c r="I277" s="31"/>
      <c r="J277" s="28"/>
      <c r="K277" s="28"/>
      <c r="L277" s="31"/>
      <c r="M277" s="31"/>
      <c r="N277" s="31"/>
      <c r="O277" s="31"/>
      <c r="P277" s="25">
        <v>594</v>
      </c>
    </row>
    <row r="278" spans="1:16" s="25" customFormat="1" ht="11.25">
      <c r="A278" s="17">
        <v>267</v>
      </c>
      <c r="B278" s="23">
        <f t="shared" si="9"/>
        <v>594</v>
      </c>
      <c r="C278" s="27">
        <v>594600</v>
      </c>
      <c r="D278" s="30" t="s">
        <v>132</v>
      </c>
      <c r="F278" s="21"/>
      <c r="G278" s="31"/>
      <c r="H278" s="31">
        <v>0</v>
      </c>
      <c r="I278" s="31"/>
      <c r="J278" s="28"/>
      <c r="K278" s="28"/>
      <c r="L278" s="47">
        <v>0</v>
      </c>
      <c r="M278" s="47"/>
      <c r="N278" s="31"/>
      <c r="O278" s="31"/>
      <c r="P278" s="25">
        <v>594</v>
      </c>
    </row>
    <row r="279" spans="1:16" s="25" customFormat="1" ht="11.25">
      <c r="A279" s="17">
        <v>268</v>
      </c>
      <c r="B279" s="23">
        <f t="shared" si="9"/>
        <v>594</v>
      </c>
      <c r="C279" s="27">
        <v>594610</v>
      </c>
      <c r="D279" s="30" t="s">
        <v>133</v>
      </c>
      <c r="F279" s="21"/>
      <c r="G279" s="31"/>
      <c r="H279" s="31">
        <v>0</v>
      </c>
      <c r="I279" s="31"/>
      <c r="J279" s="28"/>
      <c r="K279" s="28"/>
      <c r="L279" s="47">
        <v>0</v>
      </c>
      <c r="M279" s="47"/>
      <c r="N279" s="31"/>
      <c r="O279" s="31"/>
      <c r="P279" s="25">
        <v>594</v>
      </c>
    </row>
    <row r="280" spans="1:16" s="25" customFormat="1" ht="11.25">
      <c r="A280" s="17">
        <v>269</v>
      </c>
      <c r="B280" s="23">
        <f t="shared" si="9"/>
        <v>594</v>
      </c>
      <c r="C280" s="27">
        <v>594620</v>
      </c>
      <c r="D280" s="30" t="s">
        <v>134</v>
      </c>
      <c r="F280" s="21"/>
      <c r="G280" s="31"/>
      <c r="H280" s="31">
        <v>0</v>
      </c>
      <c r="I280" s="31"/>
      <c r="J280" s="28"/>
      <c r="K280" s="28"/>
      <c r="L280" s="47">
        <v>0</v>
      </c>
      <c r="M280" s="47"/>
      <c r="N280" s="31"/>
      <c r="O280" s="31"/>
      <c r="P280" s="25">
        <v>594</v>
      </c>
    </row>
    <row r="281" spans="1:16" s="25" customFormat="1" ht="11.25">
      <c r="A281" s="17">
        <v>270</v>
      </c>
      <c r="B281" s="23">
        <f t="shared" si="9"/>
        <v>594</v>
      </c>
      <c r="C281" s="27">
        <v>594630</v>
      </c>
      <c r="D281" s="30" t="s">
        <v>135</v>
      </c>
      <c r="F281" s="21"/>
      <c r="G281" s="31"/>
      <c r="H281" s="31">
        <v>0</v>
      </c>
      <c r="I281" s="31"/>
      <c r="J281" s="28"/>
      <c r="K281" s="28"/>
      <c r="L281" s="47">
        <v>0</v>
      </c>
      <c r="M281" s="47"/>
      <c r="N281" s="31"/>
      <c r="O281" s="31"/>
      <c r="P281" s="25">
        <v>594</v>
      </c>
    </row>
    <row r="282" spans="1:16" s="25" customFormat="1" ht="11.25">
      <c r="A282" s="17">
        <v>271</v>
      </c>
      <c r="B282" s="23">
        <f t="shared" si="9"/>
        <v>594</v>
      </c>
      <c r="C282" s="27">
        <v>594640</v>
      </c>
      <c r="D282" s="30" t="s">
        <v>136</v>
      </c>
      <c r="F282" s="21"/>
      <c r="G282" s="31"/>
      <c r="H282" s="31">
        <v>0</v>
      </c>
      <c r="I282" s="31"/>
      <c r="J282" s="28"/>
      <c r="K282" s="28"/>
      <c r="L282" s="47">
        <v>0</v>
      </c>
      <c r="M282" s="47"/>
      <c r="N282" s="31"/>
      <c r="O282" s="31"/>
      <c r="P282" s="25">
        <v>594</v>
      </c>
    </row>
    <row r="283" spans="1:16" s="25" customFormat="1" ht="33.75">
      <c r="A283" s="17">
        <v>272</v>
      </c>
      <c r="B283" s="23">
        <f t="shared" si="9"/>
        <v>594</v>
      </c>
      <c r="C283" s="24"/>
      <c r="D283" s="30"/>
      <c r="E283" s="25" t="s">
        <v>217</v>
      </c>
      <c r="F283" s="21"/>
      <c r="G283" s="31"/>
      <c r="H283" s="31">
        <f>SUM(H278:H282)</f>
        <v>0</v>
      </c>
      <c r="I283" s="31"/>
      <c r="J283" s="28"/>
      <c r="K283" s="36" t="s">
        <v>294</v>
      </c>
      <c r="L283" s="31">
        <f>SUM(L278:L282)</f>
        <v>0</v>
      </c>
      <c r="M283" s="36" t="s">
        <v>293</v>
      </c>
      <c r="N283" s="37">
        <f>SUM(M278:M282)</f>
        <v>0</v>
      </c>
      <c r="O283" s="31"/>
      <c r="P283" s="25">
        <v>594</v>
      </c>
    </row>
    <row r="284" spans="1:16" s="25" customFormat="1" ht="11.25">
      <c r="A284" s="17">
        <v>273</v>
      </c>
      <c r="B284" s="23">
        <f t="shared" si="9"/>
        <v>594</v>
      </c>
      <c r="C284" s="24"/>
      <c r="D284" s="30"/>
      <c r="F284" s="21"/>
      <c r="G284" s="31"/>
      <c r="H284" s="31"/>
      <c r="I284" s="31"/>
      <c r="J284" s="28"/>
      <c r="K284" s="28"/>
      <c r="L284" s="31"/>
      <c r="M284" s="36"/>
      <c r="N284" s="37"/>
      <c r="O284" s="31"/>
      <c r="P284" s="25">
        <v>594</v>
      </c>
    </row>
    <row r="285" spans="1:16" s="39" customFormat="1" ht="11.25">
      <c r="A285" s="17">
        <v>274</v>
      </c>
      <c r="B285" s="23">
        <f t="shared" si="9"/>
        <v>595</v>
      </c>
      <c r="C285" s="45" t="s">
        <v>79</v>
      </c>
      <c r="D285" s="30"/>
      <c r="F285" s="31"/>
      <c r="G285" s="31"/>
      <c r="H285" s="31"/>
      <c r="I285" s="31"/>
      <c r="J285" s="28"/>
      <c r="K285" s="28"/>
      <c r="L285" s="31"/>
      <c r="M285" s="31"/>
      <c r="N285" s="31"/>
      <c r="O285" s="31"/>
      <c r="P285" s="39">
        <v>595</v>
      </c>
    </row>
    <row r="286" spans="1:16" s="39" customFormat="1" ht="11.25">
      <c r="A286" s="17">
        <v>275</v>
      </c>
      <c r="B286" s="23">
        <f t="shared" si="9"/>
        <v>595</v>
      </c>
      <c r="C286" s="29">
        <v>595500</v>
      </c>
      <c r="D286" s="30" t="s">
        <v>137</v>
      </c>
      <c r="F286" s="31"/>
      <c r="G286" s="31"/>
      <c r="H286" s="31">
        <v>61584</v>
      </c>
      <c r="I286" s="31"/>
      <c r="J286" s="28" t="s">
        <v>103</v>
      </c>
      <c r="K286" s="28"/>
      <c r="L286" s="43">
        <v>65970</v>
      </c>
      <c r="M286" s="43">
        <f>L286-I286</f>
        <v>65970</v>
      </c>
      <c r="N286" s="31"/>
      <c r="O286" s="31"/>
      <c r="P286" s="39">
        <v>595</v>
      </c>
    </row>
    <row r="287" spans="1:16" s="39" customFormat="1" ht="11.25">
      <c r="A287" s="17">
        <v>276</v>
      </c>
      <c r="B287" s="23">
        <f t="shared" si="9"/>
        <v>595</v>
      </c>
      <c r="C287" s="29">
        <v>595510</v>
      </c>
      <c r="D287" s="30" t="s">
        <v>80</v>
      </c>
      <c r="F287" s="31">
        <v>1025</v>
      </c>
      <c r="G287" s="31"/>
      <c r="H287" s="31">
        <v>824</v>
      </c>
      <c r="I287" s="31"/>
      <c r="J287" s="28" t="s">
        <v>238</v>
      </c>
      <c r="K287" s="28"/>
      <c r="L287" s="43">
        <v>381000</v>
      </c>
      <c r="M287" s="43">
        <f>L287-I287</f>
        <v>381000</v>
      </c>
      <c r="N287" s="31"/>
      <c r="O287" s="31"/>
      <c r="P287" s="39">
        <v>595</v>
      </c>
    </row>
    <row r="288" spans="1:16" s="25" customFormat="1" ht="11.25">
      <c r="A288" s="17">
        <v>277</v>
      </c>
      <c r="B288" s="23">
        <f t="shared" si="9"/>
        <v>595</v>
      </c>
      <c r="C288" s="27">
        <v>595520</v>
      </c>
      <c r="D288" s="30" t="s">
        <v>138</v>
      </c>
      <c r="F288" s="21"/>
      <c r="G288" s="31"/>
      <c r="H288" s="31">
        <v>12786</v>
      </c>
      <c r="I288" s="31"/>
      <c r="J288" s="28" t="s">
        <v>103</v>
      </c>
      <c r="K288" s="28"/>
      <c r="L288" s="43">
        <v>13697</v>
      </c>
      <c r="M288" s="43">
        <f>L288-I288</f>
        <v>13697</v>
      </c>
      <c r="N288" s="31"/>
      <c r="O288" s="31"/>
      <c r="P288" s="25">
        <v>595</v>
      </c>
    </row>
    <row r="289" spans="1:16" s="25" customFormat="1" ht="11.25">
      <c r="A289" s="17">
        <v>278</v>
      </c>
      <c r="B289" s="23">
        <f t="shared" si="9"/>
        <v>595</v>
      </c>
      <c r="C289" s="27">
        <v>595530</v>
      </c>
      <c r="D289" s="30" t="s">
        <v>139</v>
      </c>
      <c r="F289" s="21"/>
      <c r="G289" s="31"/>
      <c r="H289" s="31">
        <v>152</v>
      </c>
      <c r="I289" s="31"/>
      <c r="J289" s="28"/>
      <c r="K289" s="28"/>
      <c r="L289" s="43"/>
      <c r="M289" s="43">
        <f>L289-I289</f>
        <v>0</v>
      </c>
      <c r="N289" s="31"/>
      <c r="O289" s="31"/>
      <c r="P289" s="25">
        <v>595</v>
      </c>
    </row>
    <row r="290" spans="1:17" s="25" customFormat="1" ht="33.75">
      <c r="A290" s="17">
        <v>279</v>
      </c>
      <c r="B290" s="23">
        <f t="shared" si="9"/>
        <v>595</v>
      </c>
      <c r="C290" s="27"/>
      <c r="E290" s="25" t="s">
        <v>217</v>
      </c>
      <c r="F290" s="31">
        <f>SUM(F286:F289)</f>
        <v>1025</v>
      </c>
      <c r="G290" s="31">
        <f>SUM(G286:G289)</f>
        <v>0</v>
      </c>
      <c r="H290" s="31">
        <f>SUM(H286:H289)</f>
        <v>75346</v>
      </c>
      <c r="I290" s="31">
        <v>112985</v>
      </c>
      <c r="J290" s="28"/>
      <c r="K290" s="36" t="s">
        <v>295</v>
      </c>
      <c r="L290" s="41">
        <f>SUM(L286:L289)</f>
        <v>460667</v>
      </c>
      <c r="M290" s="36" t="s">
        <v>197</v>
      </c>
      <c r="N290" s="37">
        <f>SUM(M285:M289)</f>
        <v>460667</v>
      </c>
      <c r="O290" s="31"/>
      <c r="P290" s="25">
        <v>595</v>
      </c>
      <c r="Q290" s="25">
        <v>112985</v>
      </c>
    </row>
    <row r="291" spans="1:16" s="25" customFormat="1" ht="11.25">
      <c r="A291" s="17">
        <v>280</v>
      </c>
      <c r="B291" s="23">
        <f t="shared" si="9"/>
        <v>595</v>
      </c>
      <c r="C291" s="27"/>
      <c r="F291" s="21"/>
      <c r="G291" s="31"/>
      <c r="H291" s="31"/>
      <c r="I291" s="31"/>
      <c r="J291" s="28"/>
      <c r="K291" s="28"/>
      <c r="L291" s="41"/>
      <c r="M291" s="36"/>
      <c r="N291" s="37"/>
      <c r="O291" s="31"/>
      <c r="P291" s="25">
        <v>595</v>
      </c>
    </row>
    <row r="292" spans="1:16" s="25" customFormat="1" ht="11.25">
      <c r="A292" s="17">
        <v>281</v>
      </c>
      <c r="B292" s="23">
        <f t="shared" si="9"/>
        <v>596</v>
      </c>
      <c r="C292" s="24" t="s">
        <v>140</v>
      </c>
      <c r="F292" s="21"/>
      <c r="G292" s="31"/>
      <c r="H292" s="31"/>
      <c r="I292" s="31"/>
      <c r="J292" s="28"/>
      <c r="K292" s="28"/>
      <c r="L292" s="31"/>
      <c r="M292" s="31"/>
      <c r="N292" s="31"/>
      <c r="O292" s="31"/>
      <c r="P292" s="25">
        <v>596</v>
      </c>
    </row>
    <row r="293" spans="1:16" s="25" customFormat="1" ht="11.25">
      <c r="A293" s="17">
        <v>282</v>
      </c>
      <c r="B293" s="23">
        <f t="shared" si="9"/>
        <v>596</v>
      </c>
      <c r="C293" s="27">
        <v>596010</v>
      </c>
      <c r="D293" s="30" t="s">
        <v>141</v>
      </c>
      <c r="F293" s="21"/>
      <c r="G293" s="31"/>
      <c r="H293" s="31"/>
      <c r="I293" s="31"/>
      <c r="J293" s="28"/>
      <c r="K293" s="28"/>
      <c r="L293" s="31">
        <v>0</v>
      </c>
      <c r="M293" s="71">
        <f aca="true" t="shared" si="10" ref="M293:M298">L293-I293</f>
        <v>0</v>
      </c>
      <c r="N293" s="31"/>
      <c r="O293" s="31"/>
      <c r="P293" s="25">
        <v>596</v>
      </c>
    </row>
    <row r="294" spans="1:16" s="25" customFormat="1" ht="11.25">
      <c r="A294" s="17">
        <v>283</v>
      </c>
      <c r="B294" s="23">
        <f t="shared" si="9"/>
        <v>596</v>
      </c>
      <c r="C294" s="27">
        <v>596020</v>
      </c>
      <c r="D294" s="30" t="s">
        <v>142</v>
      </c>
      <c r="F294" s="21"/>
      <c r="G294" s="31"/>
      <c r="H294" s="31">
        <v>121</v>
      </c>
      <c r="I294" s="31"/>
      <c r="J294" s="28"/>
      <c r="K294" s="28"/>
      <c r="L294" s="31">
        <v>0</v>
      </c>
      <c r="M294" s="71">
        <f t="shared" si="10"/>
        <v>0</v>
      </c>
      <c r="N294" s="31"/>
      <c r="O294" s="31"/>
      <c r="P294" s="25">
        <v>596</v>
      </c>
    </row>
    <row r="295" spans="1:16" s="25" customFormat="1" ht="11.25">
      <c r="A295" s="17">
        <v>284</v>
      </c>
      <c r="B295" s="23">
        <f t="shared" si="9"/>
        <v>596</v>
      </c>
      <c r="C295" s="27">
        <v>596500</v>
      </c>
      <c r="D295" s="30" t="s">
        <v>143</v>
      </c>
      <c r="F295" s="21"/>
      <c r="G295" s="31"/>
      <c r="H295" s="31"/>
      <c r="I295" s="31"/>
      <c r="J295" s="28"/>
      <c r="K295" s="28"/>
      <c r="L295" s="31">
        <v>0</v>
      </c>
      <c r="M295" s="71">
        <f t="shared" si="10"/>
        <v>0</v>
      </c>
      <c r="N295" s="31"/>
      <c r="O295" s="31"/>
      <c r="P295" s="25">
        <v>596</v>
      </c>
    </row>
    <row r="296" spans="1:16" s="25" customFormat="1" ht="11.25">
      <c r="A296" s="17">
        <v>285</v>
      </c>
      <c r="B296" s="23">
        <f t="shared" si="9"/>
        <v>596</v>
      </c>
      <c r="C296" s="27">
        <v>596510</v>
      </c>
      <c r="D296" s="30" t="s">
        <v>144</v>
      </c>
      <c r="F296" s="21"/>
      <c r="G296" s="31"/>
      <c r="H296" s="31"/>
      <c r="I296" s="31"/>
      <c r="J296" s="28"/>
      <c r="K296" s="28"/>
      <c r="L296" s="31">
        <v>0</v>
      </c>
      <c r="M296" s="71">
        <f t="shared" si="10"/>
        <v>0</v>
      </c>
      <c r="N296" s="31"/>
      <c r="O296" s="31"/>
      <c r="P296" s="25">
        <v>596</v>
      </c>
    </row>
    <row r="297" spans="1:16" s="25" customFormat="1" ht="11.25">
      <c r="A297" s="17">
        <v>286</v>
      </c>
      <c r="B297" s="23">
        <f t="shared" si="9"/>
        <v>596</v>
      </c>
      <c r="C297" s="27">
        <v>596520</v>
      </c>
      <c r="D297" s="30" t="s">
        <v>145</v>
      </c>
      <c r="F297" s="21"/>
      <c r="G297" s="31"/>
      <c r="H297" s="31"/>
      <c r="I297" s="31"/>
      <c r="J297" s="28"/>
      <c r="K297" s="28"/>
      <c r="L297" s="31">
        <v>0</v>
      </c>
      <c r="M297" s="71">
        <f t="shared" si="10"/>
        <v>0</v>
      </c>
      <c r="N297" s="31"/>
      <c r="O297" s="31"/>
      <c r="P297" s="25">
        <v>596</v>
      </c>
    </row>
    <row r="298" spans="1:16" s="25" customFormat="1" ht="11.25">
      <c r="A298" s="17">
        <v>287</v>
      </c>
      <c r="B298" s="23">
        <f t="shared" si="9"/>
        <v>596</v>
      </c>
      <c r="C298" s="27">
        <v>596530</v>
      </c>
      <c r="D298" s="30" t="s">
        <v>145</v>
      </c>
      <c r="F298" s="21"/>
      <c r="G298" s="31"/>
      <c r="H298" s="31"/>
      <c r="I298" s="31"/>
      <c r="J298" s="28"/>
      <c r="K298" s="28"/>
      <c r="L298" s="31">
        <v>0</v>
      </c>
      <c r="M298" s="71">
        <f t="shared" si="10"/>
        <v>0</v>
      </c>
      <c r="N298" s="31"/>
      <c r="O298" s="31"/>
      <c r="P298" s="25">
        <v>596</v>
      </c>
    </row>
    <row r="299" spans="1:17" s="25" customFormat="1" ht="33.75">
      <c r="A299" s="17">
        <v>288</v>
      </c>
      <c r="B299" s="23">
        <f t="shared" si="9"/>
        <v>596</v>
      </c>
      <c r="C299" s="27"/>
      <c r="E299" s="25" t="s">
        <v>217</v>
      </c>
      <c r="F299" s="31">
        <f>SUM(F293:F298)</f>
        <v>0</v>
      </c>
      <c r="G299" s="31">
        <f>SUM(G293:G298)</f>
        <v>0</v>
      </c>
      <c r="H299" s="31">
        <f>SUM(H293:H298)</f>
        <v>121</v>
      </c>
      <c r="I299" s="31">
        <v>0</v>
      </c>
      <c r="J299" s="28"/>
      <c r="K299" s="36" t="s">
        <v>296</v>
      </c>
      <c r="L299" s="31">
        <f>SUM(L293:L298)</f>
        <v>0</v>
      </c>
      <c r="M299" s="36" t="s">
        <v>198</v>
      </c>
      <c r="N299" s="37">
        <f>SUM(M294:M298)</f>
        <v>0</v>
      </c>
      <c r="O299" s="31"/>
      <c r="P299" s="25">
        <v>596</v>
      </c>
      <c r="Q299" s="25">
        <v>0</v>
      </c>
    </row>
    <row r="300" spans="1:16" s="25" customFormat="1" ht="11.25">
      <c r="A300" s="17">
        <v>289</v>
      </c>
      <c r="B300" s="23">
        <f t="shared" si="9"/>
        <v>596</v>
      </c>
      <c r="C300" s="27"/>
      <c r="F300" s="21"/>
      <c r="G300" s="31"/>
      <c r="H300" s="31"/>
      <c r="I300" s="31"/>
      <c r="J300" s="28"/>
      <c r="K300" s="28"/>
      <c r="L300" s="31"/>
      <c r="M300" s="36"/>
      <c r="N300" s="37"/>
      <c r="O300" s="31"/>
      <c r="P300" s="25">
        <v>596</v>
      </c>
    </row>
    <row r="301" spans="1:16" s="25" customFormat="1" ht="11.25">
      <c r="A301" s="17">
        <v>290</v>
      </c>
      <c r="B301" s="23">
        <f t="shared" si="9"/>
        <v>597</v>
      </c>
      <c r="C301" s="24">
        <v>597</v>
      </c>
      <c r="F301" s="21"/>
      <c r="G301" s="31"/>
      <c r="H301" s="31"/>
      <c r="I301" s="31"/>
      <c r="J301" s="28"/>
      <c r="K301" s="28"/>
      <c r="L301" s="31"/>
      <c r="M301" s="36"/>
      <c r="N301" s="37"/>
      <c r="O301" s="31"/>
      <c r="P301" s="25">
        <v>597</v>
      </c>
    </row>
    <row r="302" spans="1:16" s="25" customFormat="1" ht="11.25">
      <c r="A302" s="17">
        <v>291</v>
      </c>
      <c r="B302" s="23">
        <f t="shared" si="9"/>
        <v>597</v>
      </c>
      <c r="C302" s="27">
        <v>597000</v>
      </c>
      <c r="F302" s="21">
        <v>0</v>
      </c>
      <c r="G302" s="31">
        <v>0</v>
      </c>
      <c r="H302" s="31">
        <v>0</v>
      </c>
      <c r="I302" s="31"/>
      <c r="J302" s="28" t="s">
        <v>103</v>
      </c>
      <c r="K302" s="28"/>
      <c r="L302" s="31">
        <v>1770</v>
      </c>
      <c r="M302" s="71">
        <f>L302-I302</f>
        <v>1770</v>
      </c>
      <c r="N302" s="37"/>
      <c r="O302" s="31"/>
      <c r="P302" s="25">
        <v>597</v>
      </c>
    </row>
    <row r="303" spans="1:17" s="25" customFormat="1" ht="33.75">
      <c r="A303" s="17">
        <v>292</v>
      </c>
      <c r="B303" s="23">
        <f t="shared" si="9"/>
        <v>597</v>
      </c>
      <c r="C303" s="27"/>
      <c r="E303" s="25" t="s">
        <v>217</v>
      </c>
      <c r="F303" s="21">
        <f>SUM(F302)</f>
        <v>0</v>
      </c>
      <c r="G303" s="21">
        <f>SUM(G302)</f>
        <v>0</v>
      </c>
      <c r="H303" s="21">
        <f>SUM(H302)</f>
        <v>0</v>
      </c>
      <c r="I303" s="31">
        <v>1711</v>
      </c>
      <c r="J303" s="28"/>
      <c r="K303" s="36" t="s">
        <v>298</v>
      </c>
      <c r="L303" s="31">
        <f>SUM(L302)</f>
        <v>1770</v>
      </c>
      <c r="M303" s="36" t="s">
        <v>299</v>
      </c>
      <c r="N303" s="37">
        <f>SUM(M298:M302)</f>
        <v>1770</v>
      </c>
      <c r="O303" s="31"/>
      <c r="P303" s="25">
        <v>597</v>
      </c>
      <c r="Q303" s="25">
        <v>1711</v>
      </c>
    </row>
    <row r="304" spans="1:16" s="25" customFormat="1" ht="11.25">
      <c r="A304" s="17">
        <v>293</v>
      </c>
      <c r="B304" s="23">
        <f t="shared" si="9"/>
        <v>597</v>
      </c>
      <c r="C304" s="27"/>
      <c r="F304" s="21"/>
      <c r="G304" s="31"/>
      <c r="H304" s="31"/>
      <c r="I304" s="31"/>
      <c r="J304" s="28"/>
      <c r="K304" s="28"/>
      <c r="L304" s="31"/>
      <c r="M304" s="36"/>
      <c r="N304" s="37"/>
      <c r="O304" s="31"/>
      <c r="P304" s="25">
        <v>597</v>
      </c>
    </row>
    <row r="305" spans="1:16" s="25" customFormat="1" ht="11.25">
      <c r="A305" s="17"/>
      <c r="B305" s="23">
        <f t="shared" si="9"/>
        <v>597</v>
      </c>
      <c r="C305" s="27"/>
      <c r="F305" s="21"/>
      <c r="G305" s="31"/>
      <c r="H305" s="31"/>
      <c r="I305" s="31"/>
      <c r="J305" s="28"/>
      <c r="K305" s="28"/>
      <c r="L305" s="31"/>
      <c r="M305" s="36"/>
      <c r="N305" s="37"/>
      <c r="O305" s="31"/>
      <c r="P305" s="25">
        <v>597</v>
      </c>
    </row>
    <row r="306" spans="1:16" s="25" customFormat="1" ht="11.25">
      <c r="A306" s="17">
        <v>294</v>
      </c>
      <c r="B306" s="23">
        <f t="shared" si="9"/>
        <v>598</v>
      </c>
      <c r="C306" s="24" t="s">
        <v>157</v>
      </c>
      <c r="F306" s="21"/>
      <c r="G306" s="31"/>
      <c r="H306" s="31"/>
      <c r="I306" s="31"/>
      <c r="J306" s="28"/>
      <c r="K306" s="28"/>
      <c r="L306" s="31"/>
      <c r="M306" s="31"/>
      <c r="N306" s="31"/>
      <c r="O306" s="31"/>
      <c r="P306" s="25">
        <v>598</v>
      </c>
    </row>
    <row r="307" spans="1:16" s="25" customFormat="1" ht="11.25">
      <c r="A307" s="17">
        <v>295</v>
      </c>
      <c r="B307" s="23">
        <f t="shared" si="9"/>
        <v>598</v>
      </c>
      <c r="C307" s="27">
        <v>598000</v>
      </c>
      <c r="D307" s="30" t="s">
        <v>158</v>
      </c>
      <c r="F307" s="21">
        <v>2746</v>
      </c>
      <c r="G307" s="31"/>
      <c r="H307" s="31">
        <v>0</v>
      </c>
      <c r="I307" s="31"/>
      <c r="J307" s="28"/>
      <c r="K307" s="28"/>
      <c r="L307" s="43">
        <v>0</v>
      </c>
      <c r="M307" s="43"/>
      <c r="N307" s="31"/>
      <c r="O307" s="31"/>
      <c r="P307" s="25">
        <v>598</v>
      </c>
    </row>
    <row r="308" spans="1:16" s="25" customFormat="1" ht="33.75">
      <c r="A308" s="17">
        <v>296</v>
      </c>
      <c r="B308" s="23">
        <f t="shared" si="9"/>
        <v>598</v>
      </c>
      <c r="C308" s="27"/>
      <c r="E308" s="25" t="s">
        <v>217</v>
      </c>
      <c r="F308" s="21"/>
      <c r="G308" s="31"/>
      <c r="H308" s="31">
        <f>SUM(H307)</f>
        <v>0</v>
      </c>
      <c r="I308" s="31"/>
      <c r="J308" s="28"/>
      <c r="K308" s="36" t="s">
        <v>297</v>
      </c>
      <c r="L308" s="31">
        <f>SUM(L307)</f>
        <v>0</v>
      </c>
      <c r="M308" s="36" t="s">
        <v>199</v>
      </c>
      <c r="N308" s="37">
        <f>SUM(M297:M307)</f>
        <v>1770</v>
      </c>
      <c r="O308" s="31"/>
      <c r="P308" s="25">
        <v>598</v>
      </c>
    </row>
    <row r="309" spans="1:15" s="25" customFormat="1" ht="63.75" customHeight="1">
      <c r="A309" s="17">
        <v>297</v>
      </c>
      <c r="B309" s="34"/>
      <c r="C309" s="27"/>
      <c r="F309" s="73" t="s">
        <v>257</v>
      </c>
      <c r="G309" s="74" t="s">
        <v>258</v>
      </c>
      <c r="H309" s="75" t="s">
        <v>260</v>
      </c>
      <c r="I309" s="76" t="s">
        <v>259</v>
      </c>
      <c r="J309" s="77" t="s">
        <v>238</v>
      </c>
      <c r="K309" s="77"/>
      <c r="L309" s="75" t="s">
        <v>253</v>
      </c>
      <c r="M309" s="78"/>
      <c r="N309" s="75" t="s">
        <v>315</v>
      </c>
      <c r="O309" s="31"/>
    </row>
    <row r="310" spans="1:15" s="25" customFormat="1" ht="11.25">
      <c r="A310" s="17">
        <v>298</v>
      </c>
      <c r="B310" s="34"/>
      <c r="C310" s="258" t="s">
        <v>173</v>
      </c>
      <c r="D310" s="258"/>
      <c r="E310" s="258"/>
      <c r="F310" s="31">
        <f>SUM(F120:F308)</f>
        <v>2484708</v>
      </c>
      <c r="G310" s="31">
        <f>SUM(G120:G308)</f>
        <v>2795498</v>
      </c>
      <c r="H310" s="47">
        <f>SUM(H121+H135+H141+H145+H149+H153+H160+H170+H181+H182+H187+H191+H195+H204+H212+H213+H221+H226+H230+H234+H238+H242+H246+H252+H263+H271+H275+H283+H290++H299+H303+H308)</f>
        <v>1973204</v>
      </c>
      <c r="I310" s="79">
        <f>SUM(I120:I308)</f>
        <v>2099610</v>
      </c>
      <c r="J310" s="77"/>
      <c r="K310" s="77"/>
      <c r="L310" s="47">
        <f>SUM(L121+L135+L141+L145+L149+L153+L160+L170+L181+L183+L187+L191+L195+L204+L212+L213+L221+L226+L230+L234+L238+L242+L246+L252+L263+L271+L275+L283+L290++L299+L303+L308-L177)</f>
        <v>4230636</v>
      </c>
      <c r="M310" s="79"/>
      <c r="N310" s="47">
        <f>SUM(N9:N308)</f>
        <v>4132128</v>
      </c>
      <c r="O310" s="31"/>
    </row>
    <row r="311" spans="1:15" s="25" customFormat="1" ht="86.25" customHeight="1">
      <c r="A311" s="17">
        <v>299</v>
      </c>
      <c r="B311" s="34"/>
      <c r="C311" s="49"/>
      <c r="D311" s="48"/>
      <c r="E311" s="48"/>
      <c r="F311" s="73" t="s">
        <v>257</v>
      </c>
      <c r="G311" s="74" t="s">
        <v>258</v>
      </c>
      <c r="H311" s="75" t="s">
        <v>261</v>
      </c>
      <c r="I311" s="76" t="s">
        <v>259</v>
      </c>
      <c r="J311" s="77" t="s">
        <v>238</v>
      </c>
      <c r="K311" s="77"/>
      <c r="L311" s="75" t="s">
        <v>254</v>
      </c>
      <c r="M311" s="79"/>
      <c r="N311" s="47"/>
      <c r="O311" s="31"/>
    </row>
    <row r="312" spans="1:15" s="25" customFormat="1" ht="11.25">
      <c r="A312" s="17">
        <v>300</v>
      </c>
      <c r="B312" s="34"/>
      <c r="C312" s="258" t="s">
        <v>107</v>
      </c>
      <c r="D312" s="258"/>
      <c r="E312" s="258"/>
      <c r="F312" s="21">
        <f>F310-F210-F178</f>
        <v>2401753</v>
      </c>
      <c r="G312" s="21">
        <f>G310-G210-G178</f>
        <v>2751479</v>
      </c>
      <c r="H312" s="47">
        <f>H310-H213-H182</f>
        <v>1740858</v>
      </c>
      <c r="I312" s="79">
        <f>I310-I210-I178</f>
        <v>2099610</v>
      </c>
      <c r="J312" s="77"/>
      <c r="K312" s="77"/>
      <c r="L312" s="47">
        <f>L310-L213-L183</f>
        <v>3512825</v>
      </c>
      <c r="M312" s="79"/>
      <c r="N312" s="47"/>
      <c r="O312" s="21"/>
    </row>
    <row r="313" spans="1:15" s="25" customFormat="1" ht="69" customHeight="1">
      <c r="A313" s="17">
        <v>301</v>
      </c>
      <c r="B313" s="34"/>
      <c r="C313" s="27" t="s">
        <v>104</v>
      </c>
      <c r="F313" s="21"/>
      <c r="G313" s="21"/>
      <c r="H313" s="75" t="s">
        <v>262</v>
      </c>
      <c r="I313" s="79"/>
      <c r="J313" s="77"/>
      <c r="K313" s="77"/>
      <c r="L313" s="75" t="s">
        <v>255</v>
      </c>
      <c r="M313" s="79" t="s">
        <v>23</v>
      </c>
      <c r="N313" s="75" t="s">
        <v>316</v>
      </c>
      <c r="O313" s="21"/>
    </row>
    <row r="314" spans="1:15" s="25" customFormat="1" ht="11.25">
      <c r="A314" s="17"/>
      <c r="B314" s="34"/>
      <c r="C314" s="27"/>
      <c r="F314" s="21"/>
      <c r="G314" s="21"/>
      <c r="H314" s="75">
        <f>SUM(H213+H182)</f>
        <v>232346</v>
      </c>
      <c r="I314" s="75">
        <f>SUM(I213+I182)</f>
        <v>356329</v>
      </c>
      <c r="J314" s="77"/>
      <c r="K314" s="77"/>
      <c r="L314" s="75">
        <f>SUM(L213+L183)</f>
        <v>717811</v>
      </c>
      <c r="M314" s="79"/>
      <c r="N314" s="47">
        <f>L314-I314</f>
        <v>361482</v>
      </c>
      <c r="O314" s="21"/>
    </row>
    <row r="315" spans="1:15" s="25" customFormat="1" ht="11.25">
      <c r="A315" s="17">
        <v>302</v>
      </c>
      <c r="B315" s="34"/>
      <c r="C315" s="27" t="s">
        <v>109</v>
      </c>
      <c r="F315" s="21"/>
      <c r="G315" s="21"/>
      <c r="H315" s="21"/>
      <c r="I315" s="21"/>
      <c r="J315" s="26"/>
      <c r="K315" s="26"/>
      <c r="L315" s="50"/>
      <c r="M315" s="21"/>
      <c r="N315" s="21"/>
      <c r="O315" s="21"/>
    </row>
    <row r="316" spans="1:15" s="25" customFormat="1" ht="11.25">
      <c r="A316" s="17">
        <v>303</v>
      </c>
      <c r="B316" s="34"/>
      <c r="C316" s="27" t="s">
        <v>106</v>
      </c>
      <c r="F316" s="21"/>
      <c r="G316" s="21"/>
      <c r="H316" s="21"/>
      <c r="I316" s="21"/>
      <c r="J316" s="26"/>
      <c r="K316" s="26"/>
      <c r="L316" s="21"/>
      <c r="M316" s="21"/>
      <c r="N316" s="21"/>
      <c r="O316" s="21"/>
    </row>
    <row r="317" spans="1:15" s="25" customFormat="1" ht="11.25">
      <c r="A317" s="17">
        <v>304</v>
      </c>
      <c r="B317" s="34"/>
      <c r="C317" s="27" t="s">
        <v>108</v>
      </c>
      <c r="F317" s="21"/>
      <c r="G317" s="21"/>
      <c r="H317" s="21"/>
      <c r="I317" s="21"/>
      <c r="J317" s="26"/>
      <c r="K317" s="26"/>
      <c r="L317" s="21"/>
      <c r="M317" s="21"/>
      <c r="N317" s="21"/>
      <c r="O317" s="21"/>
    </row>
    <row r="318" spans="1:15" s="25" customFormat="1" ht="11.25">
      <c r="A318" s="17">
        <v>305</v>
      </c>
      <c r="B318" s="34"/>
      <c r="C318" s="27" t="s">
        <v>110</v>
      </c>
      <c r="F318" s="21"/>
      <c r="G318" s="21"/>
      <c r="H318" s="21"/>
      <c r="I318" s="21"/>
      <c r="J318" s="26"/>
      <c r="K318" s="26"/>
      <c r="L318" s="21"/>
      <c r="M318" s="21"/>
      <c r="N318" s="21"/>
      <c r="O318" s="21"/>
    </row>
    <row r="319" spans="1:16" s="25" customFormat="1" ht="11.25">
      <c r="A319" s="17">
        <v>306</v>
      </c>
      <c r="B319" s="34" t="s">
        <v>23</v>
      </c>
      <c r="C319" s="27" t="s">
        <v>16</v>
      </c>
      <c r="F319" s="21"/>
      <c r="G319" s="21"/>
      <c r="H319" s="21"/>
      <c r="I319" s="21"/>
      <c r="J319" s="26"/>
      <c r="K319" s="26"/>
      <c r="L319" s="21"/>
      <c r="M319" s="21"/>
      <c r="N319" s="21"/>
      <c r="O319" s="21"/>
      <c r="P319" s="25" t="s">
        <v>23</v>
      </c>
    </row>
    <row r="320" spans="1:15" s="25" customFormat="1" ht="11.25">
      <c r="A320" s="17">
        <v>307</v>
      </c>
      <c r="B320" s="34"/>
      <c r="C320" s="264" t="s">
        <v>213</v>
      </c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6"/>
      <c r="O320" s="21"/>
    </row>
    <row r="321" spans="1:15" s="25" customFormat="1" ht="11.25">
      <c r="A321" s="17">
        <v>308</v>
      </c>
      <c r="B321" s="27"/>
      <c r="C321" s="27" t="s">
        <v>17</v>
      </c>
      <c r="F321" s="21"/>
      <c r="G321" s="21"/>
      <c r="H321" s="21"/>
      <c r="I321" s="21"/>
      <c r="J321" s="26"/>
      <c r="K321" s="26"/>
      <c r="L321" s="21"/>
      <c r="M321" s="21"/>
      <c r="N321" s="21"/>
      <c r="O321" s="21"/>
    </row>
    <row r="322" spans="1:15" s="25" customFormat="1" ht="11.25">
      <c r="A322" s="17">
        <v>309</v>
      </c>
      <c r="B322" s="27"/>
      <c r="C322" s="27" t="s">
        <v>242</v>
      </c>
      <c r="J322" s="51"/>
      <c r="K322" s="51"/>
      <c r="M322" s="41"/>
      <c r="N322" s="41"/>
      <c r="O322" s="41"/>
    </row>
    <row r="323" spans="1:15" s="25" customFormat="1" ht="18.75" customHeight="1">
      <c r="A323" s="17">
        <v>310</v>
      </c>
      <c r="B323" s="27"/>
      <c r="C323" s="267" t="s">
        <v>300</v>
      </c>
      <c r="D323" s="267"/>
      <c r="E323" s="267"/>
      <c r="F323" s="267"/>
      <c r="G323" s="267"/>
      <c r="H323" s="267"/>
      <c r="I323" s="267"/>
      <c r="J323" s="267"/>
      <c r="K323" s="267"/>
      <c r="L323" s="267"/>
      <c r="M323" s="52"/>
      <c r="N323" s="53"/>
      <c r="O323" s="53"/>
    </row>
    <row r="324" spans="1:15" s="25" customFormat="1" ht="11.25">
      <c r="A324" s="17">
        <v>311</v>
      </c>
      <c r="B324" s="27"/>
      <c r="C324" s="267" t="s">
        <v>171</v>
      </c>
      <c r="D324" s="267"/>
      <c r="E324" s="267"/>
      <c r="F324" s="267"/>
      <c r="G324" s="267"/>
      <c r="H324" s="267"/>
      <c r="I324" s="267"/>
      <c r="J324" s="267"/>
      <c r="K324" s="267"/>
      <c r="L324" s="267"/>
      <c r="M324" s="52"/>
      <c r="N324" s="53"/>
      <c r="O324" s="53"/>
    </row>
    <row r="325" spans="1:3" ht="11.25">
      <c r="A325" s="17">
        <v>312</v>
      </c>
      <c r="C325" s="9" t="s">
        <v>241</v>
      </c>
    </row>
    <row r="326" spans="1:13" ht="11.25">
      <c r="A326" s="17">
        <v>313</v>
      </c>
      <c r="C326" s="268" t="s">
        <v>239</v>
      </c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</row>
    <row r="327" spans="1:3" ht="11.25">
      <c r="A327" s="17">
        <v>314</v>
      </c>
      <c r="C327" s="9" t="s">
        <v>240</v>
      </c>
    </row>
    <row r="328" spans="3:9" ht="11.25">
      <c r="C328" s="261" t="s">
        <v>256</v>
      </c>
      <c r="D328" s="262"/>
      <c r="E328" s="262"/>
      <c r="F328" s="262"/>
      <c r="G328" s="262"/>
      <c r="H328" s="262"/>
      <c r="I328" s="263"/>
    </row>
  </sheetData>
  <mergeCells count="15">
    <mergeCell ref="C328:I328"/>
    <mergeCell ref="C320:N320"/>
    <mergeCell ref="C323:L323"/>
    <mergeCell ref="C324:L324"/>
    <mergeCell ref="C326:M326"/>
    <mergeCell ref="E6:H6"/>
    <mergeCell ref="J7:J8"/>
    <mergeCell ref="C310:E310"/>
    <mergeCell ref="C312:E312"/>
    <mergeCell ref="D116:E116"/>
    <mergeCell ref="C5:D5"/>
    <mergeCell ref="A2:B2"/>
    <mergeCell ref="A3:B3"/>
    <mergeCell ref="A4:B4"/>
    <mergeCell ref="A5:B5"/>
  </mergeCells>
  <printOptions/>
  <pageMargins left="0.6" right="0.22" top="1.1" bottom="0.75" header="0.44" footer="0.33"/>
  <pageSetup fitToHeight="4" fitToWidth="1" horizontalDpi="600" verticalDpi="600" orientation="portrait" paperSize="3" scale="64" r:id="rId1"/>
  <headerFooter alignWithMargins="0">
    <oddHeader>&amp;C&amp;Z&amp;F&amp;RPage &amp;P</oddHeader>
    <oddFooter>&amp;Lmzr9zj&amp;CPage &amp;P&amp;R&amp;T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2009-01-07T22:33:15Z</cp:lastPrinted>
  <dcterms:created xsi:type="dcterms:W3CDTF">2001-03-24T00:02:34Z</dcterms:created>
  <dcterms:modified xsi:type="dcterms:W3CDTF">2009-04-30T22:12:12Z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